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3c40c55f046b08e5/Python Projects/Theater/"/>
    </mc:Choice>
  </mc:AlternateContent>
  <xr:revisionPtr revIDLastSave="10" documentId="11_29B55062DE7BE60F62355476585DCE3A876EC9ED" xr6:coauthVersionLast="47" xr6:coauthVersionMax="47" xr10:uidLastSave="{52A9EED5-D358-47DE-904F-6EC5AB525680}"/>
  <bookViews>
    <workbookView xWindow="-120" yWindow="-120" windowWidth="29040" windowHeight="15990" xr2:uid="{00000000-000D-0000-FFFF-FFFF00000000}"/>
  </bookViews>
  <sheets>
    <sheet name="Sheet1" sheetId="1" r:id="rId1"/>
  </sheets>
  <definedNames>
    <definedName name="_xlnm._FilterDatabase" localSheetId="0" hidden="1">Sheet1!$A$1:$K$1592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92" i="1" l="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<sst xmlns="http://schemas.openxmlformats.org/spreadsheetml/2006/main" count="11148" uniqueCount="4088">
  <si>
    <t>title</t>
  </si>
  <si>
    <t>price</t>
  </si>
  <si>
    <t>location</t>
  </si>
  <si>
    <t>hour</t>
  </si>
  <si>
    <t>duration</t>
  </si>
  <si>
    <t>date</t>
  </si>
  <si>
    <t>director</t>
  </si>
  <si>
    <t>playwright</t>
  </si>
  <si>
    <t>rate</t>
  </si>
  <si>
    <t>voters</t>
  </si>
  <si>
    <t>cast</t>
  </si>
  <si>
    <t>خانه نمایش دا - سالن شماره ۱</t>
  </si>
  <si>
    <t>19:00:00</t>
  </si>
  <si>
    <t>01:00:00</t>
  </si>
  <si>
    <t>1399-06-31</t>
  </si>
  <si>
    <t>علیرضا یاسری</t>
  </si>
  <si>
    <t>نگین احمد خانی</t>
  </si>
  <si>
    <t>مائده ابراهیمی، نگین آرمان نژاد، افسون اسدی، عارفه دشت پیما، مهدا دشت پیما، حنانه زارع، پروا محمودی، آتنا مقیمی واحد، علیرضا یاسری</t>
  </si>
  <si>
    <t>عمارت ارغوان - سالن یک</t>
  </si>
  <si>
    <t>01:20:00</t>
  </si>
  <si>
    <t>1402-04-25</t>
  </si>
  <si>
    <t>هاویر نظری کاکاوندی</t>
  </si>
  <si>
    <t>بوم گارنر</t>
  </si>
  <si>
    <t>(به ترتیب ورود به صحنه) مهران احمدپور، میلاد ساسانی، مرجان زاغریان، عیسی محمدی، ندا فروغ، وصال امینی، آرمین بزرگی، محمد اصغری، هدیه فروغ، نوید مهاجر، فرهاد بقائی نیا</t>
  </si>
  <si>
    <t>پردیس تئاتر شهرزاد - سالن ۳</t>
  </si>
  <si>
    <t>20:30:00</t>
  </si>
  <si>
    <t>01:10:00</t>
  </si>
  <si>
    <t>1401-05-07</t>
  </si>
  <si>
    <t>شهاب مهربان</t>
  </si>
  <si>
    <t>شهاب مهربان، وهاب مهربان</t>
  </si>
  <si>
    <t>(بازیگران به ترتیب ورود) وحید خوش اقبال، جواد پولادی، وحید منتظری، فاطیما بهارمست، میثم نوروزی، علی حسین زاده</t>
  </si>
  <si>
    <t>ایرانشهر - سالن استاد سمندریان</t>
  </si>
  <si>
    <t>18:30:00</t>
  </si>
  <si>
    <t>1401-03-28</t>
  </si>
  <si>
    <t>جابر رمضانی</t>
  </si>
  <si>
    <t>جابر رمضانی، کیوان سررشته (بر اساس نمایشنامه مولف نوشته تیم کراوچ)</t>
  </si>
  <si>
    <t>(به ترتیب الفبا) علی باقری، نگار جواهریان، لیلی رشیدی، جابر رمضانی</t>
  </si>
  <si>
    <t>ایرانشهر - سالن استاد ناظرزاده کرمانی</t>
  </si>
  <si>
    <t>20:15:00</t>
  </si>
  <si>
    <t>01:40:00</t>
  </si>
  <si>
    <t>1400-12-27</t>
  </si>
  <si>
    <t>مصطفا کوشکی</t>
  </si>
  <si>
    <t>(بازی نویس) باقر سروش</t>
  </si>
  <si>
    <t>(به ترتیب الفبا) مهران امام بخش، شهروز دل افکار، احسان رضوانی، سونیا سرلک، کوروش شاهونه، الهه شهپرست، یعقوب صباحی، حمید عاشوری، ایمان عبدی، محمدهادی عطایی، آرش فلاحت پیشه، محمد قلندری، محمد نادری</t>
  </si>
  <si>
    <t>تماشاخانه شانو</t>
  </si>
  <si>
    <t>19:30:00</t>
  </si>
  <si>
    <t>00:45:00</t>
  </si>
  <si>
    <t>1398-10-06</t>
  </si>
  <si>
    <t>حمیدرضا عیوضی</t>
  </si>
  <si>
    <t>مهران عشریه نویسنده اپیزود میانی</t>
  </si>
  <si>
    <t>مهدی رضایی، مسعود رحیمی، یانا فومنی</t>
  </si>
  <si>
    <t>مجموعه خانه هنر آبان</t>
  </si>
  <si>
    <t>1400-11-08</t>
  </si>
  <si>
    <t>اشکان صادقی</t>
  </si>
  <si>
    <t>آثول فوگارد</t>
  </si>
  <si>
    <t>اشکان صادقی، علیرضا مؤیدی</t>
  </si>
  <si>
    <t>تماشاخانه سیمرغ - بنیاد بیدل دهلوی</t>
  </si>
  <si>
    <t>1401-12-19</t>
  </si>
  <si>
    <t>حمید عبدالحسینی</t>
  </si>
  <si>
    <t>(به ترتیب حروف) علی اکبر اعتماد مقدم، وحید ایمانی، مهرناز تبریزی، یاشار جلیله وند، درسا خوالی، حمیده دهقان نیری، امیر حسین زارعیان، مجید سلیمانی، آزاده سیدی، ژالیا شاکری، سمیه صباغی، الهام طرهانی، محمدرضا علیزاده، نازنین مرادی، حمید یاوری</t>
  </si>
  <si>
    <t>تماشاخانه ملک</t>
  </si>
  <si>
    <t>1400-08-09</t>
  </si>
  <si>
    <t>افشین واعظی</t>
  </si>
  <si>
    <t>(گروه استاد) حامد شریف پور، عباس خداوردیان، صبا ابریشمی، نریمان حیدری، پرنیا ابریشمی، حامد مقدسی، سارینا لواسانی، سپیده اسلامی، سعید عظیمی، افشین واعظی و (گروه فریدا) حامد مقدسی، فریماه مسگرنیا، محمدحسین رحیم، سعید عظیمی، مرتضی امینی تبار، ساناز شاه علی، سیما نجفی زاده، تیارا بانکی، علیرضا شعاعی، رامین جعفری، افشین واعظی و (گروه فروید)شهریار کامکار، حسین ابراهیمی، کیمیا آهنگران، مستوره فیضی، امیرمنصور تمیزی، شیوا رضایی، نگار اکبری، علیرضا موسوی، علیرضا شعاعی، افشین واعظی و (گروه مرلین) حامد شریف پور، امیرحسین احمدوند، محمدامین رشنوادی، شقایق آقاجانی، علیرضا شعاعی، محمدرضا علیپور، ستاره پروین، پریا ابراهیمی، نازنین دیده ور و (گروه کلئوپاترا)امیر بشیره نژاد، آرمان علیرضایی، حدیث قیطاسی، متین پاک، محمد کرمی، نیلوفر توانگر، پریا خداکرمی، سوگند روستایی، متین خیبلی، افشین واعظی و (گروه بتهوون) آیدا احمدی، بشیر اصلانیان، محمد بخشی، پریسا طهماسب، رخساره شجاع الدین، سعید قاسمی، ثنا رزجی، علیرضا شعاعی، حامد شریف پور، افشین واعظی و (گروه خیام) میلاد شریف، نهال حاجیان، عباس بابایی، رامین یحیی زاده، سپهر رضایی، پریا خداکرمی، دریا وهاب، آرام هاشمی، نجوا صاحب الزمانی</t>
  </si>
  <si>
    <t>خانه نمایش مهرگان (سالن ۲) - قدیم</t>
  </si>
  <si>
    <t>21:00:00</t>
  </si>
  <si>
    <t>1399-07-11</t>
  </si>
  <si>
    <t>امیر عبادی</t>
  </si>
  <si>
    <t>مهسا بان، فرزاد سهرابی، سمن قناد، تقی علی آبادی، امیر عبادی</t>
  </si>
  <si>
    <t>تالار محراب - سالن استاد جعفر والی</t>
  </si>
  <si>
    <t>18:45:00</t>
  </si>
  <si>
    <t>01:15:00</t>
  </si>
  <si>
    <t>1399-11-24</t>
  </si>
  <si>
    <t>مجید زارع زاده</t>
  </si>
  <si>
    <t>لوئیجی پیراندلو</t>
  </si>
  <si>
    <t>(به ترتیب ورود به صحنه) منصوره محمدی، متیناز رشنو، مجید زارع زاده، نیما هاشمی، حمیدرضا تسلیخ، میترا طره، آیدا تفرشی، علی سهیلی، شیما خوش اقبال، علیرضا شایانی، راحله غفاری، حسین قاسم پور اقدم، مهران باقری، بهاره صاحبی</t>
  </si>
  <si>
    <t>کانون پرورش فکری کودکان و نوجوانان - رفسنجان</t>
  </si>
  <si>
    <t>1402-04-05</t>
  </si>
  <si>
    <t>سیدحمید سجادی</t>
  </si>
  <si>
    <t>ماتیی ویسنی یک</t>
  </si>
  <si>
    <t>(به ترتیب ورود به صحنه) فاطمه لری، سید امیر هاشمی، رضا مطلبی، حمیدرضا عزیزی، محمد مهدی مصری، هستی رحیم پور، عسل ابوطالبی</t>
  </si>
  <si>
    <t>پردیس تئاتر تهران - سالن استاد محمد</t>
  </si>
  <si>
    <t>1401-07-29</t>
  </si>
  <si>
    <t>محمدجواد حبیبی</t>
  </si>
  <si>
    <t>تامارا دالمات</t>
  </si>
  <si>
    <t>(به ترتیب ورود) بهار شفیعی، هستی جعفری، عرفان شیخ حسین، متین تاجیک، محمد اختیارزاده، مهدی کاظم لو، سمانه عباسی، حدیث نجات، سحر رجبی، سلمان سلیمی، داوود عباسی</t>
  </si>
  <si>
    <t>عمارت نوفللوشاتو</t>
  </si>
  <si>
    <t>18:00:00</t>
  </si>
  <si>
    <t>01:05:00</t>
  </si>
  <si>
    <t>1400-08-07</t>
  </si>
  <si>
    <t>مسعود صالحی</t>
  </si>
  <si>
    <t>فلوریان زلر</t>
  </si>
  <si>
    <t>ساناز روشنی، مرتضی خدمتلو، زهره فضلی و منوچهر رمضانی</t>
  </si>
  <si>
    <t>1400-08-11</t>
  </si>
  <si>
    <t>سیدعلیرضا محسنی</t>
  </si>
  <si>
    <t>بهار کاتوزی</t>
  </si>
  <si>
    <t>هستی اکرمی راد</t>
  </si>
  <si>
    <t>تالار فخرالدین اسعد گرگانی (گرگان - سالن اصلی)</t>
  </si>
  <si>
    <t>01:45:00</t>
  </si>
  <si>
    <t>1401-05-06</t>
  </si>
  <si>
    <t>سعید کاظمیان</t>
  </si>
  <si>
    <t>فردریش دورنمات</t>
  </si>
  <si>
    <t>حسین فدایی، احمد کولف، راحیل کریمی، احمد نظامی، ایرج رجبی، عارف محمدی شیخی، یاسمن اهرزاد، مصطفی سرابی، علی خسروی، نوید محمدیان، رضا آذر شب، سجاد پهلوان، سجاد رحیمی، متین مختومی، محمد افسری، عرفان شیخ، محمد رحیمی، سحر دولتی، مهزیار دهقانی، کمال روحانی، اشکان آرون، حبیب اسدی، امیرحسین تختی، سمیرا موذنی، ساجده حسینی، زهرا گلی</t>
  </si>
  <si>
    <t>تماشاخانه هیلاج</t>
  </si>
  <si>
    <t>1398-12-25</t>
  </si>
  <si>
    <t>مرتضی اسماعیل کاشی</t>
  </si>
  <si>
    <t>هاله مشتاقی نیا، مرتضی اسماعیل کاشی (با نگاهی به نمایشنامه «خودی و غیر خودی» نوشته برتولت برشت به ترجمه کمال الدین شفیعی)</t>
  </si>
  <si>
    <t>(به ترتیب حروف الفبا) ایلناز آذری، آیدا آقاخانی، شهاب اشکان، حانیه اورعی، ارشیا پاکدل، پدیده پزشکیان، حنا جشنوند، شبنم جعفرپیشه، جواد حسینی، محدثه حسینی، مهراد دادخواه، پردیس دهقانی، راویس رحمانی، مژده رحیم زاده، پوریا رفیع بیگی، پوریا زهرایی، سپیده سرحدی، اسد غفاری، ماندانا قابلی، عادله گرشاسبی، آرمان کنگاوری، حمید ماهرو، پارمیدا مختاری، کسری معماری، علی نجاریان، سعید یعقوبی و مصطفی مقیمی</t>
  </si>
  <si>
    <t>خانه ی هنر تالار علی معلم (کرمان)</t>
  </si>
  <si>
    <t>1399-04-27</t>
  </si>
  <si>
    <t>فرزاد باقری</t>
  </si>
  <si>
    <t>فرزاد باقری، آسیه سلطانی، محمودشاهی، زهرا محرابی، رضا طالبی زاده زاده، اشکان عاشوری، زینب اسماعیلی</t>
  </si>
  <si>
    <t>تئاترشهر - کارگاه نمایش</t>
  </si>
  <si>
    <t>1401-10-16</t>
  </si>
  <si>
    <t>رضا حسن خانی</t>
  </si>
  <si>
    <t>(انتخاب و نگارش متن) داریوش نصیری، مرتضی وکیلیان</t>
  </si>
  <si>
    <t>آسو خسروی</t>
  </si>
  <si>
    <t>تئاتر شهر کرج، سالن استاد فتحعلی بیگی</t>
  </si>
  <si>
    <t>1401-12-05</t>
  </si>
  <si>
    <t>علی بابایی</t>
  </si>
  <si>
    <t>(به ترتیب ورود) علیرضا داننده فرد (کریم شیره ای)، یاشار نادری (ناصرالدین شاه)، محمدصالح آهنگر (اعتمادالسلطنه)، رضا بهشتی (مهد علیا)، کاوه سوری (امیر کبیر)، علی اکبر صادقیان (انیس الدوله)، حمیدرضا محتشمی (عزت الدوله)، بهروز رحیمی (امینه اقدس)</t>
  </si>
  <si>
    <t>تماشاخانه مشایخی (چهارراه ولیعصر)</t>
  </si>
  <si>
    <t>1400-08-08</t>
  </si>
  <si>
    <t>سمیه قاسمی</t>
  </si>
  <si>
    <t>(به ترتیب ورود) مجید تیزرو، عبدالرضا صفری دریایی، سمیه قاسمی، سوسن بشیر، پوریا دادفر، هانی افتاده، مهربان انصاری، آرهان اصغری، مرتضی نورمحمدی</t>
  </si>
  <si>
    <t>تالار هنر اصفهان - سالن نقش جهان</t>
  </si>
  <si>
    <t>1402-03-06</t>
  </si>
  <si>
    <t>آوا حدادی</t>
  </si>
  <si>
    <t>آوا حدادی، محمدرضا شیروانی، یاسمین غفرالهی، هانیه هاشمی (کودک)، آرشام اسماعیلی، امین شب انگیز، سحر (زهرا) شاهوار، هستی علیزاده، زهرا غفوری جبلی، مهشید آبادی، پوریا مجیدی، حسین کیان ارثی، مهدی ریزان، یوسف حسینی، فائزه ابراهیمی (کودک)</t>
  </si>
  <si>
    <t>تماشاخانه آژمان (سالن شماره ۱ - ارائه)</t>
  </si>
  <si>
    <t>پوریا قیطانی</t>
  </si>
  <si>
    <t>پوریا قیطانی، علیرضا یاسری، نیما مرشدی، احمدرضا نورالهی، فاطمه زمانی</t>
  </si>
  <si>
    <t>پردیس سپند - سالن شماره ۱</t>
  </si>
  <si>
    <t>02:10:00</t>
  </si>
  <si>
    <t>1399-05-31</t>
  </si>
  <si>
    <t>آرش سنجابی</t>
  </si>
  <si>
    <t>(بر اساس حروف الفبا) شکیبا آدینه، پویا امینی، پرهام امینی، ایمان اصفهانی، ویدا جوان، رها حاجی زینل، پرستو حمیدی، ستایش رجایینیا، پردیس زارع، نازنین صلح جو، دانیال عبادی، رازیما میرزایی، پریسا محسنی، حمیدرضا نعیمی، سیدجواد یحیوی</t>
  </si>
  <si>
    <t>تالار محراب - سالن استاد جمیله شیخی</t>
  </si>
  <si>
    <t>00:50:00</t>
  </si>
  <si>
    <t>مهدی روزبهانی</t>
  </si>
  <si>
    <t>لیلا روغنگیر قزوینی</t>
  </si>
  <si>
    <t>فروزان حسینی، محمدمحسن شفیعی، مهران باقری، محسن صابری، آرمان پورفرخ، سرور کعب عمیر، سهراب یوسفی، حسین کاظمی</t>
  </si>
  <si>
    <t>1402-05-20</t>
  </si>
  <si>
    <t>مهران رنجبر</t>
  </si>
  <si>
    <t>مهدی یگانه، مهران رنجبر</t>
  </si>
  <si>
    <t>تماشاخانه سنگلج</t>
  </si>
  <si>
    <t>17:00:00</t>
  </si>
  <si>
    <t>1402-04-06</t>
  </si>
  <si>
    <t>مرتضی فرهادنیا</t>
  </si>
  <si>
    <t>موید الممالک فکری ارشاد</t>
  </si>
  <si>
    <t>سحر نعلبند مجد، ملیکا حکمی، سارا داننده، محجوب محمدی، محدثه سوزنده، آوا جهان، بیتا اکبری، ایلوش یزدان پناه، فاطمه سادات مرعشی، یاسمن رحیمی، علی صابونچی رضاپور، میثم بیکی سروعلیاء، محمدامین عرب سالاری، مهدی مجنونی، محمدجواد زاغیان، امیرحسین جعفری ثوره، محمدامین علی آبادی، محمدامین نیک روش، حسین هاشم پور، الطاف ابراهیمی، رضا حاجی حسینی، سینا قبادی، سیرانوش صارمی</t>
  </si>
  <si>
    <t>تئاترشهر - سالن قشقایی</t>
  </si>
  <si>
    <t>داود دانشور</t>
  </si>
  <si>
    <t>ژولیان گارنر</t>
  </si>
  <si>
    <t>(به ترتیب حروف الفبا) رضا امامی گیلدا حمیدی افشین زارعی فرزانه نشاط خواه</t>
  </si>
  <si>
    <t>عمارت نوفللوشاتو - سالن ۲- مکان قدیم</t>
  </si>
  <si>
    <t>16:00:00</t>
  </si>
  <si>
    <t>1402-10-27</t>
  </si>
  <si>
    <t>لیلا بامنیری</t>
  </si>
  <si>
    <t>نادر برهانی مرند</t>
  </si>
  <si>
    <t>امیرشایان  ایمانی، هژیرسام  احمدی، لیلا  بامنیری، رز  داورپناه، امیرپرویز  تبریزچی، نیما  زین العابدینی، محمد  سوری، امیرساسان  عسگری، علی  کمالی شکوه، هومن  مقیمی</t>
  </si>
  <si>
    <t>موسسه فرهنگی هنری گندم (تئاتر گندم)- تماشاخانه پرویز پرستویی</t>
  </si>
  <si>
    <t>1398-12-26</t>
  </si>
  <si>
    <t>دلارام اسدی</t>
  </si>
  <si>
    <t>اودوکیموس تسولاکیدیس</t>
  </si>
  <si>
    <t>دلارام اسدی، شهرزاد خواجه غیاثی، تارا کرباسی</t>
  </si>
  <si>
    <t>تماشاخانه آژمان (سالن شماره ۲ - تجربه)</t>
  </si>
  <si>
    <t>1400-10-02</t>
  </si>
  <si>
    <t>محمدرضا رجبی</t>
  </si>
  <si>
    <t>امیر رضا نظری، غزل معصوم شاهی</t>
  </si>
  <si>
    <t>عمارت ارغوان - سالن دو</t>
  </si>
  <si>
    <t>1402-02-14</t>
  </si>
  <si>
    <t>فرزین حاجیلو</t>
  </si>
  <si>
    <t>ایوب آقاخانی، توحید معصومی</t>
  </si>
  <si>
    <t>البرز احمدخانی، گل بو فیوضی، فرنوش موحدی، شهاب آزاد، فرزین حاجیلو</t>
  </si>
  <si>
    <t>02:00:00</t>
  </si>
  <si>
    <t>1402-04-09</t>
  </si>
  <si>
    <t>پریزاد سیف</t>
  </si>
  <si>
    <t>سعید پورصمیمی</t>
  </si>
  <si>
    <t>سعید پورصمیمی، مسعود کرامتی، بهرام ابراهیمی، الهام پاوه نژاد، پریزاد سیف، رضا مولایی، بهروز پوربرجی، شاهین علایی نژاد، علی پویا قاسمی، شهاب عباسیان، حامد مهدی نژاد، رضا فیضبخش، مریم محبی</t>
  </si>
  <si>
    <t>خانه هنرمندان ایران- سالن استاد انتظامی</t>
  </si>
  <si>
    <t>1400-11-29</t>
  </si>
  <si>
    <t>مصطفی میرزایی</t>
  </si>
  <si>
    <t>نیل سایمون</t>
  </si>
  <si>
    <t>(به ترتیب ورود) شهریار محمدی، محمدرضا غفاری، الهام کاظمی، رضا شهامتی، هانیه خلیل پور، فاطمه شفقی، آنیتا قجری (نرسسیان)، حمیدرضا کتول، آناهیتا امیرعسکری، مصطفی میرزایی</t>
  </si>
  <si>
    <t>1398-10-27</t>
  </si>
  <si>
    <t>علی صدر</t>
  </si>
  <si>
    <t>محمد صالحی، علی شجری، مائده تقوایی</t>
  </si>
  <si>
    <t>1401-03-12</t>
  </si>
  <si>
    <t>آروین مقدمی</t>
  </si>
  <si>
    <t>(به ترتیب ورود به صحنه) مهدی کاسه ساز، هدیه رضایی، نگین نمازی، سپنتا پزشکی، سامان احمدی شهمیرزادی</t>
  </si>
  <si>
    <t>1400-09-02</t>
  </si>
  <si>
    <t>افسون شکاری</t>
  </si>
  <si>
    <t>(به ترتیب ورود به صحنه)تقی علی آبادی، محمدرضا ایمانیان، روناک پوریادگار، مصطفی شویکلو</t>
  </si>
  <si>
    <t>00:55:00</t>
  </si>
  <si>
    <t>1401-12-26</t>
  </si>
  <si>
    <t>مهدی پسرعلی</t>
  </si>
  <si>
    <t>عرفان اصغرپور</t>
  </si>
  <si>
    <t>مرضیه بهاری، دنیا پناهی، نازنین کاظم پور، محمدصالح مزینانی، رضا منصوری، امیر نظرعلی، فاطمه یزدانی</t>
  </si>
  <si>
    <t>خانه نمایش مهرگان (سالن ۱) - قدیم</t>
  </si>
  <si>
    <t>1400-12-20</t>
  </si>
  <si>
    <t>مسعود جهاندیده</t>
  </si>
  <si>
    <t>برتولت برشت</t>
  </si>
  <si>
    <t>شادی امیری، مرتضی پاکنهاد، سالار میرکریمی، سید مهدی روشن، سحر صالحی، محسن صابری، حسنا قنبری، فرزان رنجبر، محبوبه کبیر، مسعود جهاندیده، مصطفی شویکلو، فهیمه قنبری، امین غلامی، رویا نسیمی، میثم حیدری، رامین عبداللهی، پویا امیری، مهناز اصغری، زینب شفیعی، صبا مرادی، علیرضا محمدی، نوید اسماعیلی، ماه دانا جلالیان، انیس احمدزاده</t>
  </si>
  <si>
    <t>مجموعه تئاتر دیوار چهارم</t>
  </si>
  <si>
    <t>1398-10-30</t>
  </si>
  <si>
    <t>متین اوجانی</t>
  </si>
  <si>
    <t>متین اوجانی، بهروز قدرتی، نوشین مینایی فرد، امیررضا مرشد زاده، محمدرضا پورقلی، مهدی حسن خانی، فرشاد کنعانی سادات، فروغ فرزین فر، آوا موسوی، سمیره ترابی</t>
  </si>
  <si>
    <t>01:25:00</t>
  </si>
  <si>
    <t>1402-04-13</t>
  </si>
  <si>
    <t>علیرضا شعبانیان</t>
  </si>
  <si>
    <t>آرنولد وسکر</t>
  </si>
  <si>
    <t>(به ترتیب ورود به صحنه) علیرضا شعبانیان، نیما مسروری سعادت، امید قلی پور رجبی فرد، فاطمه نجفی، ناهید مرادی، متین مولودپور، حسن طباطبایی، حدیث پاک باطن، نازنین طهماسبی، ویدا کرباسی، لیلیا سعدالدین، نرگس غلامی، سید حسین محمدی، آبتین جلیلی، رضا حاصلی، حمیدرضا نوری، امیرحسین سافلی، متین انصاری، ماهان مقامی، حسین فرجی، مهدی زنگوئی، ادریس احمدی، آیلر بخشی، یاسمین طهماسبی</t>
  </si>
  <si>
    <t>مجتمع ابوالفتوح رازی - شهر ری</t>
  </si>
  <si>
    <t>1401-05-05</t>
  </si>
  <si>
    <t>محمدرضا حزینی</t>
  </si>
  <si>
    <t>مسعود حسینی، زهرا عرب، کوروش کرمی</t>
  </si>
  <si>
    <t>20:00:00</t>
  </si>
  <si>
    <t>1399-04-23</t>
  </si>
  <si>
    <t>میکاییل شهرستانی</t>
  </si>
  <si>
    <t>تریسی لتس</t>
  </si>
  <si>
    <t>زهره یعقوبی، شیرین فرخنده نژاد، مریم فرح آبادی، بهادر باستان حق، ماهی مشیری، مرجان رزم آزما، حسین زنگنه، دلارام زرگر، سامره حسن زاده، مسعود آشوری، حامی قنبرزاده و با صدای میکاییل شهرستانی</t>
  </si>
  <si>
    <t>1398-12-02</t>
  </si>
  <si>
    <t>فرید قبادی، یلدا عباسی، علی پویا قاسمی، ریحانه رضی، مهران رنجبر</t>
  </si>
  <si>
    <t>تماشاخانه اهورا</t>
  </si>
  <si>
    <t>15:30:00</t>
  </si>
  <si>
    <t>1401-04-03</t>
  </si>
  <si>
    <t>سونیا فردی پور</t>
  </si>
  <si>
    <t>فارس باقری</t>
  </si>
  <si>
    <t>رسول بابایی، سمیرا محبوب عشق دوست، سونیا فردی پور</t>
  </si>
  <si>
    <t>پردیس تئاتر شهرزاد - سالن ۲</t>
  </si>
  <si>
    <t>1401-04-11</t>
  </si>
  <si>
    <t>مجتبی رستمی فر</t>
  </si>
  <si>
    <t>رسول حق جو</t>
  </si>
  <si>
    <t>ناصر آل خمیس، سیداحمد موسوی راد، حیدر رحیمی، آرمین تدیّن، میلاد اشکالی، میثم کوچک</t>
  </si>
  <si>
    <t>00:40:00</t>
  </si>
  <si>
    <t>حامد شیخی</t>
  </si>
  <si>
    <t>خسرو بامداد، حامد شیخی</t>
  </si>
  <si>
    <t>حامد شیخی، رویا شیخی، ساغر بهنام، علی اسدیان، شهپر مشفقی، سارا محبی، تداعی سعیدی فر</t>
  </si>
  <si>
    <t>1400-04-04</t>
  </si>
  <si>
    <t>محمدحسین اثنی عشری</t>
  </si>
  <si>
    <t>نیلوفر جبارزارع، غزاله جعفرپور، ماهان جباری، محمدامین خادم، ابوالفضل رشیدی، مینا رسولی، بابک سلیمی، سپیده سیرانی، رعنا شفیعزاده، پوریا صفایی زاده، آرین طوقیان، یاسمن گلرخ، تینا مومنزاده، سید محمدامین موسوی، یگانه ماموریان، محمدحسن نیلوفر، علی ویسی، مهدی یزدانی</t>
  </si>
  <si>
    <t>حوزه هنری - تماشاخانه ماه</t>
  </si>
  <si>
    <t>1400-10-24</t>
  </si>
  <si>
    <t>کیانوش ایازی</t>
  </si>
  <si>
    <t>رها غفاری، کیانوش ایازی</t>
  </si>
  <si>
    <t>احمد حامدی، شهلا رحیمی</t>
  </si>
  <si>
    <t>1399-11-25</t>
  </si>
  <si>
    <t>احمد چراغی فرد، غزاله لطیفی</t>
  </si>
  <si>
    <t>فاضل قنادی</t>
  </si>
  <si>
    <t>سینا بهپور، مهری کمانگرپور، میلاد غفوری، سجادمژدهی، حنا فتح الهی، زینب نائبی، محمدجهان بین</t>
  </si>
  <si>
    <t>تماشاخانه ماه حوزه هنری - اصفهان</t>
  </si>
  <si>
    <t>1401-03-26</t>
  </si>
  <si>
    <t>متین تدریس حسنی</t>
  </si>
  <si>
    <t>مرضیه شریفی</t>
  </si>
  <si>
    <t>امید زمـانی، محـمدعلی اـتری، متین تدریس حسنی، علیرضـا عظیمی، مینا رحمانی، تارا حسـن پـور</t>
  </si>
  <si>
    <t>20:45:00</t>
  </si>
  <si>
    <t>1400-09-11</t>
  </si>
  <si>
    <t>ابراهیم رهگذر</t>
  </si>
  <si>
    <t>مریم فضل اللهی، جواد امیدی، زهرا امینی، آرمیتا آبادخیریان، مبینا کریمی، هامون نوری، سحر آقاجانی، عرفان صدرمحمدی، نیلوفر حقیقی، ستایش محمدی، مریم غلامی، امیرعباس میرحسینی، نادیه مومیوند، عرشیا زنجانی، آیلین جهانشاهلو، مانی گل محمدی، پوریا احمدی، محمدرضا مومنی</t>
  </si>
  <si>
    <t>1401-04-19</t>
  </si>
  <si>
    <t>(به ترتیب حروف) امین ابراهیمی، ندا ربانی فر، مجید سلیمانی، پریسا فصیح و عاطفه میرقادری</t>
  </si>
  <si>
    <t>تالار حافظ</t>
  </si>
  <si>
    <t>1402-04-30</t>
  </si>
  <si>
    <t>(به ترتیب ورود) محمدرضا آبانگاه، سهیل بابایی، سوگند صدیقی، پردیس زارع، هانیه مقدم، امیر افشار</t>
  </si>
  <si>
    <t>21:30:00</t>
  </si>
  <si>
    <t>1402-03-05</t>
  </si>
  <si>
    <t>حسین کیانی</t>
  </si>
  <si>
    <t>(به ترتیب ورود به صحنه) نازنین شایان فر، آرین علافچیان، احمد عباسی، فاطیما ناصرخیل، سیدصدرا سبحانیان، پونه نصیری، غزل اجتماعی، دنا شهبازی، کیمیا رضایی، احسان بیگی، رضا فرزان، میلاد رفاقتی، اشکان اسکندری، دنیا صنوبری، سهیل محبی</t>
  </si>
  <si>
    <t>اداره فرهنگ و ارشاد کهنوج</t>
  </si>
  <si>
    <t>1402-04-02</t>
  </si>
  <si>
    <t>مرتضی عبدل زاده</t>
  </si>
  <si>
    <t>مرتضی عبدل زاده، فرشاد مهدی زاده، حمیدرضا خرمی، محدثه محمودی</t>
  </si>
  <si>
    <t>1402-04-16</t>
  </si>
  <si>
    <t>سعید عنایتی</t>
  </si>
  <si>
    <t>ساناز لرکی</t>
  </si>
  <si>
    <t>ابوالفضل علیاری، شهرزاد ناطقیان، عاطفه زاهدنژاد، یکتا حصار سرخی، مریم نوروزی، یونس فولادی، حسن رضایی</t>
  </si>
  <si>
    <t>1401-07-15</t>
  </si>
  <si>
    <t>سید محمدحسین حسینی</t>
  </si>
  <si>
    <t>احمد دهقان رحیمی، فاطمه لری، سپهر خواجه پور</t>
  </si>
  <si>
    <t>19:15:00</t>
  </si>
  <si>
    <t>1400-03-27</t>
  </si>
  <si>
    <t>محمد شایان طهماسب پور</t>
  </si>
  <si>
    <t>داوود فتحعلی بیگی</t>
  </si>
  <si>
    <t>فریدوناحمدی، مرجان آقانوری، محمد عبداللهی، الهام ملک مختار، محمدمهدی فتاحی، بهار جهانبانی، امید رهبر، مهشید زبردست، مجتبی طباطبایی، هیوا پورشفیقی، حسین براتی، پوریا سعیدیان، رضا حسین نژاد، سعید بیرامزاده، مبینا سرلک، محمد شایان طهماسب پور و محمدحسن کریم وند</t>
  </si>
  <si>
    <t>17:45:00</t>
  </si>
  <si>
    <t>1400-11-06</t>
  </si>
  <si>
    <t>کوروش کلانتری</t>
  </si>
  <si>
    <t>مرتضی سالاری</t>
  </si>
  <si>
    <t>1400-05-22</t>
  </si>
  <si>
    <t>( به ترتیب ورود) حامد شیخی، امیررضا باباولیان، یگانه سروری، تداعی سعیدی فر</t>
  </si>
  <si>
    <t>تالار محراب - سالن استاد هادی اسلامی</t>
  </si>
  <si>
    <t>1400-09-26</t>
  </si>
  <si>
    <t>محمدمهدی جورابلو</t>
  </si>
  <si>
    <t>جمال فوادیان، فاطمه زنوزی، امید امیر، فاطمه مولودی، حسین اکبری، محمدمهدی جورابلو</t>
  </si>
  <si>
    <t>1402-04-20</t>
  </si>
  <si>
    <t>محمد محب الهی</t>
  </si>
  <si>
    <t>سمیرا سفید رو</t>
  </si>
  <si>
    <t>مصطفی شویکلو، میثم محب الهی، محمد مهدی عظیمی، مژگان حامدی، فاطیما راد، محمدمهدی غروی، زیبا مصطفی ئی، حسین طغرایی، هستی تقی زاده، الهام مرادی، علیرضا اسمعیلی روزبهانی، بهادر شمس، علیرضا دهقان، یاسین مهراسبی، محمد محب الهی، مهدی نعمتی، مصطفی بساطی</t>
  </si>
  <si>
    <t>19:45:00</t>
  </si>
  <si>
    <t>مهران امام بخش</t>
  </si>
  <si>
    <t>جان پاتریک شنلی</t>
  </si>
  <si>
    <t>بهناز جعفری، شبنم فرشادجو، ندا عقیقی، مبینا روزبهانی و مهران امام بخش</t>
  </si>
  <si>
    <t>01:30:00</t>
  </si>
  <si>
    <t>1400-09-19</t>
  </si>
  <si>
    <t>علی یدالهی</t>
  </si>
  <si>
    <t>بابک لطفی خواجه پاشا</t>
  </si>
  <si>
    <t>علی بیک محمدی، جواد انصافی، نگار مقدسی، کاظم برزگر، آزیتا نوری وفا، مجتبی گوهرخای، آرزوکریمی زند، سمانه ابن علی، شقایق بهرامی، الناز میرزا</t>
  </si>
  <si>
    <t>سالن هالیچ (استانبول) / Haliç, Istanbul, Türkiye</t>
  </si>
  <si>
    <t>1402-01-27</t>
  </si>
  <si>
    <t>افسانه صرفه جو، بهارک صالح نیا</t>
  </si>
  <si>
    <t>بهارک صالحنیا</t>
  </si>
  <si>
    <t>رز نوری، افسانه صرفه جو، ایلکای بیلگیج، بهارک صالحنیا</t>
  </si>
  <si>
    <t>مجتمع خاتم الانبیاء - رشت</t>
  </si>
  <si>
    <t>1401-04-24</t>
  </si>
  <si>
    <t>رضا جوشعار</t>
  </si>
  <si>
    <t>هادی اذرنگ، مهرزادشجاعی، مژده رفعت، پریاگوران، مائده خوش کیش، حسن یعقوب پور، سامیار پوربرومند، سمن رجبی، کسرا باغبان، پرنیان حسینی، ارسام امیری</t>
  </si>
  <si>
    <t>1402-03-12</t>
  </si>
  <si>
    <t>علیرضا اختری</t>
  </si>
  <si>
    <t>موریس مترلینگ</t>
  </si>
  <si>
    <t>(به ترتیب حروف الفبا) ثمین اکبری، محسن اکبری، مسعود اکبری، علی خورشیدی، فرناز رحمانی، فرنوش روشنی، حانیه زمائینی، حدیث طباخی، فرشته فرجی، ناهید محبی، سعید مهدیان</t>
  </si>
  <si>
    <t>1400-09-29</t>
  </si>
  <si>
    <t>علی خودسیانی</t>
  </si>
  <si>
    <t>الهه خوش قامت، امیررضا اکبری</t>
  </si>
  <si>
    <t>مجتمع فرهنگی و هنری ارومیه - تالار شمس</t>
  </si>
  <si>
    <t>1402-03-30</t>
  </si>
  <si>
    <t>ولی لطف دخت</t>
  </si>
  <si>
    <t>لیلا حقیقی، سیما قامت زاده، داریوش مسیبی، علی صبوری، پرستو یونسی، سیامک جهانبخش، قاسم عیسی نژاد، علی اصغر جعفرزاده، الناز صابری</t>
  </si>
  <si>
    <t>01:35:00</t>
  </si>
  <si>
    <t>1401-06-31</t>
  </si>
  <si>
    <t>رضا گشتاسب</t>
  </si>
  <si>
    <t>عبدالرضا نصاری، شاهده خدادادی، پوریا ریحانی، رضا چهرازی، بهنام مهدی پور، سینا فرزادیپور، مهدی صفی آبادی، آرمین تدیّن، عاطفه کلاه کج، ریحانه مسعودی، نیایش مرثیه زاده، ندا طاهری، میترا طاهری، روژان علیجانی، بنیامین یزدانی، پارسا امینی، مصطفی کردانی، محمد عنایت زاده، اسکندر قنبری، عباس شرفی، نیما نعمتی پور، هاشم ناصری غزاوی، امیر یوسف حسینی، امیررضا کسائی، ایلیا سمسارزاده</t>
  </si>
  <si>
    <t>تماشاخانه صحنه آبی</t>
  </si>
  <si>
    <t>مریم شیرازی</t>
  </si>
  <si>
    <t>ادوارد آلبی</t>
  </si>
  <si>
    <t>محسن اکبری، مریم شیرازی، یگانه ملکمحمدی، مهبد ممیز</t>
  </si>
  <si>
    <t>1400-11-04</t>
  </si>
  <si>
    <t>مهدی اشرافی</t>
  </si>
  <si>
    <t>کوینتین تارانتینو</t>
  </si>
  <si>
    <t>(به ترتیب حروف الفبا) کاوه اکبری، مهدی افراسته، مهدی اشرافی، سهند برادران، محسن جعفری، حسین حیاتی، عباس خادم، فرتاش دوراندیش، حسام صباغیان، نارسیس کُهرام، نوید محسنیان، مریم نقیب</t>
  </si>
  <si>
    <t>1400-09-20</t>
  </si>
  <si>
    <t>نازنین صنعت کار</t>
  </si>
  <si>
    <t>ارغوان قاسمنژاد</t>
  </si>
  <si>
    <t>گیتا تاجیک، امیر جوشقانی، غزاله جعفرپور، مجید گنجی، پگاه قائدی، سمانه قصابانی</t>
  </si>
  <si>
    <t>تئاترشهر - سالن سایه</t>
  </si>
  <si>
    <t>1401-02-23</t>
  </si>
  <si>
    <t>محمدهادی عطایی</t>
  </si>
  <si>
    <t>محمدرضا عطایی فر</t>
  </si>
  <si>
    <t>(به ترتیب ورود) پیمان محسنی، محسن سالاری، محمدهادی عطایی، سارا زکریانژاد</t>
  </si>
  <si>
    <t>بوتیک تئاتر ایران - سالن محیطی</t>
  </si>
  <si>
    <t>1401-05-14</t>
  </si>
  <si>
    <t>محمد رحمانیان</t>
  </si>
  <si>
    <t>آنتون چخوف</t>
  </si>
  <si>
    <t>(به ترتیب حروف الفبا) فرهاد اتقیایی، نوشین اعتماد، سحر خطیبی، علی خوانساری، راحیل زمانی، محمود زهرهوند، المیرا صارمی، پریسا صباغ، آناوا صدرهاشمی، نیما طیبی، آفرین فاضلی، فرید فرمانبرداری، فائزه قاسمی، کسرا کندری، گلنسا محمّدحسنی، سامان مظلومی.</t>
  </si>
  <si>
    <t>سالن رحمدل - رشت</t>
  </si>
  <si>
    <t>1402-03-09</t>
  </si>
  <si>
    <t>هامون مرتضایی</t>
  </si>
  <si>
    <t>صاحب دست افشان، خاطره عابدی، شهاب عزتی، محسن میرزایی، امین پورسعید</t>
  </si>
  <si>
    <t>تئاترشهر - سالن چهارسو</t>
  </si>
  <si>
    <t>1400-12-23</t>
  </si>
  <si>
    <t>علی شمس</t>
  </si>
  <si>
    <t>عزالدین توفیق، امیر باباشهابی، آرش اشاداد، محمدامین پازوکی، دانیال خیری خواه، نسرین درخشان زاده، فرزین محدث، بهاره افشاری، افسانه کمالی</t>
  </si>
  <si>
    <t>تئاترشهر - سالن اصلی</t>
  </si>
  <si>
    <t>1402-04-07</t>
  </si>
  <si>
    <t>اوشان محمودی</t>
  </si>
  <si>
    <t>بیتا عزیز، علی تاریمی، محمد شهریار، آیت بی غم، میترا مسائلی، مجید عراقی، آتوسا جلیلی، مهیار ورزگان، حسام زرنوشه، لیلی نبی اللهی، هیوا حقانی، علیرضا دهقانی، میلاد خیرخواه، مریم بصیری فر، ریحانه غفوریان، نیلوفر فتاحی، مبینا شادمانی</t>
  </si>
  <si>
    <t>1400-10-08</t>
  </si>
  <si>
    <t>محمدامین موذن</t>
  </si>
  <si>
    <t>میترا مسائلی، حنانه خضرائی، پریناز آبلی، تینا حاج محمدرضا، نوشین طیاری، عطیه کاشفی</t>
  </si>
  <si>
    <t>تالار مولوی - سالن اصلی</t>
  </si>
  <si>
    <t>1401-12-12</t>
  </si>
  <si>
    <t>میثم مظفری</t>
  </si>
  <si>
    <t>علی سیروسیان، گندم شهریاری، آرش رستم بیگی، مرتضی عبدالملکی، غزاله نیّر، دلارام یوسفی</t>
  </si>
  <si>
    <t>1402-02-22</t>
  </si>
  <si>
    <t>فریدون ولایی</t>
  </si>
  <si>
    <t>(به ترتیب حروف الفبا) خان آقا احمدی، مریم برومند، یاسمن حسینی، امید رهبر، سامان شکیبا، امیرحسین صفاپور، میترا طره، عمادالدین محبی، سونیا معبودی، سعید مقبری</t>
  </si>
  <si>
    <t>مهدی کوشکی</t>
  </si>
  <si>
    <t>بِن جانسن</t>
  </si>
  <si>
    <t>حسین رحمانی، بهرام رامه، (بازیگران از دور تازه روز ۱۵ دیماه) مهدی کوشکی، امیر باباشهابی، سجاد باقری، حسین برفی نژاد، الهام جدی، عباس خداقلیزاده، احسان رضوانی، محمد سعیدی، محمد طیب طاهر، رومینا قاسمی، مصطفا کوشکی، مهدی کوشکی، آذین نظری، ایمان نظیفی، امیرحسین ولی</t>
  </si>
  <si>
    <t>1400-11-21</t>
  </si>
  <si>
    <t>پونه چراغی</t>
  </si>
  <si>
    <t>نغمه ثمینی</t>
  </si>
  <si>
    <t>احسان فرهمند، مجید غلامی، پونه چراغی</t>
  </si>
  <si>
    <t>عمارت روبرو</t>
  </si>
  <si>
    <t>17:30:00</t>
  </si>
  <si>
    <t>1398-11-11</t>
  </si>
  <si>
    <t>امیر باباشهابی</t>
  </si>
  <si>
    <t>فاطمه احمدی، کاظم موسوی، امیر شمس، امیر باباشهابی</t>
  </si>
  <si>
    <t>1401-12-20</t>
  </si>
  <si>
    <t>نجمه اکبرزاده</t>
  </si>
  <si>
    <t>علیرضا روزبهانی</t>
  </si>
  <si>
    <t>انسیه ابراهیمی، آترینا اسدی، نجمه اکبرزاده، آناهیتا امیرعسکری، سارا پوردلجو، زینب دارابی، ساناز دهقی، مرجان رستمیان، نادیا رعنارفتار، فاطمه زمانی، النا زنگنه، الینا سرمدی، سپیده سعیدی نیا، الینا طوبی، آندیا عباسیان، شبنم عقیلی، یاسمن کیوان مهر، مبینا گروسی، آرزو مجیدی، سحر محقق، مرضیه ملکی، فاطمه وطن خواه، ایلوش یزدان پناه</t>
  </si>
  <si>
    <t>شبنم صادق زاده</t>
  </si>
  <si>
    <t>یونجی کینوشیتا</t>
  </si>
  <si>
    <t>(به ترتیب ورود به صحنه)نیما ذاکر، مریم فتحی، محسن عزیز، پانته آ بهشتی</t>
  </si>
  <si>
    <t>1399-07-04</t>
  </si>
  <si>
    <t>(به ترتیب ورود به صحنه)منیژه داوری(ننه رباب)، حمید رضا معدن کن (عمو هاشم)، امیر ازاد روستا (مشتی)</t>
  </si>
  <si>
    <t>سالن مداحی پور - جیرفت</t>
  </si>
  <si>
    <t>1400-10-15</t>
  </si>
  <si>
    <t>سجاد عارفی</t>
  </si>
  <si>
    <t>زهرا رئیسی</t>
  </si>
  <si>
    <t>زهرا رئیسی، ساجده عارفی، مهدی افتخاری</t>
  </si>
  <si>
    <t>1400-11-12</t>
  </si>
  <si>
    <t>بهنام هدایتی</t>
  </si>
  <si>
    <t>شهرام کرمی</t>
  </si>
  <si>
    <t>بهنام هدایتی، شیرین محمودی، محمد رضا نیری، کارن رضایی معین</t>
  </si>
  <si>
    <t>تالار فرهنگ - اردکان</t>
  </si>
  <si>
    <t>علی مروتی</t>
  </si>
  <si>
    <t>امید طاهری</t>
  </si>
  <si>
    <t>علی مروتی، مجید هاتفی، محمد عندلیب، بشیر محمودی، فرزانه نقیبی، زهرا نظریان، نازنین افخمیان</t>
  </si>
  <si>
    <t>پردیس تئاتر شهرزاد - سالن ۱</t>
  </si>
  <si>
    <t>1400-03-12</t>
  </si>
  <si>
    <t>فردین رحمانپور</t>
  </si>
  <si>
    <t>محسن میرزاخانی و محمد کرمی</t>
  </si>
  <si>
    <t>امید زندگانی، نوشین تبریزی، مصطفی دارابی، حامد کریوند، آزاده جاوید، هانیه گلپایگانی، محمد کرمی، لیلا فرداد، شعبان حاتمی، کامیار مهدی زاده، نگار والی دوست، آوا مهماندوست، فردین رحمانپور</t>
  </si>
  <si>
    <t>00:35:00</t>
  </si>
  <si>
    <t>سید محمد سعیدی</t>
  </si>
  <si>
    <t>حوزه هنری - تماشاخانه مهر</t>
  </si>
  <si>
    <t>1402-04-15</t>
  </si>
  <si>
    <t>علی برجی</t>
  </si>
  <si>
    <t>علی برجی (بر اساس طرحی از سیروس همتی)</t>
  </si>
  <si>
    <t>سعید بحرالعلومی، عباس بهمنش، مهدی نوری، مریم سامانی پور، سوگند افشاری، مسعود بابایی، فرزانه سلامی، سپیده صادقی، سارا طلائی، آنا قناعتی فلاح، زهره محمودی، میثم عباسی، پریسا هاشمی</t>
  </si>
  <si>
    <t>حنیف مظفری</t>
  </si>
  <si>
    <t>حنیف مظفری، توفیق حیدری، علی علیایی، علی کریمی، رسول احمدی، مرتضی رضائی، علی کاظم پور، احسان مقدم</t>
  </si>
  <si>
    <t>1401-04-13</t>
  </si>
  <si>
    <t>مینا میرزاآقا</t>
  </si>
  <si>
    <t>(به ترتیب ورود) پانته آ مرزبانیان، زهرا بهروزمنش، بهتاش ساکنین</t>
  </si>
  <si>
    <t>1398-11-07</t>
  </si>
  <si>
    <t>باقر سروش</t>
  </si>
  <si>
    <t>(به ترتیب ورود به صحنه) حمید گرامی، نسیم اسدپور، عباس صابری، پوریا طهرانی، اسمعیل صالحی، صبا صدیق زاده، مهشید کاظمی</t>
  </si>
  <si>
    <t>1399-07-18</t>
  </si>
  <si>
    <t>بیژن شیرمرز</t>
  </si>
  <si>
    <t>مهدی اوشی، عباس بهمنش، کوروش رخشنده پی، علیرضا رعیت، حمیدرضا لازمی، نگار مقدسی، غزل شیرمرز، امیدحبیبی، امیرحسین بلوچی، علی حسین زاده، معصومه احدی، فاطمه موسوی، ملیکاجباری، نیلوفرذهبی، فاطمه نوروزی، مرصاد غنی آبادی، آواز نجیردار</t>
  </si>
  <si>
    <t>1400-05-08</t>
  </si>
  <si>
    <t>ناصر کاظمی</t>
  </si>
  <si>
    <t>(به ترتیب صحنه) ناصر کاظمی، لعیا عسلی نژاد، سید حامد قریشی، علی بوستانی و آنا هوشیدری فرد</t>
  </si>
  <si>
    <t>(به ترتیب ورود) ناصر کاظمی، آرزو عصاری، سید حامد قریشی، علی بوستانی و رها خادمی</t>
  </si>
  <si>
    <t>افشین قاسمی</t>
  </si>
  <si>
    <t>اریک امانوئل اشمیت</t>
  </si>
  <si>
    <t>ماهرخ سالاری، سامان علیزاده</t>
  </si>
  <si>
    <t>وحید منتظری</t>
  </si>
  <si>
    <t>(به ترتیب حروف الفبا) سعید برجعلی، فاطیما بهارمست، سینا خوانساری عتیق، بنفشه ریاضی، علیرضا زارع پرست، سهیل ساعی، کیوان ساکت اف، نصیر ساکی، آران شالودگی، مجید فرهنگ، مهناز کرباسچیان، مهران میری، امیر نوروزی، پویا نوروزی، امیر حسین هاشمی، امیر هدایت نژاد</t>
  </si>
  <si>
    <t>متین ذبیحی</t>
  </si>
  <si>
    <t>رضا بیغشی</t>
  </si>
  <si>
    <t>ابوالفضل کلاته، کوثر زینعلی</t>
  </si>
  <si>
    <t>1401-10-28</t>
  </si>
  <si>
    <t>آرش امیری</t>
  </si>
  <si>
    <t>فدریکو گارسیا لورکا</t>
  </si>
  <si>
    <t>آویشن صدقی، سوگند صادقی، پگاه الله وردی، سونیا معبودی، فاطیما راد، اسما حسینی، سها داداشی، فروغ فرزین فر، یگانه ملکمحمدی، فرنوش روشنی، فرخنده درخشان</t>
  </si>
  <si>
    <t>1400-07-30</t>
  </si>
  <si>
    <t>محمدعلی حسینعلی پور، علیرضا ایزدی</t>
  </si>
  <si>
    <t>علیرضا ایزدی</t>
  </si>
  <si>
    <t>پژمان عبدی، الهه فرازمند، مارال جمال پناه، محمدعلی حسینعلی پور، علیرضا ایزدی</t>
  </si>
  <si>
    <t>1401-04-26</t>
  </si>
  <si>
    <t>حامد جلالی فراهانی، مجتبی واشیان</t>
  </si>
  <si>
    <t>مجتبی واشیان</t>
  </si>
  <si>
    <t>مهدی سفاری، ساناز روشنی، سپهر محمودی، زهرا حامی خواه، فرشاد نصیری و مهکامه ضیایی</t>
  </si>
  <si>
    <t>1401-05-30</t>
  </si>
  <si>
    <t>حامد شایسته</t>
  </si>
  <si>
    <t>(به ترتیب حروف الفبا) آمیتا سیرانی، امیر موذنی، نسترن نعمتی</t>
  </si>
  <si>
    <t>1400-12-01</t>
  </si>
  <si>
    <t>غلامحسین سعیدی</t>
  </si>
  <si>
    <t>فرزانه اکبری، زیبا بیده، سجاد پیشرویان، آرمین خودستان، شیوا سترگی، مصطفی عطری، پویا فرخنده کلام قدیم، آتنا قیدی، صالح کریم زاده، نفس محمودی، نیما مرشدی، حسین یوسفی، فاطمه زمانی، احمدرضا نورالهی، علیرضا یاسری، بنیامین اسماعیلی، امید زردشت، میثم آقا بزرگی، یگانه سپهرجو، دیانا باباعظیمی</t>
  </si>
  <si>
    <t>1402-03-22</t>
  </si>
  <si>
    <t>نگار عزیزی</t>
  </si>
  <si>
    <t>فردیناند فون شیراخ</t>
  </si>
  <si>
    <t>مصطفی دهقانی اشک، رامین دولت آبادی، علی سیبی، نگار عزیزی، اسپاروخان مرادی، سارا سیبی، پرهام صدیقی، نگار جهاندیده</t>
  </si>
  <si>
    <t>1398-11-22</t>
  </si>
  <si>
    <t>کرم اله سلیمانی</t>
  </si>
  <si>
    <t>صلاح الدین پناه، ندا صحرایی، نگین آخوندی، میلاد گشتاسبی، رایحه دادگر، کرم اله سلیمانی</t>
  </si>
  <si>
    <t>21:15:00</t>
  </si>
  <si>
    <t>1402-04-17</t>
  </si>
  <si>
    <t>فرهاد باقری</t>
  </si>
  <si>
    <t>حسین پاکدل</t>
  </si>
  <si>
    <t>امین ابراهیمی، آرمین افتخار زاده، علی ایزدی، علی پیله ور، مینا ترکمن، سید مجید حسینی، مهدی راستی، میثم رجایی زاده، مهلا رمضان پور، عرفان زارعی، فاطمه زمانی، فرزام زمانی، آهو شفیعی، نوش آفرین کیهان، علی مربی، باران محمدی، (بازیگران خردسال) شاینا بابایی، رها محمودی فرد</t>
  </si>
  <si>
    <t>00:30:00</t>
  </si>
  <si>
    <t>1401-01-31</t>
  </si>
  <si>
    <t>سارا جویا</t>
  </si>
  <si>
    <t>چکاوک کافی</t>
  </si>
  <si>
    <t>کیمیا خلج</t>
  </si>
  <si>
    <t>1400-09-12</t>
  </si>
  <si>
    <t>مهدی چاکری</t>
  </si>
  <si>
    <t>جان ملینگتُن سینگ</t>
  </si>
  <si>
    <t>(به ترتیب حروف الفبا) الهه افشاری، مهشید آقاخانی، داوود پژمانفر، نوید حق بیان، یاسمن دهقانی، یاسمن رضازاده، امید زردشت، مازیار سیدی، کتایون سلطانی، آوا شریفی، آرش فلاحت پیشه، احمدرضا مقدسی، شیما ملکی، صادق ملکی، داوود ونداده</t>
  </si>
  <si>
    <t>1402-02-03</t>
  </si>
  <si>
    <t>رسول بانگین</t>
  </si>
  <si>
    <t>حنیف مظفری، رضا آرامش، رسول احمدی، لاله ذوالفقاری، آرزو مجیدی، فاطمه کرابی</t>
  </si>
  <si>
    <t>محمد برجلو</t>
  </si>
  <si>
    <t>مهسا اصغری</t>
  </si>
  <si>
    <t>پریا حیدری، فوژان فروتن، فلورا فروزان، زهرا باقری، مجتبی گلی، افشین بیات، مهسا اصغری، محمد برجلو، محمد علی واعظی</t>
  </si>
  <si>
    <t>1402-02-25</t>
  </si>
  <si>
    <t>مجتبی طباطبایی</t>
  </si>
  <si>
    <t>اکبر رادی</t>
  </si>
  <si>
    <t>مجتبی طباطبایی، سمن شعرباف، رضا حسین نژاد، امیدعلی رحمانی، سینا توکلی، آرمین حسن زاده، امیر حسین جعفری</t>
  </si>
  <si>
    <t>1400-04-19</t>
  </si>
  <si>
    <t>سعیده خوش نژاد</t>
  </si>
  <si>
    <t>ماکس فریش</t>
  </si>
  <si>
    <t>(به ترتیب ورود) عارفه آزرمی، کیمیا کشاورز، سارینا خاکباز، کوروش دستورانی، ملیحه زینعلی، کوروش ارفع نیا، ستیا ارفع نیا، غزل قاسمی، معصومه گودرزی، محدثه عموزاد، مهیار کشاورز، ستایش آزادمنش، مارال سامانی، دنیا غیاثوند، راحله خاکباز، محمد حسین ولیلو، پرشاد کاکاوند، غزل زینعلی</t>
  </si>
  <si>
    <t>1398-10-21</t>
  </si>
  <si>
    <t>سارا حسین</t>
  </si>
  <si>
    <t>(به ترتیب حروف الفبا) سلمان ایزد یار، امیر آزاد ملکی، محمد پوراکبر، محمدتوانگر، سوگند حسینی، مهدی فرزانه، عطیه معروفی، سیدشهاب الدین هاشمی، هنا همتی</t>
  </si>
  <si>
    <t>عمارت سیمرغ درنیکا - سالن دو</t>
  </si>
  <si>
    <t>1401-04-16</t>
  </si>
  <si>
    <t>محمدمهدی اسفندیاری</t>
  </si>
  <si>
    <t>دیمیتریس پساتاس</t>
  </si>
  <si>
    <t>محمدعلی سهامی، احمد خان محمدزاده، بهزاد قره گزلو، محمدصالح مزینانی، رضا منصوری، مینو منوچهری، رها کاظمی، محمدمهدی اسفندیاری</t>
  </si>
  <si>
    <t>1401-04-31</t>
  </si>
  <si>
    <t>ابوالفضل عشرب</t>
  </si>
  <si>
    <t>راحیل سرهنگی</t>
  </si>
  <si>
    <t>امیرحسین انصافی، ندا اصغری، رضا معراجی، محسن قصری، امیرمحمد انصافی، نیلوفر سیاری، مرتضی دلداده، راحیل سرهنگی، محمدمهدی مزدارانی، حانیه رهگذر، سینا صبحی، پژمان سرمایه خواه، مهیار برخورداری</t>
  </si>
  <si>
    <t>(به ترتیب ورود) هستی جعفری، عرفان شیخ حسین، امیرحسین قاسمی، آیسان بهزادی، محمد اختیارزاده، مهدی کاظم لو، سمانه عباسی، حدیث نجات، سحر رجبی، محمدجواد حبیبی، داوود عباسی، نیکو خلیفه</t>
  </si>
  <si>
    <t>1401-03-03</t>
  </si>
  <si>
    <t>ترالگزاندر والنزا، کریستوفر دورنگ</t>
  </si>
  <si>
    <t>(به ترتیب ورود) مریم محبی، علیرضا عطایی، علی عارفی، ساناز احمدی، ناهید محبی، سحر خاکپور، یگانه ملکمحمدی، مریم نبی زاده، گلبهار هاشمی، آرزو امیری، محسن اکبری، نگار افراشته</t>
  </si>
  <si>
    <t>تالار مولوی - سالن کوچک</t>
  </si>
  <si>
    <t>1400-08-21</t>
  </si>
  <si>
    <t>رهی علی بالایی</t>
  </si>
  <si>
    <t>بهیاد نجفی، طاهره فرقانی</t>
  </si>
  <si>
    <t>محمد نژاد، ابراهیم عبدی، نسترن صفری</t>
  </si>
  <si>
    <t>1400-08-14</t>
  </si>
  <si>
    <t>علیرضا معروفی</t>
  </si>
  <si>
    <t>(به ترتیب حروف الفبا) حامد احمدوند، فرزاد تجلی، امیررضا حشمی پور، محمدجواد حشمی پور، امیرارسلان خالویی، ایمان سلگی، فردین شاه حسینی، هادی شیخ الاسلامی، حسین عارف، محمد نیازی</t>
  </si>
  <si>
    <t>تالار محراب - سالن استاد جمشید لایق</t>
  </si>
  <si>
    <t>سلمان سامنی</t>
  </si>
  <si>
    <t>مهدی مهری، ماه منیر صادقیان، حمید باهوش، رکسانا نوربخش</t>
  </si>
  <si>
    <t>1400-01-22</t>
  </si>
  <si>
    <t>سیدامیر سیدزاده</t>
  </si>
  <si>
    <t>علیرضا زرگوشیان، فرشیدهدی، یاشار خمسه، طاهره بهرامی نهادفر، حسین کرمی، شهلا جمشیدی، ماهان خاتمی، داوود معینی کیا</t>
  </si>
  <si>
    <t>امیر موذنی</t>
  </si>
  <si>
    <t>پریسا سلمانی</t>
  </si>
  <si>
    <t>امیر موذنی، دانیال بلوری، ستایش زینلی</t>
  </si>
  <si>
    <t>1401-10-09</t>
  </si>
  <si>
    <t>نیما هاشمی</t>
  </si>
  <si>
    <t>حسین قاسم پور اقدم، علی سهیلی، متیناز رشنو، نیما هاشمی، طناز گلمکانی، شادمهر حاجت زاده، امیر خلج، سعیده طاهری، پویا جعفری، علیرضا نجفی، کوثر علاءالدین، سارینا احمدی</t>
  </si>
  <si>
    <t>ریحانه چزانی</t>
  </si>
  <si>
    <t>مجتبی شجاعی، ریحانه چزانی</t>
  </si>
  <si>
    <t>1400-11-15</t>
  </si>
  <si>
    <t>عباس غفاری</t>
  </si>
  <si>
    <t>محمد چرمشیر</t>
  </si>
  <si>
    <t>مریم معینی، مژده دایی، دریا یاسری، ریحانه گنجی</t>
  </si>
  <si>
    <t>1402-01-30</t>
  </si>
  <si>
    <t>بابک والی</t>
  </si>
  <si>
    <t>محمدحسین صفری، بهناز پورفلاح، امید امیر، حمیدرضا طوبائی، محمدمهدی ملک محمد، رضا تفکری، علیرضا یاسری، احمدرضا نورالهی، سهیل قسیمی، مسعود تاج کریمی، سیاوش ضابط، علی صدیقی سعید، سید مجید حسینی، داریوش پاک نیا، احمد توحیدی راد، راضیه شریفی، سمیه نوروز رجبی، بابک والی</t>
  </si>
  <si>
    <t>محمدحسین زیکساری</t>
  </si>
  <si>
    <t>میلاد اخگر</t>
  </si>
  <si>
    <t>1399-06-02</t>
  </si>
  <si>
    <t>مجتبی جعفری پور</t>
  </si>
  <si>
    <t>(به ترتیب ورود)امین اکبری نسب، متین بختی، محمد امین شفیق، رویا ترخوانه، حامد شیخی، فائزه نصیری، علی اسدیان، غزال شفیعی، مهدی ماپو، ساغر بهنام، محدثه صیاد</t>
  </si>
  <si>
    <t>1398-12-23</t>
  </si>
  <si>
    <t>آتیلا پسیانی</t>
  </si>
  <si>
    <t>آتیلا پسیانی (با نگاهی به هملت شکسپیر)</t>
  </si>
  <si>
    <t>اصغر پیران، نوید جهانزاده، روح الله حقگوی لسان، هوتن شکیبا، نوید محمدزاده</t>
  </si>
  <si>
    <t>1399-07-20</t>
  </si>
  <si>
    <t>حمیدرضا نعیمی، کامبیز امینی، رازیما میرزایی، پریسا محسنی، محدثه حیرت و رضا جهانی</t>
  </si>
  <si>
    <t>کافه تریا پردیس تئاتر شهرزاد</t>
  </si>
  <si>
    <t>1402-04-23</t>
  </si>
  <si>
    <t>ایمان ایرانمنش</t>
  </si>
  <si>
    <t>دیوید آیوز</t>
  </si>
  <si>
    <t>محمدرضا میرحسینی، کاوه احمدی، منیر صمدانی نیا</t>
  </si>
  <si>
    <t>18:15:00</t>
  </si>
  <si>
    <t>1401-04-28</t>
  </si>
  <si>
    <t>علی خواجه بار</t>
  </si>
  <si>
    <t>آرمین والی، مجتبی علیزاده، مائده جزی</t>
  </si>
  <si>
    <t>فرهنگسرای آیینه (اراک)</t>
  </si>
  <si>
    <t>1402-04-19</t>
  </si>
  <si>
    <t>رضا یونس فرد</t>
  </si>
  <si>
    <t>(به ترتیب حروف الفبا) ملیکا امیری، مانیا بورقانی، شهاب حیدری، عادل داوودآبادی، عابد شاهمرادی، مائده شمشیری، زهرا عربی، فاطمه عربی، حسام فراهانی، محدثه فرجی، ملیکا کریمی، مهدی محبی، زهرا مخلص آبادی، علیرضا نعیمی، باران یونس فرد</t>
  </si>
  <si>
    <t>(به ترتیب ورود به صحنه) عسل ابوطالبی، رضا مطلبی، حمیدرضا عزیزی، فاطمه مومنی</t>
  </si>
  <si>
    <t>1400-03-28</t>
  </si>
  <si>
    <t>مهتاب عسکری</t>
  </si>
  <si>
    <t>مهدی پیرزمان، فرهاد ملوندی، میلاد باختری، مهتاب عسکری، حمیده دهقان نیری، فاطمه رحمان دخت، محمد مهدی حاجی علی، زهرا پور عرب، کیانا شریفی، روزبه جهانی، مژگان حصاری، محمدحسین میرسلطانی، محمد حسین عبداللهی، ماهک خدادادی، مبینا میرزایی، ابوالفضل علیاری</t>
  </si>
  <si>
    <t>1400-08-28</t>
  </si>
  <si>
    <t>حسین حسینیان</t>
  </si>
  <si>
    <t>روزبه کاظمی</t>
  </si>
  <si>
    <t>سپهر طهرانچی، مرجان اتفاقیان، عرفان امین، احسان قره داغی، شایسته سجادی</t>
  </si>
  <si>
    <t>1400-11-10</t>
  </si>
  <si>
    <t>فردین پاکیزه</t>
  </si>
  <si>
    <t>بابک صفی خانی</t>
  </si>
  <si>
    <t>راضیه مومیوند، محمدرضا گرامی نژاد، افشین ممیشی، بیتاحسینی، زهراجعفری، فاطمه ابراهیمی، بهاره فرخی، ساناز حسینی، رویا خادم، مبینا کوشاپور</t>
  </si>
  <si>
    <t>1401-04-23</t>
  </si>
  <si>
    <t>فرزانه جعفرنیا</t>
  </si>
  <si>
    <t>میلاد افواج، مهرنوش حاجی خانی، کیمیا کاوند، مصطفی لطیفی خواه، احمدرضا خانی</t>
  </si>
  <si>
    <t>عرفان پالیزوان</t>
  </si>
  <si>
    <t>(به ترتیب ورود) آرش زاهدی، مهدیار احمدی، هلیا منتخبی، مهدی شجاعی، نیلوفر ترابی، فاطمه قهرمانی، ستایش انیسی، مرتضی نورمحمدی، حدیث هاشمی</t>
  </si>
  <si>
    <t>1401-06-03</t>
  </si>
  <si>
    <t>حسین برفی نژاد</t>
  </si>
  <si>
    <t>فایزه یوسفی</t>
  </si>
  <si>
    <t>1400-11-23</t>
  </si>
  <si>
    <t>مهدی رکنی</t>
  </si>
  <si>
    <t>حسن محسنی</t>
  </si>
  <si>
    <t>مهدی رکنی و مجید امیری، مریم یوسف، مریم زمانی، سیما صالحی، هلیا حاجی شریف، نادر مشایخی، حمید خزایی، کامیار اسماعیلی، حسین شکرایی، حسن توحیدیان فر، امیرحسین محمودی، مجید جباری، رضا خوشنودی، سعید حمیدی، امیرحسین قاسمی، حامد عابدی فر، رضا عبدی، مجید افشاری، ایرج رحمانی</t>
  </si>
  <si>
    <t>کارگاه نمایش تالار انتظار - کرمانشاه</t>
  </si>
  <si>
    <t>1402-04-27</t>
  </si>
  <si>
    <t>بهزاد اسکندری</t>
  </si>
  <si>
    <t>مژده مرادی</t>
  </si>
  <si>
    <t>حامد محمدی، مجتبی مرادی، علی ارسب، متین کریمی، محمد دهنوی، حسین کهریزی، شکوفه درخشانی</t>
  </si>
  <si>
    <t>1400-10-17</t>
  </si>
  <si>
    <t>علی سلیمانی، سهیلا جوادی</t>
  </si>
  <si>
    <t>سبا سلیمانی</t>
  </si>
  <si>
    <t>علیرضا ناصحی، حسین میرزاییان، سهیلا جوادی، مسعود انعامی، سبا سلیمانی، داوود سلیمانی</t>
  </si>
  <si>
    <t>علی کوزه گر</t>
  </si>
  <si>
    <t>سارا سمیع زاده</t>
  </si>
  <si>
    <t>محمد هادی غضنفری، ناعمه علمی نژاد، دنیز خاطری</t>
  </si>
  <si>
    <t>1398-12-10</t>
  </si>
  <si>
    <t>روزبه حسینی</t>
  </si>
  <si>
    <t>سیما شکری، مریم اسماعیلی، مریم پابرجا، نازنین زنگنه، آرزو گلشاهی</t>
  </si>
  <si>
    <t>1399-07-15</t>
  </si>
  <si>
    <t>سعید زارعی</t>
  </si>
  <si>
    <t>مهدی زندیه</t>
  </si>
  <si>
    <t>امیر امرایی نیا، محمدامین افشار، مریم بهمن پور، الهه پورسند، سویل جعفری، مهبد جهان نوش، فاطیما حسین زاده، فرناز حسینمردی، سعید زارعی، مرتضی سالاری، فاطمه صادقیی، علیرضا صمدزاده، بیتا طالشی، آهو قلندر</t>
  </si>
  <si>
    <t>1399-12-27</t>
  </si>
  <si>
    <t>جواد رحیمی</t>
  </si>
  <si>
    <t>محسن مرتضوی، مریم زمانی، الهام سلطانی، شیما خوش اقبال</t>
  </si>
  <si>
    <t>فرهنگستان هنر - سالن آسمان</t>
  </si>
  <si>
    <t>1400-07-15</t>
  </si>
  <si>
    <t>فاطمه زهرا رحیمی، نادیا فرانیا، کیمیا حضوری، مطهره مظلومین، لیلا ملک نیا، دینا باقیان، ستایش خسرو بیگی، ریحانه آراسته، فاطمه آراسته، نازنین سادات دهقانی، زهرا سادات دهقانی، زلفی سادات، زهرا جهان بین، ریحانه باقری، حسنا باقری، مهلا خدابخش، زینب موسی شعار، فاطمه زهرا گلچین، عکاس</t>
  </si>
  <si>
    <t>علیرضا مهران</t>
  </si>
  <si>
    <t>حسین پناهی</t>
  </si>
  <si>
    <t>نساء یوسفی، محسن زینالعابدین، مجید رمضاننسب، عباس بابایی، سیامک سلطانی، حاتمه واحدی، صدف اسپهبدی، بهار صبوریان، فاطمه نوروزی، آسو پاشاپور، دریا وهاب، سپینود دلبرحساس، شادی اصفهانی، حسین ولیزاده</t>
  </si>
  <si>
    <t>1401-07-08</t>
  </si>
  <si>
    <t>امیرحسین فارسی</t>
  </si>
  <si>
    <t>ژرژ کورتولین</t>
  </si>
  <si>
    <t>امیرحسین فارسی، حسن طباطبایی، زهرا بختیاری، صبا حسن پور، مهسا افضلی، آیناز صمدی، امید خبازی</t>
  </si>
  <si>
    <t>1401-03-31</t>
  </si>
  <si>
    <t>فاطیما جودکی</t>
  </si>
  <si>
    <t>لارش نورن</t>
  </si>
  <si>
    <t>میلاد ساسانی، سمن شعرباف، مهشید گودرزی، محمدعلی وزیری، سارا عسگری، مریم مردان تبار، روژان کیانی، کیمیا پژمان، ثمین طاهر و کامبیز نیک آمیز</t>
  </si>
  <si>
    <t>ناهید مرادی</t>
  </si>
  <si>
    <t>هاینریش بل</t>
  </si>
  <si>
    <t>علیرضا شعبانیان، مینو منوچهری، شروین مهدوی، مرضیه علیمرادی</t>
  </si>
  <si>
    <t>1401-11-07</t>
  </si>
  <si>
    <t>شایان مستوفی</t>
  </si>
  <si>
    <t>(به ترتیب الفبا) میترا اکبری، علیرضا چمن ورز، علی دولت یاری، نیلوفر ذوالفقاری، سارا سیرتی، پرنیا لرنی، شایان مستوفی، کارمانیا میراحمدی، علیرضا محمدنژاد، مهرزاد نیکنام</t>
  </si>
  <si>
    <t>مجتمع فرهنگی هنری اداره فرهنگ و ارشاد اسلامی بابل - سالن بلک باکس</t>
  </si>
  <si>
    <t>کامبیز میرزایی</t>
  </si>
  <si>
    <t>(به ترتیب ورود) محمدرضا پورمحمود، ماریا ابراهیم پور، مبینا آقاجانی، یگانه حسین زاده، آذین پوررسول، زهرا داداشی، ترانه قلندری، طاها طاهری، حدیث حبیب پور، فاطمه مرتضوی، مصطفی غلامپور، احمد فرهادی، آرمان توکل، سارا نیک بین، محمد حسینی، سعید پوررستم، محدثه بابایی، سهیل صداقتی، نیما کارگر، عیسی نعمتی، آوا محمودی، الاهه حسینی</t>
  </si>
  <si>
    <t>پلاتو متن - دانشکده هنر دانشگاه دامغان</t>
  </si>
  <si>
    <t>آرش رجبی</t>
  </si>
  <si>
    <t>جورج سایمون کافمن</t>
  </si>
  <si>
    <t>رضا غفرانی، رضا هنرمند، شهرام کلانتری، محمدمهدی قهاری، نوید مجتهدی</t>
  </si>
  <si>
    <t>نادر نادرپور</t>
  </si>
  <si>
    <t>برانیسلاو نوشیچ</t>
  </si>
  <si>
    <t>حسین کرمی، نادر نادرپور، ، آزاده جاوید، مینو منوچهری نیا، محمدرضا ابراهیمی، آرام نیک بین، مهشید دلاوری، حامد سوری، حسن همتی و جواد اینانلو</t>
  </si>
  <si>
    <t>1398-11-30</t>
  </si>
  <si>
    <t>سجاد دستیار</t>
  </si>
  <si>
    <t>محمد نیک منش، زهره بختیاری، مهری کاظمی</t>
  </si>
  <si>
    <t>1398-10-09</t>
  </si>
  <si>
    <t>1399-05-28</t>
  </si>
  <si>
    <t>آرش فلاحت پیشه</t>
  </si>
  <si>
    <t>کوشا ابراهیمی، مریم بهشتی، حمید باهوش، علیرضا رشیدی، مائده شهوازیان، سارا علاقمند، سارا فتحی، آیدا نوروزی</t>
  </si>
  <si>
    <t>1401-07-01</t>
  </si>
  <si>
    <t>ایمان سلیح</t>
  </si>
  <si>
    <t>آرش عباسی</t>
  </si>
  <si>
    <t>امیرحسین انصاری</t>
  </si>
  <si>
    <t>سیدمحمد مساوات</t>
  </si>
  <si>
    <t>رومینا مومنی، محمد علی محمدی، نوید محمدزاده، علی حافظ پور، دینو زمام حدده</t>
  </si>
  <si>
    <t>بابک بیگوند</t>
  </si>
  <si>
    <t>آلکساندر وامپیلوف</t>
  </si>
  <si>
    <t>(به ترتیب الفبا) سعید اردشیری، علی برقبانی، مجید تیزرو، آرزو خداکرمی، غزاله علیزاده، سینا مافی، امید اشکانی</t>
  </si>
  <si>
    <t>ظفر سهرابی نیا</t>
  </si>
  <si>
    <t>مهدی نصیری</t>
  </si>
  <si>
    <t>حامد خسروی، سدنا محبی، ظفر سهرابی نیا، عاطفه رحمانی فرد</t>
  </si>
  <si>
    <t>1398-11-23</t>
  </si>
  <si>
    <t>احسان امانی</t>
  </si>
  <si>
    <t>شاهین نمدچی، سحر دیده ور، آرین کبیری، حسین شریعت، کیان طایفه، محمدعلی مرتضوی صفت (طاها)، نفس حسینی، آرمینا محمودی، علی مربی، آرمین شهبازی و محسن رضوی نیا</t>
  </si>
  <si>
    <t>هادی مرزبان</t>
  </si>
  <si>
    <t>شهرام رحیمیان</t>
  </si>
  <si>
    <t>حامد کمیلی، شیوا مکی نیان، عارفه معماریان، زهره پرتوی، شهرزاد پورفرد، کامبیز امینی، حسین پرستار، علی خازنی، محمدرضا بختیاری مهر، سامان تیرانداز و با حضور بهنام تشکر (در نقش دکتر محمد مصدق)، مرجان آقانوری، آیه قبادیان، غلامرضا پودینه، شاهین علیپور، فائزه زکاوتی، نازنین سمر، زهره رستگار مقدم، ابوالفضل وزیری، سجاد احمدی نیا، محمد رضا خسرویان، علی یارلو، مهراد ابریشم کار، حمیدرضا ژاله، آرش نظری، آرزو صرّاف رضائی، گلریز ابراهیم، لیدا حکانی، معصومه آمدگی، لیلا احمدی، محدثه سیفی، کسرا ریاحی وفا، کیمیا نوری، آصف جعفری، نرگس میرفتاح، غزال فرشیدفر، فاطمه لنگری، طاها نوری، علیرضا چمن ورز، رضا بخشی، محمد رجبیان، سارا همتی، نیما علایی</t>
  </si>
  <si>
    <t>1400-10-10</t>
  </si>
  <si>
    <t>آرمین صیاد</t>
  </si>
  <si>
    <t>صالح علوی زاده</t>
  </si>
  <si>
    <t>سپاس رضایی</t>
  </si>
  <si>
    <t>1402-04-01</t>
  </si>
  <si>
    <t>میلاد سلیمانلو</t>
  </si>
  <si>
    <t>مهشید حسینیان</t>
  </si>
  <si>
    <t>آفاق زردشتی، بهناز حیدری، یگانه مرادی، پارمیدا مسیبی، مریم عضو امینیان، علی نیکیار، مهسا جمشیدی</t>
  </si>
  <si>
    <t>1402-05-13</t>
  </si>
  <si>
    <t>اشکان پیر دل زنده</t>
  </si>
  <si>
    <t>فرزانه محمدحسین</t>
  </si>
  <si>
    <t>رومینا فرمانی، فرزانه محمدحسین، یگانه منصوری، سارا زارعی، امیرحسین فروتن، سارا عزیزی، کیارش زرین، سیاوش کریما، محمدعلی الحمد، محمدعلی براتی</t>
  </si>
  <si>
    <t>رضا مرادی نژاد</t>
  </si>
  <si>
    <t>مهدی باجلان</t>
  </si>
  <si>
    <t>راحله طاهری، سید میثم قاسمی نژاد، رضا مرادی نژاد</t>
  </si>
  <si>
    <t>1400-10-07</t>
  </si>
  <si>
    <t>سیده سحر طباطبایی نیا</t>
  </si>
  <si>
    <t>یاسمینا رضا</t>
  </si>
  <si>
    <t>الهام بیدارمغز، حسین تیموری، سحر رستمیان، احمد شاهوار</t>
  </si>
  <si>
    <t>تالار آفتاب - اهواز</t>
  </si>
  <si>
    <t>1400-11-05</t>
  </si>
  <si>
    <t>عباس سعیدی</t>
  </si>
  <si>
    <t>میثم کوچک، فاطمه آقامیرزاده، بهار ملک، محمد مزرعاوی، دریا بهادری، امیرحسین ترکاشوند</t>
  </si>
  <si>
    <t>1398-11-06</t>
  </si>
  <si>
    <t>امیررضا ملکی</t>
  </si>
  <si>
    <t>(به ترتیب حروف الفبا) الهام احمدی، کیوان احمدی، نوید احمدزاده، رضا بابایی، دنیا خشنو، نیوشا رضوانی، نسیم سروش، امیر شیخ زاده، حامد نساج بخارایی</t>
  </si>
  <si>
    <t>1398-11-04</t>
  </si>
  <si>
    <t>سید محمد مهدی هوشیار</t>
  </si>
  <si>
    <t>(به ترتیب حضور) میثم پیرمحمدی، محمد قائم مقامی، آرام طالشی، علیرضا پرتوی، میترا هاتفی، سحر گلشیرازی، فائزه زرکش بهاری</t>
  </si>
  <si>
    <t>محمد مهرافروز</t>
  </si>
  <si>
    <t>سید مهدی شجاعی</t>
  </si>
  <si>
    <t>رضا طاهریان، شادان قوامی، نسترن فراهانی، روژینا شهابی، فائزه قربان نژاد، نیکی خیرخواه، رها خادمی، محمد مهرافروز</t>
  </si>
  <si>
    <t>1399-06-05</t>
  </si>
  <si>
    <t>سعید رسولی</t>
  </si>
  <si>
    <t>بهزاد حاجی حسنی، حمید گرامی فر، شادی ضیایی (مهمان از گروه تئاتر واسومانی)</t>
  </si>
  <si>
    <t>02:45:00</t>
  </si>
  <si>
    <t>گلاب آدینه</t>
  </si>
  <si>
    <t>آلن جی لرنر (بر اساس نمایشنامه «پیگمالیون» اثر برنارد شاو)</t>
  </si>
  <si>
    <t>رضا عمرانی، نورا هاشمی، امیر غفارمنش، سامان کرمی، شبیر پرستار، مرتضی امینی تبار، گلشید بحرایی و ... جلیل فرجاد.
علی دولت یاری، حامی قنبرزاده، الناز سلیمانی، طاهره آهنی، ملیکا رادمند، مهدی ایمانیان، شکرانه کریم، نیوشا آذرکیوان، مهتاب یار خلجی، عسل کریمی نیا، علی بیکی، روژینا شهریاری، نگار نیک زاد، ساغر روزبهانی، پریسا منفرد، حسین زنگنه، مهسا آتشبار، درسا آتش بار، پوریا محمودی، نیلوفر ذوالفقاری، لیلا آقاسی، امیر رسولیان، امید اکبرزاده، شایان مستوفی، مهربانو یونسی، خورشید یاری، آریانا عباسی، کیانوش سلطانی متین، فائزه صدر، پریا یاراحمدی، مهرداد رضائی، ساشا شهبازی، شیوا شهدایی، مرتضی کمالی، مجید امیدی، غزل کریمی نیا</t>
  </si>
  <si>
    <t>1399-05-29</t>
  </si>
  <si>
    <t>گروه تئاتر اتود</t>
  </si>
  <si>
    <t>ملیکا یوسفی، نعیم شاهد، محمدعلی شانه ای، نوید مهاجر، مرجان وظیفه مقدم، شهرزاد ناطقیان، یاسمن سام کیا، آرشام شعار، نازنین مسکنی، شراره خمسه، بنیامین اسماعیلی، محمدجواد حاجیحسنی، دانیال زاهد، شیما متقی نسب، علی رسولی، مهنیا قاسمی و کیان طایفه</t>
  </si>
  <si>
    <t>1398-12-27</t>
  </si>
  <si>
    <t>سیروس کهوری نژاد بندری</t>
  </si>
  <si>
    <t>سیروس کهوری نژاد بندری، آذر طهماسب، مسعود کهوری نژاد</t>
  </si>
  <si>
    <t>تالار هنر اصفهان - سالن تماشا</t>
  </si>
  <si>
    <t>علیرضا کوشک جلالی</t>
  </si>
  <si>
    <t>وجدی معووض</t>
  </si>
  <si>
    <t>پرنیان طباطبایی، مرضیه مهرجویی، ایمان فلاحتی، جلیل جلالی</t>
  </si>
  <si>
    <t>حسین میلانی</t>
  </si>
  <si>
    <t>(به ترتیب ورود به صحنه) بیتا طایی، علیرضا بهرامی، تکتم رسول زاده، مریم سعیدی، هادی رضایی، شقایق عزیزی، امید ماهر، کیوان محمد قمی، ساناز تفکری، فردین رحمانپور، سید حسن عبادی مهر، قاسم عبداللهی، محمد ذوالنوریان، زهرا رضا محمدی، محمد مهدی کریمی، مونا حسن زاده</t>
  </si>
  <si>
    <t>سعید داخ</t>
  </si>
  <si>
    <t>(به ترتیب ورود به صحنه) هادی سبزهئی، پونه عاشور پور، حانیه میرزا حسینی، الهه اصغری</t>
  </si>
  <si>
    <t>1400-06-18</t>
  </si>
  <si>
    <t>مهدی محبعلی (سهاب)</t>
  </si>
  <si>
    <t>خوزه تریانا</t>
  </si>
  <si>
    <t>شیرین عطاالهی، محمدرضا حسن زاده، سوگند دیانی، نازی نخجیری</t>
  </si>
  <si>
    <t>1400-11-01</t>
  </si>
  <si>
    <t>محمدرضا گرامی نژاد</t>
  </si>
  <si>
    <t>عسل مومنی، تینا طارمی، ساغر هلیلی، علیرضا رازانی زاده، مبینا حسن زاده</t>
  </si>
  <si>
    <t>آمفی تئاتر فرهنگسرای کوثر - دماوند</t>
  </si>
  <si>
    <t>حسین ناصری</t>
  </si>
  <si>
    <t>علیرضا پارسی</t>
  </si>
  <si>
    <t>زهرا رفیعی</t>
  </si>
  <si>
    <t>1399-12-15</t>
  </si>
  <si>
    <t>مجتبی جدی</t>
  </si>
  <si>
    <t>الهام ابنی، مرضیه فیلی، علیرضا لطفی زاده</t>
  </si>
  <si>
    <t>سالن ارشاد بم</t>
  </si>
  <si>
    <t>1400-12-19</t>
  </si>
  <si>
    <t>سعید قلندری</t>
  </si>
  <si>
    <t>سعید قلندری، علی موسی پور، رسول حسنی، مهدی حاتمی، فاطمه آقامولایی، محیا قوام، مینو هاشمی، غزل فلاح، ثریا سپهری</t>
  </si>
  <si>
    <t>فرهنگسرای ابن سینا - فضای باز</t>
  </si>
  <si>
    <t>1402-05-03</t>
  </si>
  <si>
    <t>عباس قاصدزاده</t>
  </si>
  <si>
    <t>زینب اسدی، عباس قاصدزاده</t>
  </si>
  <si>
    <t>افشین زعیم، عباس قاصدزاده، مونا کوشش، سیمین علامه، محسن افخمی، سوگند قاصدزاده</t>
  </si>
  <si>
    <t>1398-11-25</t>
  </si>
  <si>
    <t>سعید تقوایی</t>
  </si>
  <si>
    <t>مهدی میرباقری</t>
  </si>
  <si>
    <t>آرون مزین، آرام نیک بین، آوا صدر، غزاله امینی و سعید تقوایی</t>
  </si>
  <si>
    <t>زری ماه طیوری</t>
  </si>
  <si>
    <t>پیام لاریان</t>
  </si>
  <si>
    <t>(به ترتیب ورود) سید سروش پیمبری، باهوز خزلزاده، زری ماه طیوری، هاشم پورمحمدی، حسنا نظرآبادی، هادی الوندی، رسول محمودی، امیرحسین حیاتی، میترا اسدی، رویا مرادی، علیرضا جم</t>
  </si>
  <si>
    <t>1400-09-28</t>
  </si>
  <si>
    <t>مهدی آدین، روسانا اربابی، حنانه آهوخوش، رامین ارقند، پویا انصاری، یحیی ایزدپناه، کاظم بابایی، سجاد پلنگیان، سمیه امامی، سید حمیدرضا حسینی، نیلوفر جعفرزاده، سحر خداداده، نیلوفر خراسانی، بهداد روزگار، امیرمحمد شبانی، سوگل صالح، سعید عباسی، حسام فیلی، کیان کریمی، مجید کریمی، سهیل کشفی، عاطفه کوشکی، آرمین لشگری، آرمان محمدی، مژده محمدی، سحر مختارزادگان، نگین مقدردوست، نسترن مهربانی، پریسا نقدی زاده، رویا نوذری</t>
  </si>
  <si>
    <t>1401-12-17</t>
  </si>
  <si>
    <t>جواد ویژگی</t>
  </si>
  <si>
    <t>مارتین مک دونا</t>
  </si>
  <si>
    <t>رضا شاهی، علی راستگو، امیرحسین ویژگی، رها خورسندیان</t>
  </si>
  <si>
    <t>شکیلا علی پناهی</t>
  </si>
  <si>
    <t>آلبر کامو</t>
  </si>
  <si>
    <t>مهربان خداوردی، آرش نایبی، یاسمن حسینی، ساراگرجی، آرمین حسن زاده</t>
  </si>
  <si>
    <t>1401-06-11</t>
  </si>
  <si>
    <t>عرفان پورمحمدی</t>
  </si>
  <si>
    <t>کهبد تاراج</t>
  </si>
  <si>
    <t>محمدرضا هلال زاده، محمدرضا ایمانیان، لبخند بدیعی، رضا بهرامی، علیرضا درویش، محمد قاسمی</t>
  </si>
  <si>
    <t>1402-05-27</t>
  </si>
  <si>
    <t>امیر عباسی</t>
  </si>
  <si>
    <t>سامان شمس</t>
  </si>
  <si>
    <t>امیرحسین رضازاده، حامد آرامی، امیرحسین همایونی، ستاره فلاح فرد، سحر قلباربند، حسین جاهد، رومینا کوهزاد و مرضیه ابراهیمی</t>
  </si>
  <si>
    <t>وجیهه کریمی هسنیجه</t>
  </si>
  <si>
    <t>ابراهیم کریمی هسنیجه</t>
  </si>
  <si>
    <t>متین مکاری مقدم، داریوش محمودی، محمد حسین دلیر، علیرضا اسماعیلی، سینا رمضانی، ستایش چگینی، زهرا آقایی</t>
  </si>
  <si>
    <t>1401-04-20</t>
  </si>
  <si>
    <t>الهام شعبانی</t>
  </si>
  <si>
    <t>لیلی عاج</t>
  </si>
  <si>
    <t>(به ترتیب ورود به صحنه) یلدا عباسی، ساناز نجفی، حدیث میرامینی، توماج دانش بهزادی، آیه کیان پور، حمید رضا محمدی، سمیه برجی</t>
  </si>
  <si>
    <t>1399-12-03</t>
  </si>
  <si>
    <t>امید افشاری</t>
  </si>
  <si>
    <t>(به ترتیب ورود) امید افشاری، راحله امیری، زیبا کاظمی، زهره شریفی، راحله ملکی</t>
  </si>
  <si>
    <t>1401-06-29</t>
  </si>
  <si>
    <t>هادی حوری</t>
  </si>
  <si>
    <t>(به ترتیب حروف الفبا) دانیال ابراهیمی، شیما پروهان، شیوا ترابی، علی رجائی، بهروز سروعلیشاهی، شاهین علایی نژاد، محمدمهدی کیان، عیسی محمدی، علیرضا موسوی، آیلار نوشهری، نساء یوسفی، (موشهای مراقب) مجید صدخسروی، نگار شهبازی، هلیا حمیدی، محدثه امیریان</t>
  </si>
  <si>
    <t>امیرعلی ابراهیمی</t>
  </si>
  <si>
    <t>هانیه بهاری، علی محمدنژاد، علی تیمورفامیان اصل، محمد (کوروش) علیزاده</t>
  </si>
  <si>
    <t>عادل عزیزنژاد</t>
  </si>
  <si>
    <t>سودا بختیاری، نفیسه مهری، محمدرضا اکبری، عادل عزیز نژاد</t>
  </si>
  <si>
    <t>نیما طیبی</t>
  </si>
  <si>
    <t>(به ترتیب ورود به صحنه) ستاره ملکی، آبان حسین آبادی، پویا نوروزی، صالح علوی زاده، المیرا صارمی، نیما طیبی</t>
  </si>
  <si>
    <t>1399-12-22</t>
  </si>
  <si>
    <t>امیرحسین رضایی</t>
  </si>
  <si>
    <t>(به ترتیب ورود به صحنه) فرزاد دشتی، مدیا دشوارپسند، هادی فلاح، روژان رضوانیان، مهشید گودرزی، مریم جزینی، رضا امانلو، مهدی لوئیا، فرزاد سهرابی، سینا علیزاده، امیر حسین رضایی</t>
  </si>
  <si>
    <t>تماشاخانه اهورا - سالن رزا</t>
  </si>
  <si>
    <t>میثم ترکمند</t>
  </si>
  <si>
    <t>تورج فرامرزیان، شراره رخام، محمدحسین صفری، مبین رستگار، کیوان عموزاده، محمد عبداللهی، سحر رستمیان، صدیقه مرادی، آیدین شیخ، پرنیان مطلبی، یاسین بهرامی، آرمیتا لطفی، میثم ترکمند</t>
  </si>
  <si>
    <t>اشکان مهربخش</t>
  </si>
  <si>
    <t>جلال موسوی</t>
  </si>
  <si>
    <t>1400-07-16</t>
  </si>
  <si>
    <t>میلاد محمدزاده</t>
  </si>
  <si>
    <t>محمدحسین آبایی</t>
  </si>
  <si>
    <t>مارال قادری، رضا خاکی، آرمان صلحی، حامد شمسه، عرفان حسنی، سها داداشی، سپهر ولی زاده</t>
  </si>
  <si>
    <t>16:45:00</t>
  </si>
  <si>
    <t>1400-09-22</t>
  </si>
  <si>
    <t>محمدامین بغدادی</t>
  </si>
  <si>
    <t>1398-12-13</t>
  </si>
  <si>
    <t>محمد حسین تفریشی</t>
  </si>
  <si>
    <t>مهدیه طاهری</t>
  </si>
  <si>
    <t>مهسا اکبرآبادی</t>
  </si>
  <si>
    <t>سیدعلی معتضدی</t>
  </si>
  <si>
    <t>محمدرضا محمودپور، محمد فتاحی، باران حسینی و سیدعلی معتضدی</t>
  </si>
  <si>
    <t>آروند دشت آرای</t>
  </si>
  <si>
    <t>رضا کیانیان، لیلی رشیدی، سعید چنگیزیان، مارین ون هولک، سوگل خلیق، بهزاد کریمی، نجوا صاحب الزمانی</t>
  </si>
  <si>
    <t>ایمان خرقانی</t>
  </si>
  <si>
    <t>(به ترتیب ورود) فرزاد دشتی، عیسی محمدی، محمد رضایی، مهربان خداوردی، حمیده دهقان نیری، فریماه قاسمی</t>
  </si>
  <si>
    <t>1402-02-29</t>
  </si>
  <si>
    <t>اکرم جلیلوند</t>
  </si>
  <si>
    <t>آرش محمدی</t>
  </si>
  <si>
    <t>(به ترتیب ورود)آرش محمدی، مجید کوچکی، هانیه کریمی، اکرم جلیلوند، مهسا منفرد، محمدحسین صادقی، مهدی توکلی نیا</t>
  </si>
  <si>
    <t>1402-04-21</t>
  </si>
  <si>
    <t>مهدی راستی</t>
  </si>
  <si>
    <t>فاطمه احمدی، مهدیار افشاری، سیمین اکبرزاده، مریم ایوبی، کوثر افتخاری، آوینا بقایی، محمد پور ابراهیمی، هلیا توکلی، میلاد حسن خانی، مونس خیرمند، آیلین دانشمند، امین رضائی، زهرا رحیمی، محمد ایمان راعی، عادله رضایی، الناز رضا، یوسف زرین، مریم سرابی، اکرم سعادت مندی، رضا شاهرودی، سارا صادقی، میثم عباسی، هستی عسگری، سوگند فتحی، محمد قهرمانزاده، طیبه کریمی، مینا مقصودی، مرجان مصطفوی، زهرا مرادی، سمیه نوروزی، رضا نوری، نسیم ولیخانی، آراسته ویسی، عرفان زارعی، مهدی راستی</t>
  </si>
  <si>
    <t>مصطفا فراهانی</t>
  </si>
  <si>
    <t>ابراهیم نائیج، محسن قزل سوفلو، مهسا رستمی، رضا محسنی</t>
  </si>
  <si>
    <t>تالار فخرالدین اسعد گرگانی (گرگان - سالن نگاه)</t>
  </si>
  <si>
    <t>1401-03-27</t>
  </si>
  <si>
    <t>علیرضا رضاشاطری</t>
  </si>
  <si>
    <t>حمیدرضا میرزایی، سهـراب سهیلی، غـزال راحتی</t>
  </si>
  <si>
    <t>تماشاخانه سرو</t>
  </si>
  <si>
    <t>1400-10-20</t>
  </si>
  <si>
    <t>محمدعلی ارکان</t>
  </si>
  <si>
    <t>(به ترتیب حروف الفبا) جلالالدین محمد احمدی، سیدمهدی اسماعیلی، طاها اصغری، مهدی حاجیقاسمعلی، امیرعباس حجازی، سلمان خسروی، محمدصالح ربیعی، سجاد رضوانی، محمدحسین زاهد، ایلیا ساسانی، علیرضا سلطانی، امیرمهدی کریمی، امیرحسین کسایی، امیررضا کلهر، امیرعباس کوهی، محمدصادق مختاری، امیرحسین ملکزاده، محمدحسین مهاجرحجازی، امیرمحمد نسرین فر، محمدامین وحیدنیا، پارسا وطنی، امیرعرفان هزاوه، امیرعباس همدانی، مهدی یکتا</t>
  </si>
  <si>
    <t>1401-05-04</t>
  </si>
  <si>
    <t>محمد وثوقی</t>
  </si>
  <si>
    <t>محمد کاظمی، میثم عزیزی شربیانی، میلاد افشارمهر، آرمین اوحدی، پژال مرادی لاکه، فیّاض گلستانی، فواد امینی نیا، آیدا ناطقی، فلور فغانی، مهسا چیذری، امیرمهدی جعفری، محمد وثوقی</t>
  </si>
  <si>
    <t>مجتمع فرهنگی هنری ارومیه - پلاتو هنر</t>
  </si>
  <si>
    <t>1401-12-18</t>
  </si>
  <si>
    <t>پارسا کهنسال</t>
  </si>
  <si>
    <t>ترکان کلانتری، پارسا کهنسال، نسادشتی، آرمان ولیزاه، فروغ کنعانی، سعیدعلی نژاد، یاسین مقنی</t>
  </si>
  <si>
    <t>1400-10-23</t>
  </si>
  <si>
    <t>فروزان قاسمی</t>
  </si>
  <si>
    <t>نازنین تامرادی، حسین آقاکثیری، عاطفه عاطفه، محمد دهملایی، مهسا ولی زاده، حمیدرضا بهادر</t>
  </si>
  <si>
    <t>حامد اسماعیل وند</t>
  </si>
  <si>
    <t>کوروش نریمانی</t>
  </si>
  <si>
    <t>سیامک دنیر، بهروز امینی، راضیه حاجی پور، امین کریمی، شیروان پی سوره، پیمان علو موانه، شادی دادشکر</t>
  </si>
  <si>
    <t>1401-03-20</t>
  </si>
  <si>
    <t>سید حمیدرضا حسینی</t>
  </si>
  <si>
    <t>عاطفه کوشکی، پویا انصاری، بهداد روزگار، نیلوفر خراسانی</t>
  </si>
  <si>
    <t>تماشاخانه بامداد - شهریار</t>
  </si>
  <si>
    <t>1400-11-20</t>
  </si>
  <si>
    <t>هامون نوری</t>
  </si>
  <si>
    <t>بهار پاسبان</t>
  </si>
  <si>
    <t>عرشیا زنجانی، نازنین ادیب، پوریا احمدی</t>
  </si>
  <si>
    <t>1400-04-01</t>
  </si>
  <si>
    <t>ارسلان گل محمدی</t>
  </si>
  <si>
    <t>تورنتو وایلر</t>
  </si>
  <si>
    <t>غزال گل محمدی، نازنین رضوانی، محمدعلی شانه ای، آرزو تهرانی، پویا جعفری، فاطمه خرمیان، علی پیله ور، هامین غفاری، فاطمه گرجی، کامیار احمدی، علی عزیزی، ارسلان گل محمدی، ندا محاسن</t>
  </si>
  <si>
    <t>سالن نمایش اصفهان</t>
  </si>
  <si>
    <t>1400-11-03</t>
  </si>
  <si>
    <t>رضا کنگازیان</t>
  </si>
  <si>
    <t>کیمیا مردانپور، سعید کریم زاده، ماریان مؤید، مصطفی فرهادی، احسان شاهکرمی، سوگل سوادکوهی، آریا شیراسماعیلی</t>
  </si>
  <si>
    <t>غزل معصومی</t>
  </si>
  <si>
    <t>روزا منصوری، آنیسا قره داغی، رهام حیدرعلی، مهدی فرسی، دیانا سلطان محمدی، حنانه باقر زاده، سارا مهرداد، آریانا کردی، محمد طاها عباس نیا، یسنا خالقی علیائی، فاطمه امینی</t>
  </si>
  <si>
    <t>1399-05-17</t>
  </si>
  <si>
    <t>شقایق باقری</t>
  </si>
  <si>
    <t>هامون سیدی، هژیرسام احمدی</t>
  </si>
  <si>
    <t>1402-03-26</t>
  </si>
  <si>
    <t>مهناز غمخوار</t>
  </si>
  <si>
    <t>محمدحسین پیوندی</t>
  </si>
  <si>
    <t>(به ترتیب حروف الفبا) کیمیا جواهری، همایون حیدرزاده، مینا زرنانی، عدنان فراهانی، فرشید قلیپور، وحید کریمی، حسین کشفی اصل، انوش معظمی</t>
  </si>
  <si>
    <t>جواد فراهانی</t>
  </si>
  <si>
    <t>یگانه فرجام، محمدرضا دانشی، مانلی حسینی، حسین بلوری، علیرضا زنده نام، مریم فیض الهی، امیرمحمد کیانی، شهاب زنگنه، محمدجهانگیری، محمدمهدی مصیبی، مریم موسوی، فاطمه خان احمدی، سجاد احدزاده، محسن غفاری، ابوالفضل محمودی، انسیه میرامینی، آزاده جاوید، مریم محسنی، پگاه قدس، زینب جوکار، سحر ترازی، نگار زرگر طالبی، مهرشاد آقا میری، شایان احمدپور، نیما طالبی نسب، امیرحسین رحمانی، عسل سندانی</t>
  </si>
  <si>
    <t>1400-12-02</t>
  </si>
  <si>
    <t>رهام مخدومی</t>
  </si>
  <si>
    <t>رهام مخدومی، وهاب بختیاری</t>
  </si>
  <si>
    <t>(به ترتیب ورود به صحنه) مرتضی کردی، صادق کاوانلویی، امیررضا باباولیان، عباس رضائی، تکتم رسول زاده، امین نوروزی، آتیه جاوید، امیر شاه علی، آرسین مخدومی، رویا بختیاری، رهام مخدومی، نیکی میرصادقی، سارا امیدی، هنگامه معلم، سپیده صفری، آرمان جوکار، سعیده گشتاسبی</t>
  </si>
  <si>
    <t>هنرستان هنرهای زیبا اصفهان</t>
  </si>
  <si>
    <t>1402-03-21</t>
  </si>
  <si>
    <t>مجید بدیع زاده</t>
  </si>
  <si>
    <t>مصطفی فرهادی، مجید بدیع زاده</t>
  </si>
  <si>
    <t>دانیال الله گانی، محمدرضا میرزایی، مصطفی فرهادی، پریسا کدخدایی، فاطمه بازایی، محمد سعیدی ناشلیل، فرحناز خالویی، سعید کریم زاده، محمد سجاد مهوری، امیر احمدیان، صدرا اولیایی، مهدی معین</t>
  </si>
  <si>
    <t>محسن علی نژاد</t>
  </si>
  <si>
    <t>رضا خوفی</t>
  </si>
  <si>
    <t>رضا خوفی، حجت حسن پور، بهنام شیخلو، آیلار یزدانی، مهدیه حسینی، محسن علی نژاد</t>
  </si>
  <si>
    <t>ایمان شفیعی</t>
  </si>
  <si>
    <t>پریسا اورنگی</t>
  </si>
  <si>
    <t>پریا انصاردزفولی، ایمان شفیعی، ثناسادات سجادی</t>
  </si>
  <si>
    <t>1401-03-09</t>
  </si>
  <si>
    <t>نیما ثبوتی</t>
  </si>
  <si>
    <t>مهدی ملکی</t>
  </si>
  <si>
    <t>محمدرضا پناهی، امیرحسین دولّی، نسیم قلهکی، احمد بیستونی، امیرحسین سیداسماعیل، امید قاسمی، امیرحسین فارسی، فاطمه طاهری، سمیرا لطفی، بهار قزل ایاق، محمدعلی آقاخانی، متین فرهنگ، مهوش چراغی، ترانه اسفهبد، وحید امیدزاده، پارسا فرجادمنش، نیما ثبوتی</t>
  </si>
  <si>
    <t>1400-11-16</t>
  </si>
  <si>
    <t>علی درزی</t>
  </si>
  <si>
    <t>فواد امینی نیا، محمد وثوقی، آرمین احمدوند، میلاد افشارمهر، مهسا چیذری، امیرحسین لاری، میثم عزیزی شربیانی، مالک خادمی، علی درزی</t>
  </si>
  <si>
    <t>دلارام موسوی</t>
  </si>
  <si>
    <t>تماشاخانه حافظ - کاشان</t>
  </si>
  <si>
    <t>1401-03-30</t>
  </si>
  <si>
    <t>مهدی محمدی</t>
  </si>
  <si>
    <t>شهرام احمدزاده</t>
  </si>
  <si>
    <t>(به ترتیب ورود) علی صادقی، محمدحسین صالحی خراجی، علیرضا نوحه، فرزانه آیافت، رضا صالحی خراجی، فائزه کلبری، امید فلاح، فاطمه اربابی، محمد امین مظاهری، مهدی رضایی</t>
  </si>
  <si>
    <t>1398-12-16</t>
  </si>
  <si>
    <t>میلاد فرج زاده</t>
  </si>
  <si>
    <t>(به ترتیب ورود) صبا سرور، سپهر زمانی، الهام جدی، الهه فرازمند، علی پوراحمدیان، فرنوش نیک اندیش، رضا مرشد</t>
  </si>
  <si>
    <t>1400-05-24</t>
  </si>
  <si>
    <t>مجتبی کاظمی</t>
  </si>
  <si>
    <t>حسام افسری، حسین طهماسبی</t>
  </si>
  <si>
    <t>ابراهیم عبدی</t>
  </si>
  <si>
    <t>علیرضا اجلی</t>
  </si>
  <si>
    <t>نغمه طوسی، مصطفی عطری، محمدرضا آریان</t>
  </si>
  <si>
    <t>1402-03-19</t>
  </si>
  <si>
    <t>محمدرضا حسن زاده</t>
  </si>
  <si>
    <t>محمد عمادی، سوگند دیانی، محمدرضا حسن زاده</t>
  </si>
  <si>
    <t>00:25:00</t>
  </si>
  <si>
    <t>1398-10-17</t>
  </si>
  <si>
    <t>نورا کاظمی</t>
  </si>
  <si>
    <t>(به ترتیب حروف الفبا) یگانه سپهرجو، لیدا کبیری، مهناز کرباسچیان، مریم نجاتی پور</t>
  </si>
  <si>
    <t>حامد خسروی</t>
  </si>
  <si>
    <t>سیامک ادیب، مهدی شاهی، سحر باقرآبادی، حامد خسروی</t>
  </si>
  <si>
    <t>علی روحی</t>
  </si>
  <si>
    <t>آرام محضری</t>
  </si>
  <si>
    <t>صابر کریمی، فرناز رحمانی، ارغوان طاهری فرد، مهدی کازرانی</t>
  </si>
  <si>
    <t>فرهنگسرای مهر، تماشاخانه ماه - کاشان</t>
  </si>
  <si>
    <t>1401-08-14</t>
  </si>
  <si>
    <t>امیررضا کوهستانی</t>
  </si>
  <si>
    <t>(به ترتیب حروف الفبا) فائزه ازناویان، مریم دهقانی، وحید رزاقی، معین صنعتگر، رویا فخاری، آرزو قربانپور</t>
  </si>
  <si>
    <t>1400-06-22</t>
  </si>
  <si>
    <t>فائزه محمدیان</t>
  </si>
  <si>
    <t>ابوالفضل علیاری، سحر بیرانوند، الهه شیدایی، حامد خسروی، سپهر ابراهیمی، محسن مرادی پور، نیلوفر روغنی، آتنا موسوی، البرز کهندل، فائزه محمدیان</t>
  </si>
  <si>
    <t>رامتین رشوند</t>
  </si>
  <si>
    <t>پوریا طهرانی (با اقتباس از رمان ملکوت بهرام صادقی)</t>
  </si>
  <si>
    <t>سجاد باقری، صبا صدیق زاده، محمدرضا فارابی، محیا صدر زاده، پوریا طهرانی، اسماعیل صالحی، حمیدرضا نوروزی، حسین مهدوی، محمد حسن سلمانی، پویان رضایی، رضا طالبی زاده و بازیگر خردسال امیرعلی خازنی</t>
  </si>
  <si>
    <t>عمارت سیمرغ درنیکا - سالن یک</t>
  </si>
  <si>
    <t>1401-08-08</t>
  </si>
  <si>
    <t>جواد جوشن لو</t>
  </si>
  <si>
    <t>نوید محسنیان (مهمان از گروه پارادوکس)، جواد جوشن لو، عارف عباسی (مهمان از گروه چارپایه )، سیما شایسته، افشین کامیابفرد، رهی احتشام، مریم قریشی</t>
  </si>
  <si>
    <t>1400-11-27</t>
  </si>
  <si>
    <t>عرفان قوهستانی</t>
  </si>
  <si>
    <t>(به ترتیب ورود به صحنه) میلاد شعبانی، عمران میران زاده، علی سلطانی، پگاه گودرزی، ایما صنایع زیبا، امیرعلی عارف پور، مرضیه ابراهیمی، پرند عین بیگی، محمد علی شهیدی، راستین حبیبی بزرگ، علی افخمی، محمدرضا فرزاد، لیلا احمدی، میثم میران زاده، آرزو ترابی</t>
  </si>
  <si>
    <t>رضا مولایی</t>
  </si>
  <si>
    <t>پیتر بروک، ماری هلن اشتاین</t>
  </si>
  <si>
    <t>شیوا اردویی، ملیحه آقایی، ندا اسدی، یاسر اصغری، مهسا جمشیدی، محمد شامی، احسان صادقی، بهنام غفاری، نیما میرزابیگی، سعیده قوچ کانلو، لاله هوشنگی</t>
  </si>
  <si>
    <t>1398-12-15</t>
  </si>
  <si>
    <t>امیر رضا نظری، غزال راه اورد</t>
  </si>
  <si>
    <t>1401-04-15</t>
  </si>
  <si>
    <t>شکیبا علیزاده</t>
  </si>
  <si>
    <t>فیلیپ کلودول</t>
  </si>
  <si>
    <t>مجتبی طباطبایی، ایمان اکرمی، سارا دغاغله</t>
  </si>
  <si>
    <t>1401-12-22</t>
  </si>
  <si>
    <t>غلامرضا عربی</t>
  </si>
  <si>
    <t>مریم دیهیم بخت، ندا سلیمانی، شیما شوری، حمیدرضا کیانیخواه، مسیحا موسوی، علی خدایاری، حمیدرضا فلاحی، زهره شعبانی، زهره میرشفیعیان، سهیلا جعفرآبادی، حانیه رستگاری</t>
  </si>
  <si>
    <t>1400-03-30</t>
  </si>
  <si>
    <t>حسن طبیب زاده</t>
  </si>
  <si>
    <t>1401-07-24</t>
  </si>
  <si>
    <t>سید میثم قاسمی نژاد</t>
  </si>
  <si>
    <t>رضا مرادی نژاد، سید میثم قاسمی نژاد، احمد تات</t>
  </si>
  <si>
    <t>1399-12-19</t>
  </si>
  <si>
    <t>امید سعیدپور</t>
  </si>
  <si>
    <t>سم شپارد</t>
  </si>
  <si>
    <t>محمدرضا چرختاب، امید سعیدپور، شادی امیری</t>
  </si>
  <si>
    <t>پلاتو تجربه - کرمانشاه</t>
  </si>
  <si>
    <t>16:30:00</t>
  </si>
  <si>
    <t>سعید نوروزی</t>
  </si>
  <si>
    <t>محمدرضا زندی</t>
  </si>
  <si>
    <t>بیژن مرادی، مریم السادات موسوی</t>
  </si>
  <si>
    <t>1398-11-15</t>
  </si>
  <si>
    <t>محمد احسان کریمی، آرزو خسروی</t>
  </si>
  <si>
    <t>آرش میرطالبی (بر اساس نوشتهای از محمد احسان کریمی)</t>
  </si>
  <si>
    <t>همایون حیدرزاده (مهمان از گروه آرک آو آرت)، سینا ابوالحسنی_x000D_بازیگران بیرون</t>
  </si>
  <si>
    <t>تینو صالحی</t>
  </si>
  <si>
    <t>(به ترتیب حروف الفبا) مصطفی ایزدی، محمدرضا اصغری، ژوبین آبین، امیرمهدی بیات، علی باغبانمنش، امیرحسین خانلو، امیرحسین خواجه لو، متین رحمانی، آیناز صمدی، سوگند طرفه، کیمیا مهرآبادی، امیرحسین فولادی، محسن قاضی، نازنین کاظم پور، امیر محمد کریمی، سارینا مشهدی میرزایی، ملیکا مهماندوست</t>
  </si>
  <si>
    <t>رومینا مومنی، حامد رسولی</t>
  </si>
  <si>
    <t>محمدعلی زمانی</t>
  </si>
  <si>
    <t>هلموت کراوزر</t>
  </si>
  <si>
    <t>ندا مقصودی، وحید جباری</t>
  </si>
  <si>
    <t>1400-12-06</t>
  </si>
  <si>
    <t>نیما صمدی</t>
  </si>
  <si>
    <t>علی اصغری</t>
  </si>
  <si>
    <t>(به ترتیب ورود) محمد تاجیک، نازنین مسکنی، نیما صمدی، علیرضا عرب، علی حاجیلو، احمدرضا هیبتی، فرشید حاجیان</t>
  </si>
  <si>
    <t>امیرحسین بختیاری</t>
  </si>
  <si>
    <t>فرهاد داوریکیا، بهراد محمدی، امیرعلی قلیپور، کیمیا نصیری، محمد حسین کیا، عاطفه موسوی، سید نیما سپهرار، شکیبا آدینه، هانیه آرمیده، مهیار دستمزدی، دانیال یعقوبی</t>
  </si>
  <si>
    <t>مهتا احمدی</t>
  </si>
  <si>
    <t>حسین مطیع امیری، صدرا محمدی، ساینا عابدخجسته، محمد سپهر خدارحمی، علیرضا عابدینی مرام و مهتا احمدی</t>
  </si>
  <si>
    <t>مژگان خالقی</t>
  </si>
  <si>
    <t>ریحانه سلامت، فرزانه سهیلی، غزاله جزایری، میثم عبدی، محمدعلی کاظمی، سپنتا پزشکی، النا میرزاییان، نوید بانی</t>
  </si>
  <si>
    <t>محمد پیغمبری</t>
  </si>
  <si>
    <t>مهدی ضیاچمنی</t>
  </si>
  <si>
    <t>امیرحسین رحیمی، سپیده موسوی، مهسا آبیز</t>
  </si>
  <si>
    <t>00:20:00</t>
  </si>
  <si>
    <t>یوجین اونیل</t>
  </si>
  <si>
    <t>مرجان رزم آزما (روزهای فرد)، دلارام زرگر (روزهای زوج)</t>
  </si>
  <si>
    <t>محمد میرزاحسینی</t>
  </si>
  <si>
    <t>کسری راحمی، مهدی رفیعی، آریان مجد</t>
  </si>
  <si>
    <t>1400-08-12</t>
  </si>
  <si>
    <t>شادی اسدپور</t>
  </si>
  <si>
    <t>(به ترتیب ورود به صحنه) (گروه اول از ۲۶ مهر تا ۲ آبان) هلیا تصدیقی، مهشید صدری، سعید آهنگران، علی انیسی، کیوان راکی، علی محمدنیا، محمد عورکی، پرستو بازیار، (گروه دوم از ۳ آبان تا ۱۲ آبان) مهسا اسدپور، احمد عزیزی، مهدی دنیوی، میثم یوسفی، امیرپوریا مسعودنیا، محمد عباسی گراوند، مهرداد جوانمردی، ماهک هادی صادق</t>
  </si>
  <si>
    <t>1401-07-20</t>
  </si>
  <si>
    <t>مهدی بختیاری</t>
  </si>
  <si>
    <t>مصطفی لطیفی خواه، غزاله توده زعیم، بهزاد حاجی حسنی، فائزه امیری (پاییز)</t>
  </si>
  <si>
    <t>پلاتو حیاتی مهر - کرج</t>
  </si>
  <si>
    <t>1401-06-27</t>
  </si>
  <si>
    <t>سید امیر هاشمی طباطبایی</t>
  </si>
  <si>
    <t>مریم سلامت پور، شیدا متنجم</t>
  </si>
  <si>
    <t>پریسا محمدی</t>
  </si>
  <si>
    <t>حسن برزگر</t>
  </si>
  <si>
    <t>(به ترتیب الفبا) آریو امیری، امیرحسین امیری راد، علی ایزدی، تانیا بیات، میثم خدایی، ستایش خوش طینت، محمدرضا دهگان، صبا سبحانی، محمد سپهری، امیررضا علمداری، ملیکا فراهانی، علی کرمانی، سمیرا محمدی، پیام میرمصطفی، امیر محمود نورایی</t>
  </si>
  <si>
    <t>مهدی رضایی</t>
  </si>
  <si>
    <t>صادق حسینی، محمد حسین خدمت پرست</t>
  </si>
  <si>
    <t>1401-03-05</t>
  </si>
  <si>
    <t>سیامک صفری</t>
  </si>
  <si>
    <t>(به ترتیب الفبا) شهرام آریا، رامین بذرافشان، نادیا بهداروند، حانیه بیات، مهسا پارساراد، رامیار جنانی، نیوشا دلشادیان، امیرمحمد رفیعخواه، سامان رنجبر، سولماز زارع، شبنم زارعی، امیرمهدی شبیری، عادل صاحبی، الهام فراشاه، حامد قنبری، نازگل ماهانی، یکتا محسنی، محمد ملکانی، امیر نادین به، متین هوشمندی</t>
  </si>
  <si>
    <t>1400-09-05</t>
  </si>
  <si>
    <t>علی روان بد</t>
  </si>
  <si>
    <t>نیما عابدی خیابان، هلیا رضایی، محمد عباداللهی، ابوالفضل سلحشور، میترا مسائلی، فرزاد دشتی، آرش غلامی، عیسی محمدی، رویا نسیمی، شیما پروهان، امیر شریعت، فربد علینقیان، پوریا جلال وندی، مانلی خاتمی، مجید کشاورز، سینا ابهری</t>
  </si>
  <si>
    <t>1400-09-09</t>
  </si>
  <si>
    <t>حسن عظیمی</t>
  </si>
  <si>
    <t>لیلا دانشیار</t>
  </si>
  <si>
    <t>1401-06-17</t>
  </si>
  <si>
    <t>علیرضا حمیدین</t>
  </si>
  <si>
    <t>محمد شریفی، سینتیا سرکیس وارطانیان، میلاد اسکندری، آرمیتا فروزنده اصیل، زهرا حیدری، محمدرضا محمدبیگی</t>
  </si>
  <si>
    <t>1400-07-19</t>
  </si>
  <si>
    <t>آرمین جباره اصل، علیرضا حافظی</t>
  </si>
  <si>
    <t>علیرضا حافظی</t>
  </si>
  <si>
    <t>صالح سخاوت، پارسا دانشمند، پویا یگانه دوست، وانیا کاظمی، محمد گرجی، شقایق السادات گیلانی و زهرا حسینی</t>
  </si>
  <si>
    <t>ایمان یگانی</t>
  </si>
  <si>
    <t>(به ترتیب ورود) مهدی سهراب، صبا خانی، محسن شبان، پگاه آلاشتی، فریبا نیروئی</t>
  </si>
  <si>
    <t>مهدی صائمی</t>
  </si>
  <si>
    <t>مهدی اسدی، مهدی صائمی</t>
  </si>
  <si>
    <t>1399-12-02</t>
  </si>
  <si>
    <t>فریماه قاسمی، کیمیا نصیری، محمد رضایی، مهدی رشیدی، صبا نیک خواه بهرامی، محمد حسن بورچی، ایمان خرقانی</t>
  </si>
  <si>
    <t>محمد خیرخواه</t>
  </si>
  <si>
    <t>ناصر حسینی مهر</t>
  </si>
  <si>
    <t>مهدی امیر ارسلانی، مهدی آقازاده، محمدخیرخواه، آیداجلیل زاده، هانیه بهنام</t>
  </si>
  <si>
    <t>(به ترتیب ورود) تینو صالحی، بهروز پناهنده، گیلدا حمیدی، لبخند بدیعی، مجید رحمتی، نجلا نظریان، غزاله جزایری، دلسا کریم زاده، مسعود انتظاری، شادی ضیایی (مهمان از گروه تئاتر واسومانی)، رضا بهرامی</t>
  </si>
  <si>
    <t>صحرا فتحی</t>
  </si>
  <si>
    <t>(به ترتیب ورود) تینو صالحی، نجلا نظریان، هامون سیدی، صحرا فتحی، دلارام ترکی، سعید دشتی</t>
  </si>
  <si>
    <t>1400-11-14</t>
  </si>
  <si>
    <t>امین زندگانی</t>
  </si>
  <si>
    <t>ویلیام شکسپیر</t>
  </si>
  <si>
    <t>(به ترتیب حروف الفبا) صدف اسداللهی، آرین آقاقلی زاده، آرزو امیری، شروین پناهی، مهدی پورجمال، محمد تاجیک، مهدی حکمتی، بیتا رحمانی، زهرا شفیعی، مهدی شعبانی، مهدی صمیمی، ماهان عبادتی، هیوا قصیوند، امیرحسین کیقبادی، محمد مرادی، آیسان مشفق، سارا مهدوی، علیرضا وزیری، محمدرضا وزیری</t>
  </si>
  <si>
    <t>پردیس تئاتر تهران - سالن اصلی</t>
  </si>
  <si>
    <t>1400-11-22</t>
  </si>
  <si>
    <t>مریم شعبانی</t>
  </si>
  <si>
    <t>محدثه جوادی، فاطمه مرادی، فاطمه نوری شکری، فاطمه مسعودیان</t>
  </si>
  <si>
    <t>1401-02-09</t>
  </si>
  <si>
    <t>سیدعلی موسویان</t>
  </si>
  <si>
    <t>(به ترتیب ورود به صحنه) لیلا ملک آرا، میلادسرایی، هانیه یوسفی، امیرحسین زارع، هادی آبیاری، آرتا مقدری، فرنود حاجی آخوندزاده، نیلسا رجب زاده، عرشیا مقدری، محمدحسین قدیری</t>
  </si>
  <si>
    <t>1400-08-19</t>
  </si>
  <si>
    <t>امیرحسین قلی پور</t>
  </si>
  <si>
    <t>مارال قادری، معین گرجی، ارسلان کریمزاده، فاطمه آموزگار، امیرحسین قلی پور</t>
  </si>
  <si>
    <t>1402-04-11</t>
  </si>
  <si>
    <t>میشل ریپ</t>
  </si>
  <si>
    <t>سارا دغاغله، امیرپوریا مسعودنیا، آیلار (آتنا) صدرخواه، مائده جزی، مونا حسن زاده، سارا جمالپور، علی ایزدی</t>
  </si>
  <si>
    <t>میثم یوسفی</t>
  </si>
  <si>
    <t>فریده دریامج، مهدی وثوقی راد، آتیه جاوید، علی رجائی، ناصر آویژه، میثم یوسفی، مجید قربانی، باران ستوده، ساناز روشنی، زیبا کاظمی، راهله تاجیک، منیره شریعت زاده، سایان کارگردی، امیرحسین جعفرپور، ماه پری قوی قلب، آرام مصطفوی</t>
  </si>
  <si>
    <t>1400-12-22</t>
  </si>
  <si>
    <t>فرهنگ روشنی</t>
  </si>
  <si>
    <t>سینا سوری، وجیهه لاریجانی، پوریا خدابخش، امیرحسین قنبرزاده، مائده سلیمی، هورش ترک، شادی آقایی، فرزاد نیروفر، نجمه نصیری، آوین خاکپورنیا، محدثه صفاری</t>
  </si>
  <si>
    <t>تماشاخانه خاتون</t>
  </si>
  <si>
    <t>1400-09-16</t>
  </si>
  <si>
    <t>آرزو حاتمی</t>
  </si>
  <si>
    <t>(به ترتیب ورود به صحنه) آرزو حاتمی، طاها شادفر، امیرمحمد آتشی، سونیا معبودی، شقایق شرفی، امیر سینا ملایجردی</t>
  </si>
  <si>
    <t>فرهنگسرای نیاوران - سالن گوشه</t>
  </si>
  <si>
    <t>وجیهه کریمی هُسنیجه</t>
  </si>
  <si>
    <t>ابراهیم کریمی هُسنیجه</t>
  </si>
  <si>
    <t>داریوش محمودی، محمد حسین دلیر، سینا رمضانی، ستایش چگینی، زهرا آقایی</t>
  </si>
  <si>
    <t>خانه مستقل تهران - پلتفرم هنرهای اجرایی پستو</t>
  </si>
  <si>
    <t>01:50:00</t>
  </si>
  <si>
    <t>فرزاد امینی</t>
  </si>
  <si>
    <t>(به ترتیب حروف الفبا) نازنین زهرا برومند، آزیتا رحیمی، شاهین عبدیان، مونا کریمی، غزل منعمی، یاسمن مؤمنی</t>
  </si>
  <si>
    <t>سالن موج نو - کرمان</t>
  </si>
  <si>
    <t>مهدی آسمانی</t>
  </si>
  <si>
    <t>زهرا نخعی، ستارسنجری، مهدی آسمانی</t>
  </si>
  <si>
    <t>سیاوش پاکراه</t>
  </si>
  <si>
    <t>(اجراگران) مصطفی لطیفی خواه، محمد هادی غضنفری، امیر تک فلاح، میلاد حکمت پیرا، محسن صالحی</t>
  </si>
  <si>
    <t>1400-05-10</t>
  </si>
  <si>
    <t>مرتضی برزگرزادگان</t>
  </si>
  <si>
    <t>وودی آلن</t>
  </si>
  <si>
    <t>محمدرضا هاشمی، بابک قادری، ساناز روشنی</t>
  </si>
  <si>
    <t>1401-06-24</t>
  </si>
  <si>
    <t>ویدا قراگوزلو</t>
  </si>
  <si>
    <t>فرشید ذوالفقاری فرد</t>
  </si>
  <si>
    <t>حامد خسروی، محمد حداد کاشانی، شهلا رحیمی، آزیتا ابریشمیموحد، مریم راجع، سعید پارسا، فرشید ذوالفقاری فرد</t>
  </si>
  <si>
    <t>وحید نفر</t>
  </si>
  <si>
    <t>اصغر گروسی</t>
  </si>
  <si>
    <t>مجید رحمتی، سعید ابک، پانته آ مرزبانیان، امیرحسین انصافی، سامان شکیبا، مرتضی دلداده، مرجان رضائی، مریم روحبخش، ساره گندمی، سارا رضایی، علی نجاریان، محمد حسین دلیر، محمد رضایی، سجاد احمدی نیا</t>
  </si>
  <si>
    <t>1398-11-18</t>
  </si>
  <si>
    <t>محمدرضا جمال</t>
  </si>
  <si>
    <t>داریو فو</t>
  </si>
  <si>
    <t>دامون بستاک، اسدالله پورحمزه، حوری کاظمیها، حمیدرضا شباهنگ فرد، سوگل سیدصدر، فاطمه نوروزی، جواد کمانی، محمدعلی امین</t>
  </si>
  <si>
    <t>1399-11-17</t>
  </si>
  <si>
    <t>جلال احمدپور</t>
  </si>
  <si>
    <t>(به ترتیب حروف الفبا) سید عرفان اطهری، جلال احمدپور، دانیال کریمی</t>
  </si>
  <si>
    <t>1400-12-24</t>
  </si>
  <si>
    <t>امیرعلی ابراهیمی، هانیه بهاری</t>
  </si>
  <si>
    <t>محمد (کوروش) علیزاده، احسان داوودی، علی محمدنژاد، شبنم احدی، ادیب احمدی، ریحانه گودینی، علی تیمورفامیان اصل، امیرعلی ابراهیمی، نرگس صراف، محمد صدیق، هانیه بهاری، سیاوش مشتاقی، یلدا عباس زاده، گندم محمدی، نیلوفر زینلی، الهه کوه بر</t>
  </si>
  <si>
    <t>تئاتر هامون</t>
  </si>
  <si>
    <t>امیرموسی کاظمی</t>
  </si>
  <si>
    <t>(به ترتیب ورود) حسین کشفی اصل، مینا شجاعیان، سوده ازقندی، پانته آ مهدی نیا</t>
  </si>
  <si>
    <t>1400-08-30</t>
  </si>
  <si>
    <t>سعید بکایی</t>
  </si>
  <si>
    <t>مهناز طاهری</t>
  </si>
  <si>
    <t>سپیده معصومی نسب، صفورا کاظم پور، مهناز طاهری، زهرا عسگری، فائزه احمدی، مرضیه نوش مهر، اسما قاسمی، معصومه اسفندیاری</t>
  </si>
  <si>
    <t>جواد مولانیا</t>
  </si>
  <si>
    <t>بشیر اصلانیان، امیرحسین جوانی، امیرمحمد رفیعخواه، فائقه شلالوند، کوثر صمدی، میثم عبدی، مرتضی علی دادی، عارف عباسی، سجاد قربانی، سپیده کاشی ها، زهرا مرادی، رایحه وصالی</t>
  </si>
  <si>
    <t>تالار شهر شهرداری - خنج</t>
  </si>
  <si>
    <t>1401-03-02</t>
  </si>
  <si>
    <t>مجتبی حسینی</t>
  </si>
  <si>
    <t>محمد جوادعباسی، مهدی پولادی، حسام الدین پریدخت، محمود چربدست، نرجس صفی خانی ایگدر</t>
  </si>
  <si>
    <t>1401-09-13</t>
  </si>
  <si>
    <t>سجاد یاری فیروزآبادی</t>
  </si>
  <si>
    <t>مصطفی دارابی، احمد افشاری، علی چایچی، هستی احمدی منش، فاطمه کاظمی، محسن کریمی</t>
  </si>
  <si>
    <t>1400-12-13</t>
  </si>
  <si>
    <t>شایان افشردی</t>
  </si>
  <si>
    <t>(نگارش برای اجرا) شایان افشردی</t>
  </si>
  <si>
    <t>احسان معجونی، آوا تدین، اشکان زهتاب</t>
  </si>
  <si>
    <t>فرنود سمیع</t>
  </si>
  <si>
    <t>معین رمضانی</t>
  </si>
  <si>
    <t>ارشیا اعتمادی</t>
  </si>
  <si>
    <t>رضا رباط</t>
  </si>
  <si>
    <t>رویا جزینی، معصومه میراشه، حمیدرضا محتشمی، دریا قاسمی، رضارباط، رهام حسنی، تمنا قشلاقی، ملیکا سلیم پور</t>
  </si>
  <si>
    <t>وحید منافی</t>
  </si>
  <si>
    <t>حامد مقدسی</t>
  </si>
  <si>
    <t>وحید منافی، حامد مقدسی، عرفان سلیمی، علیرضا داوودوندی</t>
  </si>
  <si>
    <t>سالن مجتمع فرهنگی و هنری (گنبد کاووس)</t>
  </si>
  <si>
    <t>بهزاد گلچشمه</t>
  </si>
  <si>
    <t>حمیدرضا میرزایی</t>
  </si>
  <si>
    <t>شیوا رزاقی، پریسا امیدوار، فاطمه یازرلو، آناهیتا قربانی، امیدرضا فرهمند</t>
  </si>
  <si>
    <t>فرزاد سهرابی</t>
  </si>
  <si>
    <t>(به ترتیب ورود به صحنه) هادی فلاح، مهدی جعفری، حسام قانونی، گندم ابراهیمی، نوش آفرین شریف احمدی، سحر دانش، محسن اصغری، مصطفی فرهادمهر، فرزاد سهرابی، هدا قریشی، آیلار امیری</t>
  </si>
  <si>
    <t>1400-03-31</t>
  </si>
  <si>
    <t>فاطمه زمانی</t>
  </si>
  <si>
    <t>عباس جمالی</t>
  </si>
  <si>
    <t>علی پیله ور، صفورا کاظم پور، نوشین سرکوبی، هانیه عادلزاده، ستایش انیسی، فاطمه زمانی</t>
  </si>
  <si>
    <t>امیررضا سیستانی</t>
  </si>
  <si>
    <t>امیرعباس مسگرانی، مهشید شایسته پور، پدرام روشن، سهیل مطهری نژاد، مبینا وثوقی، نرگس خضری، منا گنج آبادی، آیسا منعمی</t>
  </si>
  <si>
    <t>فقیهه سلطانی</t>
  </si>
  <si>
    <t>فرزانه سهیلی</t>
  </si>
  <si>
    <t>(به ترتیب حروف الفبا) گیلدا حمیدی (آنا)، شهروز دل افکار (دراکولا)، افشین غیاثی (پیشخدمت و ...)، مهسا مهجور (ماریا)، نورا هاشمی (هلن)</t>
  </si>
  <si>
    <t>امیر سفیری</t>
  </si>
  <si>
    <t>دیبا سمن، امیر سفیری</t>
  </si>
  <si>
    <t>دیبا سمن</t>
  </si>
  <si>
    <t>1400-09-30</t>
  </si>
  <si>
    <t>آرمان شیرالینژاد</t>
  </si>
  <si>
    <t>گلناز ساکی، آرمان شیرالینژاد</t>
  </si>
  <si>
    <t>(به ترتیب ورود) وحید پیشگاهزاده، مهدی طایفه عباسی، مهدی رفیعی، مهرگان آریایی، خالق استواری، محمد فتح اللهی، هلیا رضایی، شکوفه احمدی، مصطفی احدی، جواد سحر، حورا خسرومنش، مسعود بیات، محمدمتین سرابی، شاهنگ علیکناری، سارا فتحی، حمید رشید</t>
  </si>
  <si>
    <t>1401-10-17</t>
  </si>
  <si>
    <t>مهتاب گلکار</t>
  </si>
  <si>
    <t>پریسا محسنی، مهتاب گلکار، نیلوفر عمرانی فرد، زهرا درخشان، فاطمه کوثری، فاطیماه مرتضوی، هلیا مهرپویا، نگار غفاری، ساغر عمویی، نرگس صادقی، نازآفرین عالم زاده. زهرا حسین زاده، سمیه شاه رضایی، نازلی مرادخانی</t>
  </si>
  <si>
    <t>1401-04-29</t>
  </si>
  <si>
    <t>عبدالرضا یعقوبی</t>
  </si>
  <si>
    <t>محمود خسروپرست</t>
  </si>
  <si>
    <t>(به ترتیب ایفای نقش) نیوشا رضوانی، حسین معدننشین، مژگان چارانی، رها آرشید، فائزه صفوی، دنیا نقیبی</t>
  </si>
  <si>
    <t>محمد چیت سازی (نادر دلشاه) (نادر دلشاه)</t>
  </si>
  <si>
    <t>ماتیو دولاپورت، الکساندر دولاپتولیر</t>
  </si>
  <si>
    <t>(به ترتیب ورود)حسام حسینی، سارا شاه مرادی، حامد صالح پور، محمد چیت سازی (نادر دلشاه) (نادر دلشاه)، فرنیا احمدوند، سعید عابدی (پیک پیتزا)</t>
  </si>
  <si>
    <t>1400-05-15</t>
  </si>
  <si>
    <t>رامین دولت آبادی</t>
  </si>
  <si>
    <t>سباستین تیری</t>
  </si>
  <si>
    <t>نگار عزیزی، محمد براتعلی، فائزه ثنایی، امیرحسین نعیمی</t>
  </si>
  <si>
    <t>1401-06-14</t>
  </si>
  <si>
    <t>علیرضا کامیارنیا</t>
  </si>
  <si>
    <t>حسین گودرزی</t>
  </si>
  <si>
    <t>فرید عزیزی، صدف گودرزی، سرور خسروانی</t>
  </si>
  <si>
    <t>ناصر آویژه</t>
  </si>
  <si>
    <t>گیتا داودی</t>
  </si>
  <si>
    <t>(به ترتیب ورود)علی یعقوب زاده، رها آویژه و عباس افشاریان</t>
  </si>
  <si>
    <t>1398-11-14</t>
  </si>
  <si>
    <t>دانیال اربابی</t>
  </si>
  <si>
    <t>(به ترتیب ورود به صحنه) مهدی ملک، حسین مهدوی سلیمی، محمد عبداللهی، سعید اولیائی، مرضیه گل محمدی، نیلوفر حاجی زاده، مریم کریمی، پردیس شاهواری، امیر ملکی، فرزانه بهنیا، یاسمن حسینی، کیارا کیاشمشکی و کسری هدایت نیا</t>
  </si>
  <si>
    <t>1399-04-19</t>
  </si>
  <si>
    <t>علی یعقوبی</t>
  </si>
  <si>
    <t>زهرا درگاهی، سید محمد هاشمی، حمیدرضا دادار، سید سجاد حسینی</t>
  </si>
  <si>
    <t>1402-02-20</t>
  </si>
  <si>
    <t>علی ثابتیپور</t>
  </si>
  <si>
    <t>تایماز رضوانی</t>
  </si>
  <si>
    <t>محمدمهدی رضائی، شیرین درستکار، پرنیا بلانیان، ابوالفضل زمانی، محمدجواد شعبانی، امیرمهدی هارونی</t>
  </si>
  <si>
    <t>1401-09-30</t>
  </si>
  <si>
    <t>رضا صالحی خراجی</t>
  </si>
  <si>
    <t>سید محمد مسعودی علوی، حسین عباسپور، ابوالفضل عظیمی تبریزی، صدف صمدیان، محمدحسین صالحی خراجی، عسل محققی، محدثه کامران منش، شکیبا ابراهیمی، الهیار قاسمیان</t>
  </si>
  <si>
    <t>میلاد معیری، مهدی یگانه، علیرضا عبدالکریمی</t>
  </si>
  <si>
    <t>ناصر آویژه، امیرحسین انصافی، شاهین گلکار</t>
  </si>
  <si>
    <t>نسیم مقدم، ارغوان راستی</t>
  </si>
  <si>
    <t>نسیم مقدم</t>
  </si>
  <si>
    <t>آیدا رضائی، نسیم مقدم، شادی دهقان، ارغوان راستی، یاسمن وفایی</t>
  </si>
  <si>
    <t>1398-11-27</t>
  </si>
  <si>
    <t>پوریا سمندری</t>
  </si>
  <si>
    <t>سینا سمندری</t>
  </si>
  <si>
    <t>احسان اسدالهی، مصطفی موحدی نیا، کیارش نسودری، حامد یادگار زاده، امیرحسین بابایی، کیمیا زینی وند، مهرناز منفرد، سهیل گل بابایی، درسا بابایی، ستاره توکلی نژاد</t>
  </si>
  <si>
    <t>المیرا آزاد</t>
  </si>
  <si>
    <t>(به ترتیب ورود) زهرا پاشاپور، شیرین عطاالهی، مریم حاج محمدی، تارا ارژنگی، مهرداد فراهانی</t>
  </si>
  <si>
    <t>1401-03-19</t>
  </si>
  <si>
    <t>شایان شهرابی</t>
  </si>
  <si>
    <t>شایان شهرابی (با نگاه و برداشتی از نمایشنامه میز بهار کاتوزی)</t>
  </si>
  <si>
    <t>(به ترتیب حروف الفبا) امیر احمدی، زهرا حیدری، مرجان شاکری، پارسا شاهین، محمد عباسی، حسین نیکزاد</t>
  </si>
  <si>
    <t>دلارا نوشین</t>
  </si>
  <si>
    <t>بت هنلی</t>
  </si>
  <si>
    <t>آزاده اسماعیل خانی، تینا بخشی، علیرضا مؤیدی، سارا توکلی، پگاه ارضی، تورج ثمینی پور</t>
  </si>
  <si>
    <t>اشکان درویشی</t>
  </si>
  <si>
    <t>مهدی شاکویی</t>
  </si>
  <si>
    <t>(به ترتیب حروف الفبا</t>
  </si>
  <si>
    <t>1400-10-03</t>
  </si>
  <si>
    <t>آرتور کوپیت</t>
  </si>
  <si>
    <t>تارا ابطحی، میلاد اتابکی، آیسان بهزادی، نازنین بیوک، مریم تمجیدی، مجید تیزرو، شادی خلیلی، علیرضا دهنوی، نازنین رضوانی، عبدالرضا صفری دریایی، امین ظریف نگر، زهرا فتحی، الهه کاکائی، ارسلان گل محمدی</t>
  </si>
  <si>
    <t>1399-12-28</t>
  </si>
  <si>
    <t>(به ترتیب ورود گروه اول از ۱۷ تا ۲۳ اسفندماه و گروه دوم از ۲۴ تا ۲۸ اسفندماه) شقایق زال پور، مهسا میر کاظمی، کیمیا مرادی رفیق، محمد سعید آهنگر، هلیا عطایی، علی انیسی، علیرضا دهنوی، بامداد تهمتن، پرستو بازیار، مهسا اسدپور، مهشید صدری، هومن جعفرزاده، شکیبا نور، علی موسوی، محمدعلی هاشمی، امیرارسلان میرحسینی</t>
  </si>
  <si>
    <t>01:55:00</t>
  </si>
  <si>
    <t>1401-05-23</t>
  </si>
  <si>
    <t>(بر اساس حروف الفبا) نازنین زهرا برومند، آزیتا رحیمی، مونا کریمی، شاهین عبدیان، غزل منعمی، یاسمن مؤمنی</t>
  </si>
  <si>
    <t>حسین حیدری پور</t>
  </si>
  <si>
    <t>میلاد اردوبادی (بر اساس نمایشنامه جنگل آسفالت آرمان طیران)</t>
  </si>
  <si>
    <t>(به ترتیب حروف الفبا) بدرالسادات برنجانی، تاراز (مهدی پورخدری)، ایمان دبیری، آذین ریوف، فریدون ولایی</t>
  </si>
  <si>
    <t>1401-08-29</t>
  </si>
  <si>
    <t>نادر خوش بخت</t>
  </si>
  <si>
    <t>پیتر هاندکه</t>
  </si>
  <si>
    <t>سینا صفوی فر</t>
  </si>
  <si>
    <t>(داوطلبان) پانیذ اسماعیلی، مصطفی ایزدی، طاها علی قارداشی، مصی فخرذاکری، امیرحسین میرفندرسکی، سامان مستعان، امیرمهدی کوشکی (ما داوطلب نیستیم)</t>
  </si>
  <si>
    <t>1400-06-09</t>
  </si>
  <si>
    <t>مجتبی طباطبایی، امیرپوریا مسعودنیا، سارا دغاغله</t>
  </si>
  <si>
    <t>خانه نمایش دا - سالن شماره ۲</t>
  </si>
  <si>
    <t>محمدرضا رضایی نسب</t>
  </si>
  <si>
    <t>کمیل خطیب</t>
  </si>
  <si>
    <t>شقایق به دینیان، سید امیرمحمد حسینی، محمدرضا رضایی نسب</t>
  </si>
  <si>
    <t>باغ فرهنگسرای نیاوران</t>
  </si>
  <si>
    <t>14:00:00</t>
  </si>
  <si>
    <t>00:05:00</t>
  </si>
  <si>
    <t>1402-06-25</t>
  </si>
  <si>
    <t>علی اتحاد</t>
  </si>
  <si>
    <t>(دهلیزها) شهریار نیک پیکران، عارفه احمدپور، حسین رضایی، فاطمه توکلی، داریوش احمدی، پویا فیاضی، ملیکا بهجت، گیز طاهایی، مهدیه ابراهیمی، حدیث لک، هامون هوشیار، برکه بذری</t>
  </si>
  <si>
    <t>محمدرضا مولودی</t>
  </si>
  <si>
    <t>صالح خواجه، رضا وحیدی فر، زهرا شفاف، پریسا طاهری، مهدی رادنیا، سید پارسا حسینی، سید امیر مفیدیان، محمد اسدی، محمدرضا مولودی</t>
  </si>
  <si>
    <t>1402-05-23</t>
  </si>
  <si>
    <t>(به ترتیب نقش) روزبه حصاری، وحید نفر، الهه شهپرست، صالح لواسانی، مازیار مهرگان، محمد نیازی، مهدی رحیمی سده، فرزاد تجلی، محمدحسین ثمری</t>
  </si>
  <si>
    <t>بابک محمودزاده</t>
  </si>
  <si>
    <t>مسعود طیبی</t>
  </si>
  <si>
    <t>حسین ابراهیم نیا، نازنین طلوعی</t>
  </si>
  <si>
    <t>محمودرضا صفری</t>
  </si>
  <si>
    <t>وهاب امرائی</t>
  </si>
  <si>
    <t>محمد مهدی ایرانی، مهدی بازیار، محمد کیا، ارغوان رشیدی، مبینا حمزه پور، هلنا پوراسمعیل، فاطمه عیوضی، نگین خان محمدی، حنانه ملکوتی خواه، هومن چراغی، امیرحسین داودی، عارفه ناصری، امیر مهری، خدیجه رشیدی، روانمهر دوست، اشکان فتوحی</t>
  </si>
  <si>
    <t>1400-08-02</t>
  </si>
  <si>
    <t>امین اشرفی</t>
  </si>
  <si>
    <t>کامران شهلایی</t>
  </si>
  <si>
    <t>سیروس سپهری، رستا رضوی، نیما رحیمی، بنیامین صیادی نیا، کیانا سپهری</t>
  </si>
  <si>
    <t>تالار انتظار - کرمانشاه</t>
  </si>
  <si>
    <t>1400-10-26</t>
  </si>
  <si>
    <t>محمدعلی کریمی</t>
  </si>
  <si>
    <t>پارسا پلوک، محمدعلی کریمی</t>
  </si>
  <si>
    <t>1401-06-18</t>
  </si>
  <si>
    <t>فاطمه نوروزی</t>
  </si>
  <si>
    <t>نوید ایزدیار</t>
  </si>
  <si>
    <t>فرنوش مرواری، رضا مردی، بهار صبوریان، حسام لک، نغمه معینی، سعید بداغی، مبینا کلاته، مائده کمیجانی، میثم کریمی، یاسمن عیسی زاده، فاطمه نوروزی و نیما ثبوتی</t>
  </si>
  <si>
    <t>اشکان درویشی، مجید مختارپور</t>
  </si>
  <si>
    <t>صدف راه خدا، بر اساس برداشت آزاد از «مهمانسرای دو دنیا»</t>
  </si>
  <si>
    <t>(به ترتیب حروف الفبا) کاظم برزگر، علیرضا دانیال پور، شهرزاد عبدالمجید، مجید مختارپور، داوود معینی کیا، محمود موسوی، محسن نیکوسخن</t>
  </si>
  <si>
    <t>مهدی خلیل زاده</t>
  </si>
  <si>
    <t>سامان شکیبا، مرتضی دلداده، سیمین میرشفیعیان، آرام محمدخانی، محسن رحمانی، داریوش خانعلیزاده، زینب نوری، آرمیتا آذرکمان، مهدی خلیل زاده</t>
  </si>
  <si>
    <t>پویا غازی</t>
  </si>
  <si>
    <t>مهدی ضیاءچمنی</t>
  </si>
  <si>
    <t>جواد خواجوی، مصطفی محمدزاده، علی احمدی، حجت سادات، مهیار غازی، علی فلاحت، میلاد ادیب، شایان بهداد</t>
  </si>
  <si>
    <t>1400-07-18</t>
  </si>
  <si>
    <t>علی هادوی</t>
  </si>
  <si>
    <t>رضوانه تاجیک، محمدمیثاق اردستانی، علی هادوی</t>
  </si>
  <si>
    <t>شاهین رفیعی</t>
  </si>
  <si>
    <t>(به ترتیب حروف الفبا) مهدیه خداوردی، سپیده رحیمی، شاهین رفیعی، کیانا سمیعی، مهدی صائمی، محمد مهدی صفری، علی فریدنی، سیدفربد گرمابی</t>
  </si>
  <si>
    <t>سالن بلک باکس اداره فرهنگ و ارشاد اسلامی - ساری</t>
  </si>
  <si>
    <t>سیده فاطمه سجادی</t>
  </si>
  <si>
    <t>ارمغان سروی، نرگس کامروا، فرید عبدل پور، سعادت قاضی پور</t>
  </si>
  <si>
    <t>ارمغان سروی، نرگس کامروا، فرید عبدل پور</t>
  </si>
  <si>
    <t>علی حاجی ملاعلی</t>
  </si>
  <si>
    <t>نسیم بهادری، یگانه کلانتر، ابوالفضل گرجی نژاد، ستاره دهقانی، علی خورشیدی، سارا قاسمی</t>
  </si>
  <si>
    <t>نیما مظاهری</t>
  </si>
  <si>
    <t>هادی تسلیمی، سونیا سرلک، پدرام زمانی، یوسف محوی، روزبه مرادی، عسل رضایی، نیما رضایی، حسین قاسمی معبود، علیرضا کرمی، نسیم قلهکی، سیده عاطفه آزموده، ریحانه ملا رضا، محمد اسماعیلی، حسین دارابی، نیما مظاهری</t>
  </si>
  <si>
    <t>1401-08-30</t>
  </si>
  <si>
    <t>سوفکل</t>
  </si>
  <si>
    <t>فرشاد نجفی، ستایش گیوی، حسین مددی، ابوالفضل عبدالی، عرفان زارعی، مجتبی ترکمان، بهار ترابی، شیوا فرشادی، حمیدرضا محمدحسینی، میثم ترکمند، احسان رجب زاده و علیرضا حنیفی</t>
  </si>
  <si>
    <t>محمدرسول حسینخانی</t>
  </si>
  <si>
    <t>(به ترتیب ورود) امیرحسین منشادی، حسین رضایی، صابر گل محمدی، نادیا آئین، اسما حسینی، بهناز سبحانی، طاها احمدی، علیرضا موسوی، امیر بختیاری، پویا جعفری، شهاب ذوقی، ساناز جلالی، فاناز سلوکی، فریبا صارمی، زهرا عیسوند، شقایق قضاتی، نازنین توکلی، یگانه رادبخش، سیده شمیم هاشمی، نسترن خوشقدم، محدثه فراهانیان</t>
  </si>
  <si>
    <t>1401-11-14</t>
  </si>
  <si>
    <t>زهرا قرهی قهی، فاطمه سبکتکین ریزی</t>
  </si>
  <si>
    <t>زهرا قرهی قهی، بیتا مهدوی، ماهور صادقعلی، فاطمه سبکتکین</t>
  </si>
  <si>
    <t>اکبر صادقی</t>
  </si>
  <si>
    <t>محمود مهدوی</t>
  </si>
  <si>
    <t>پریسا صدائی آذر، اکبر صادقی، حسین نوروززاده</t>
  </si>
  <si>
    <t>فردین رحمانپور، محمد کرمی</t>
  </si>
  <si>
    <t>(به ترتیب حروف الفبا) فرزاد احدی، مانا افکار، علی اکباتانی، الهه جامی، پوریا صفایی زاده، حنا فتح اللهی، امیرحسین قلندری، حامد کریوند، سمانه مرادی، مرتضی یعقوب پور</t>
  </si>
  <si>
    <t>تماشاخانه ایران تماشا</t>
  </si>
  <si>
    <t>شاهین رمضانی</t>
  </si>
  <si>
    <t>عارف قدیمی و کارمانیا میراحمدی</t>
  </si>
  <si>
    <t>1400-07-11</t>
  </si>
  <si>
    <t>بهنام شریفی</t>
  </si>
  <si>
    <t>میلاد صفوی، فرنوش مرواری، حنانه خضرائی، رضا مردی، نازنین دروگر، مهرداد طهماسبی، ساغر تاجیک، فاطمه نوروزی، علی نوریوسفی، نرگس عبدالهی، محمد خوشبخت، مهدی کریمی، مریم سعیدی، بهار رضی زاده، عادل شادرو، مائده کمیجانی، پدرام عزیزی، بهنام شریفی</t>
  </si>
  <si>
    <t>کمال مقدم</t>
  </si>
  <si>
    <t>مجید حاتمی</t>
  </si>
  <si>
    <t>سمیه زنگنه، فرهاد حسین پور، فرشید راد، مبینا اسدی، رضا جودی (جودی)، خدیجه سروری، مریم حمیدی، امیر حسین فرجی، رسول پور معصومی، محمد فطرتی مزیانی</t>
  </si>
  <si>
    <t>پردیس سپند - سالن شماره ۲</t>
  </si>
  <si>
    <t>1400-04-16</t>
  </si>
  <si>
    <t>پوریا گلستانی</t>
  </si>
  <si>
    <t>غزاله روغنی، فرنوش مرواری، علی روزبه، مصطفی سلیمانی، مریم مقدم، رضا قره گزلی، مهدیه سلیمانی، شبنم شاهسون، فریبا فریدونی</t>
  </si>
  <si>
    <t>1400-10-28</t>
  </si>
  <si>
    <t>رها حاجی زینل</t>
  </si>
  <si>
    <t>علی صفری</t>
  </si>
  <si>
    <t>صبا ایزدپناه، سارینا آزاد میلانی، محمد پسندیده، نازنین میهن، صدف صفری، فرید زنگی، احمد هداوند، امیرحسین نژادقاسمی</t>
  </si>
  <si>
    <t>1401-11-25</t>
  </si>
  <si>
    <t>فائزه نوآبادی</t>
  </si>
  <si>
    <t>مجید انوری</t>
  </si>
  <si>
    <t>آناهید شمالی، ایلا مقصودلوراد، فائزه نوآبادی</t>
  </si>
  <si>
    <t>ماندانا جباری</t>
  </si>
  <si>
    <t>(به ترتیب حروف الفبا) مهسا آذری، محبوبه آرمون، ساغر تاجیک، فائزه حمیدی، حنانه خضرائی، نازنین دروگر، مانا راد، مریم سعیدی، مهسا شیخی، صبا صدیقزاده، مریم کبریایی، مائده کمیجانی، مرسده کوچکسرایی، حدیثه مقدم، مهشید میرزایی، غزاله نوروزی، حمیده هاشمی</t>
  </si>
  <si>
    <t>محمد لهراسبی</t>
  </si>
  <si>
    <t>(به ترتیب حرف الفبا) مهران امام بخش، مهلقا باقری، افشین حسنلو و بهنام شرفی</t>
  </si>
  <si>
    <t>1400-10-30</t>
  </si>
  <si>
    <t>احسان فاضلی</t>
  </si>
  <si>
    <t>فاطمه مکاری</t>
  </si>
  <si>
    <t>رادنوش مقدم، فرزاد قاسمی، احسان شهبازی</t>
  </si>
  <si>
    <t>1399-08-14</t>
  </si>
  <si>
    <t>‏محمد مهدی سجادی</t>
  </si>
  <si>
    <t>‏ژرژ پرک</t>
  </si>
  <si>
    <t>(به ترتیب الفبا) ملیکا اصلپور، مجید اقبالی، محسن بخشی، میترا حیدری، صالح خواجه، نیوشا دلشادیان، سینا شیبانی، سپیده مجنونی‏</t>
  </si>
  <si>
    <t>تئاتر مستقل تهران</t>
  </si>
  <si>
    <t>محمد چرختاب، امید سعیدپور، شادی امیری</t>
  </si>
  <si>
    <t>1400-07-14</t>
  </si>
  <si>
    <t>امیرسینا جوادی</t>
  </si>
  <si>
    <t>جی.بی. پریستلی</t>
  </si>
  <si>
    <t>(به ترتیب حروف الفبا) امیرسینا جوادی، مرضیه رسولی، یگانه سروری، محمدحسین صحتمند، شاهین علینژاد، مایا فروغی، محسن قاسمی</t>
  </si>
  <si>
    <t>مجتمع فرهنگی هنری ملایر</t>
  </si>
  <si>
    <t>1402-02-31</t>
  </si>
  <si>
    <t>بهرام حاجیعلیاکبری، سعید حسینپور</t>
  </si>
  <si>
    <t>سعید حسینپور</t>
  </si>
  <si>
    <t>محمود محمودی، رضا باغبان، مرضیه ولیزاده، محیا نجفی جوزانی، هستی رزاقی</t>
  </si>
  <si>
    <t>1401-04-02</t>
  </si>
  <si>
    <t>نازنین بیوک</t>
  </si>
  <si>
    <t>محمد اسدنیا، رضا آرامش، سعید احسانی، محمد صالح ارغوان، بیتا اکبری، نازنین بیوک، عاطفه چوپانی، محمدرضا ساری زاده، الینا سرمدی، ستایش صائمی، سعید فرخی، احسان مقدم</t>
  </si>
  <si>
    <t>1400-08-10</t>
  </si>
  <si>
    <t>عماد سالکی</t>
  </si>
  <si>
    <t>علی رضا غفاری</t>
  </si>
  <si>
    <t>(به ترتیب ایفای نقش) علیرضا مؤیدی، سامان کرمی، امید غلامی، حامد شمسه، علی صحراگرد، شهین انصاری، گلاره اکبری، رضا کریمی، یاسمین حسن زاده، مهناز نوروزی، امیرحسین ذوالقدر، روژین قنواتی زاده</t>
  </si>
  <si>
    <t>مسعود ترابی</t>
  </si>
  <si>
    <t>الناز عطایی</t>
  </si>
  <si>
    <t>(به ترتیب حروف الفبا) (یک مراسم کاملا آبرومندانه قسمت اول) مهتاب امیرکافی، مینا پیروزیان، نیلوفر جوادپور، محمدرضا حسنی، پوریا سعیدیان، اشکان بیک، سوگل سید صدر، محمد عبداللهی، الناز عطایی، سارا قریشی، مجتبی کریمی، حسین میلانی، علیرضا محمدی، سینا منتظری، فاطمه میری، محمدعلی مرتضوی صفت، حامد مقدم، (زرد قسمت دوم) اشکان بیک، هادی رضایی، محمدعلی شهیدی، سینا شهری، دنیا عیدیون، سالار قدیمی، ساناز گراوند، یلدا محمدپناه، حسین میلانی، امیر موذنی، میترا مسائلی، محمد امین مدنی، فریبا موسوی، حامد مقدم، سینا منتظری، هدیه یادگاری، (سازهای ناکوک قسمت سوم) امیرعباس بابایی، شاهین پوشین، مونا حسن زاده، پوریا خرم، اشکان بیک، بهرام رامه، مریم رضایی، آذین فولادوند، نگین مقدر دوست، حسین میلانی، حامد مقدم، سینا منتظری.فربد همدانی، آرش شیری، (کانتور قسمت چهارم) ندا اصغرپور، نازنین چهره نگار، محمد ذوالنوریان، اشکان بیک، عسل سلیمانی. صنم سرمد، حمیدرضا غلامحسینی، سمیه قدیمی، سحر قلباربند، حسین میلانی، عاطفه موسوی، سینا منتظری، حامد مقدم.ضحا منظری.کیمیا نصیری.نسرین یاسین، (سندرم استکهلم قسمت پنجم) امید اولیایی.سپنتا پزشکی، اشکان بیک، رضا سلیمی، طیبه عقیقی.آیدا کنی، دریا مجیدی، مازیار مهرگان، حسین میلانی، حامد مقدم، سینا منتظری، (تابو قسمت ششم) سایه افضلی، اشکان بیک، محمد تقی زاده، اشکان بیک، تکتم رسول زاده .کاوه توکلی.فردین رحمانپور.مونا رضایی.میثم شمسیان، محمد باقر صفانور.مینا عظیمی، افشین غیاثی، محمد مهدی غروی، حسین میلانی، پویا مهرابادی، سینا منتظری، حامد مقدم، نیما نمازی، امین زمانی</t>
  </si>
  <si>
    <t>دانشگاه تهران - سالن استاد سمندریان دانشکده هنرهای زیبا</t>
  </si>
  <si>
    <t>13:00:00</t>
  </si>
  <si>
    <t>1398-10-11</t>
  </si>
  <si>
    <t>زهرا اسماعیلی</t>
  </si>
  <si>
    <t>مایک جکسون</t>
  </si>
  <si>
    <t>(به ترتیب ورود) نسترن کمالی، یاسمن کریمی زاده، کامیار شریفیان، علی موسوی، سجاد موسوی زاده، رضا صفری</t>
  </si>
  <si>
    <t>فرناز سرخوش</t>
  </si>
  <si>
    <t>بابک داور</t>
  </si>
  <si>
    <t>جلال احمدپور، فرناز سرخوش، فریبا چگینی، سحر سرشار، یاسمین جعفری، سیدشهاب الدین هاشمی</t>
  </si>
  <si>
    <t>1399-05-24</t>
  </si>
  <si>
    <t>حامد شیخی، شراره صبور، یگانه سروری</t>
  </si>
  <si>
    <t>(به ترتیب ورود) صبا سرور، سپهر زمانی، الهام جدی، علی پوراحمدیان، فرنوش نیک اندیش، رضا مرشد</t>
  </si>
  <si>
    <t>1399-12-25</t>
  </si>
  <si>
    <t>روژین کریم لو</t>
  </si>
  <si>
    <t>علی اصغر سرایی، محمد همتی، الهه لاری، علی طبیبی</t>
  </si>
  <si>
    <t>بهزاد ترابی</t>
  </si>
  <si>
    <t>ماتیو دلاپورت، الکساندر دولاپتولیر</t>
  </si>
  <si>
    <t>(به ترتیب ورود) دانیال شهریاری، المیرا ربیعی، فرزاد آیتی، فرهاد ندایی، زهرا حاج حسن</t>
  </si>
  <si>
    <t>21:45:00</t>
  </si>
  <si>
    <t>1401-03-04</t>
  </si>
  <si>
    <t>امید نیاز</t>
  </si>
  <si>
    <t>امید نیاز، مونس پورفاتحیان</t>
  </si>
  <si>
    <t>(به ترتیب ورود) زری اماد، محسن زرآبادی، علی حیدری، مهتاب باجلان، دانیال بلوری، محمدهادی عطایی، خسرو کشاورز، محمد باقر صفانور، حسین میرزاییان، محمدرضا عطایی فر، الهه جوانمهر، النا مکاری، علی یعقوب زاده، رهام شریفی، رعنا حسین دخت، محمد آسایشلو، مهدی اشتری، فایزه رجبی، آرمین میزانی، پرنیا عسگری، احسان حاجیان، سپهر صفرخوانی، سهیل صفرخوانی، علیرضا اسلامی گیلانی، پارسا شیرازیان، علیرضا عرب، بیتا شیری</t>
  </si>
  <si>
    <t>بابک کریمی</t>
  </si>
  <si>
    <t>بریژیت ژاک</t>
  </si>
  <si>
    <t>بابک کریمی، مهدخت مولایی، آریا تقی پوریان، علیرضا مجیدی</t>
  </si>
  <si>
    <t>رضا رادبخت</t>
  </si>
  <si>
    <t>ناصر علی مصفا</t>
  </si>
  <si>
    <t>سعید خسروی، رضا رادبخت، علی سلیمانی، امیرحسین بابااکبری</t>
  </si>
  <si>
    <t>نادیا فرجی</t>
  </si>
  <si>
    <t>الهه پورجمشید، نادیا فرجی</t>
  </si>
  <si>
    <t>محمدرضا کشتکار</t>
  </si>
  <si>
    <t>حمید بیرقدار، هادی عصمتی نژاد، محمدرضا کشتکار، علیرضا اسماعیلی، شبنم منتظری، ثنا نیرویی</t>
  </si>
  <si>
    <t>1398-11-13</t>
  </si>
  <si>
    <t>مهتاب شکریان</t>
  </si>
  <si>
    <t>داوود پورحمزه</t>
  </si>
  <si>
    <t>(به ترتیب حروف الفبا) فائزه بالغ، نرگس پناه راد، فاطمه درویشی، شیما دهقان، سعید رهنورد، مبینا شامی، پیام شهرتی، فاطمه طاهری، غزاله عبدالهی، مهرداد میرزااحمدی، فاطمه نایبی، کیمیا واژبخت، دنیا یارحیدری</t>
  </si>
  <si>
    <t>دانشگاه صنعتی امیرکبیر - آمفی تئاتر مولانا</t>
  </si>
  <si>
    <t>1398-12-05</t>
  </si>
  <si>
    <t>آرش دانشور</t>
  </si>
  <si>
    <t>محمد ونائی، مینا صالحی، سها ضیایی، آرش دانشور</t>
  </si>
  <si>
    <t>1400-09-21</t>
  </si>
  <si>
    <t>مجید قربانی</t>
  </si>
  <si>
    <t>حمیدرضا آذرنگ</t>
  </si>
  <si>
    <t>محمدرضا باقری، متین سرشار، نگین مهرابی، نسرین ایمانی، نرگس بشارت، مائده محمدی، مهراب الوانکار، علی بنیاد، نیما خراسانی</t>
  </si>
  <si>
    <t>جابر حسینی</t>
  </si>
  <si>
    <t>رچ اورلاف</t>
  </si>
  <si>
    <t>حمیدرضا دولت آبادی، امین حسین زاده، علی اصغری، المیرا حاجوی، یاسمن ملکی، هانیه رجائی</t>
  </si>
  <si>
    <t>متین نجاتی امیری</t>
  </si>
  <si>
    <t>اوژن یونسکو</t>
  </si>
  <si>
    <t>سپیده ساعدی، امین جوادی، ناهید عساکره، حسین طهماسبی، نریمان عابدی، نورا حسینی</t>
  </si>
  <si>
    <t>امید سرلک</t>
  </si>
  <si>
    <t>محمدجواد اکبری، سهیل اکبری، ریتا عبدلپور، یونس نیامی، علی علمدارزاده، زهرا مقدسی، امیرحسن حدادی (آریا) (آریا)</t>
  </si>
  <si>
    <t>1401-09-25</t>
  </si>
  <si>
    <t>محمدمهدی خاتمی</t>
  </si>
  <si>
    <t>نسرین نکیسا، الهه پژوهی، تکتم اخجوانی، امینا خاتمی، مرجان علوی، مجتبی زادفر، پرویز گوهری راد، امیراحسان امیرپور، ویدا منصوری، مرتضی برزگرزادگان، محمدمهدی خاتمی، غلامرضا عارف نژاد، حامد وکیلی، شهرام مسعودی</t>
  </si>
  <si>
    <t>محمد مهدی سجادی</t>
  </si>
  <si>
    <t>ژرژ پرک</t>
  </si>
  <si>
    <t>(به ترتیب الفبا) اسما اسدی زاده، ملیکا اصل پور، محسن بخشی، صالح خواجه، نیوشا دلشادیان، محمد دهملائی، سینا شیبانی، آنیتا قجری (نرسسیان)، علی یار احمدی</t>
  </si>
  <si>
    <t>1398-12-24</t>
  </si>
  <si>
    <t>محمد یعقوبی</t>
  </si>
  <si>
    <t>محمد عبداللهی، نگین شعاری، حانیه عمرانی، مریم اسکندری، آتنا دولت آبادی، سیاوش رشوند، نگار صحرانورد، سپهرداد منشی، و، محمد قاسمی</t>
  </si>
  <si>
    <t>1399-12-10</t>
  </si>
  <si>
    <t>فربد همدانی</t>
  </si>
  <si>
    <t>کرامت یزدانی</t>
  </si>
  <si>
    <t>(به ترتیب ورود) نوشین طیاری، صدرا صباحی، مصطفی زندی، امیر ملکی، مژگان اخلاقی، فربد همدانی، تینا حاج محمدرضا</t>
  </si>
  <si>
    <t>امیر بهاور اکبرپور دهکردی</t>
  </si>
  <si>
    <t>نگین تهمتن، مهدخت مولایی، آرزو عبدالهی، فریال سنگری</t>
  </si>
  <si>
    <t>مایکل فرین</t>
  </si>
  <si>
    <t>(به ترتیب ورود به صحنه) الهام پاوه نژاد، امین میری، سام کبودوند، صدف اسپهبدی، الهه فرازمند، میثاق زارع، دیبا زاهدی، علی پویا قاسمی، علی ابدالی، مجید امیدی</t>
  </si>
  <si>
    <t>عباس ابوالفضلی</t>
  </si>
  <si>
    <t>ژان پل سارتر</t>
  </si>
  <si>
    <t>(به ترتیب ورود) امیر علی علیزاده، عباس ابوالفضلی، ریحانه فدائی اردستانی، فاطمه شعبانپور</t>
  </si>
  <si>
    <t>امید اولیایی</t>
  </si>
  <si>
    <t>حمیدرضا اسدزاده</t>
  </si>
  <si>
    <t>1400-09-13</t>
  </si>
  <si>
    <t>آلکسی کازانتسف</t>
  </si>
  <si>
    <t>(به ترتیب حضور) علی حقشناس، بابک قادری، افشین غیاثی، حسین کرمی، امیررضا عبادتی فرد، پرستو علی نسب، علی روزگار، درسا پورقاسمی، محمد زینعلیان، حسن معصوم نژاد، شیما خوش اقبال، فیّاض گلستانی، رامتین سلیمانی، مهسا اسماعیلی، پرنیا گنجی، سهیل قسیمی، آرمین احمدوند، حمید عباسی، صابر خرم بخت، رویا محمدی، ماهان خاتمی، آیسودا نجفی، نادر نادرپور</t>
  </si>
  <si>
    <t>مسعود شیرخانی</t>
  </si>
  <si>
    <t>مسعود شیرخانی، محدثه محسنی، محمد امین میر حسینی، ماهان عبادتی، زینب شیرزایی، محمد مهدی علی بابایی، علی خطیبی، نگار طولابی، بنیتا صالحی، ریحانه خلیلی، زهرا ریوندی، ابوالفضل جعفری راد، دنیا سلطانی، آناهیتا شیرعلی</t>
  </si>
  <si>
    <t>کورش سلیمانی</t>
  </si>
  <si>
    <t>احمدرضا احمدی</t>
  </si>
  <si>
    <t>رضا بهبودی، فریبا کامران، کامبیز امینی، محمدرضا آزادفرد، محمد طیب طاهر، سیامک ادیب، علی باروتی، مطهره ابراهیمیان</t>
  </si>
  <si>
    <t>1400-09-24</t>
  </si>
  <si>
    <t>حمیدرضا رکنی</t>
  </si>
  <si>
    <t>کیاوش زارع طلب</t>
  </si>
  <si>
    <t>(به ترتیب نقش آفرینی) مریم زمانی، فرشاد نجفی، آرام نیک بین، یاشار خمسه، مریم فتحی، آرمیتا لطفی، گلاره فرشچیان، حمیدرضا رکنی</t>
  </si>
  <si>
    <t>محمدرضا هلال زاده</t>
  </si>
  <si>
    <t>محمود احدی نیا</t>
  </si>
  <si>
    <t>(به ترتیب ورود به صحنه) مهدی صباغی، فرید رحمتی، میلاد معیری، مهدی یگانه، نساء یوسفی، ، حسین کریمی، محسن رضوی نیا، امیر ارسلان عابدی، سحر بهرامی، علی پویا قاسمی، المیرا صارمی، سهیل ناجی</t>
  </si>
  <si>
    <t>حوزه هنری - تالار سوره</t>
  </si>
  <si>
    <t>1401-10-18</t>
  </si>
  <si>
    <t>فاطمه مرادی، محدثه جوادی فام، فاطمه نوری شکری</t>
  </si>
  <si>
    <t>02:15:00</t>
  </si>
  <si>
    <t>پویا سعیدی، مسعود صرامی</t>
  </si>
  <si>
    <t>امیر نوروزی، میلاد چنگی، مجید یوسفی، محمد حقشناس، پویا سعیدی، مرتضی سلطان محمدی، باسط رضایی، حامد محمودی، مجتبی یوسفی، فرشید روشنی، امیرحسین احمدی، منصور نصیری، پویا عربگری، علی چایچی</t>
  </si>
  <si>
    <t>شهره اشتری، مژگان اخلاقی، مهسا بان، سیمین بهفر، علی بهمنش، میثم ترکمند، شایان حاج اسماعیلی، امید درویش زاده، مبین رستگار، علی ساکی، احمد شاهوار، معصومه عالمی، روح الله عقدایی، صدیقه مرادی و امیر عبادی</t>
  </si>
  <si>
    <t>محمد انصاری</t>
  </si>
  <si>
    <t>گیتی بایندر</t>
  </si>
  <si>
    <t>محمدمهدی گلستانی، آیناز سلمانی، آرمان پورفرخ، سمیه حمزه زاده، محمدحسین یزدانی، بهنام محمدزاده، حسین علی نژاد، مائده آتین، محمدسجاد اسفندیاری</t>
  </si>
  <si>
    <t>منوچهر عبدی</t>
  </si>
  <si>
    <t>منوچهر عبدی، محمد رحمتی، شاهو قاسمی، محمدرضا حسینی کرم، رستا خلجی، سروش محمدی، علی کریم آبادی، ایمان محبوبی کیا، نسیم هروی</t>
  </si>
  <si>
    <t>1401-10-23</t>
  </si>
  <si>
    <t>هومن رهنمون</t>
  </si>
  <si>
    <t>مهدی همتی</t>
  </si>
  <si>
    <t>افشین زارعی، سیروس کهوری نژاد، محمداقبال رجبی، آرزو صرّاف رضائی، علی یارلو، احمد مطوری، مسعود احمدی، بهرنگ رهنمون</t>
  </si>
  <si>
    <t>1401-04-21</t>
  </si>
  <si>
    <t>رضا پورکریمان</t>
  </si>
  <si>
    <t>آرمان آزادی، ریحانه فلاح، دنیا خشنو، رضا بابایی، فرزاد هداوندخانی</t>
  </si>
  <si>
    <t>محمد کاظم تبار</t>
  </si>
  <si>
    <t>مرجان آقانوری</t>
  </si>
  <si>
    <t>فرهنگسرای نیاوران - سالن خلیج فارس</t>
  </si>
  <si>
    <t>حمید عالی مقدم</t>
  </si>
  <si>
    <t>اسما حسینی، امیر فرمانده، علیرضا اسماعیلی، علیرضا تکلو، عرشیا عبداله زاده، مصطفی وحدت، یاسین اسدی، محمد شادرویی، رحمان عباسپور، کیوان لسان، محمد ایزانلو، مانی حبیب زاده، منصور کرکه ابادی، حمید عالی مقدم</t>
  </si>
  <si>
    <t>ایمان حاج عظیمیان</t>
  </si>
  <si>
    <t>فرشته فرشاد</t>
  </si>
  <si>
    <t>سعید جهانی، صادق حسینی، آیلار یوسفی زاده، سامان سعیدی</t>
  </si>
  <si>
    <t>سهند خیرآبادی</t>
  </si>
  <si>
    <t>مسعود کرامتی، نادر فلاح، شبنم گودرزی، محمدرضا آبانگاه</t>
  </si>
  <si>
    <t>سعید دهپاینی</t>
  </si>
  <si>
    <t>مینو صائمی، محمدمهدی گلستانی، آیدا عابدزاده، مینا هادی زاده، مائده آتین، نگین خان محمدی</t>
  </si>
  <si>
    <t>1400-07-09</t>
  </si>
  <si>
    <t>رضا قنبرزاده فرید</t>
  </si>
  <si>
    <t>(اپیزود اول) سیاوش معمارزاده، امیر حسین نراقی، نازنین میهن، آیناز ناصری، (اپیزود دوم) علی ریاحی، رضا امینی، اپیزود سوم، پدرام عزیزی، مریم مهرآیین، اپیزود چهارم، ترانه کوهستانی، مهسا محمدکاظم</t>
  </si>
  <si>
    <t>احسان راد، پارسا آقازاده، حسام حاجی زاده، سودا همرنگ، سما اسکندری، صائب دادو، عماد البوشوکه، علیرضا سلیمی، فاطمه فرخیان، محسن امیری، مهرداد طهماسبی، مینا ولی، میچکا خدابنده لو، مرضیه چزانی شراهی، نیکا صحرایی، ندا معمارکرمانی</t>
  </si>
  <si>
    <t>1401-11-27</t>
  </si>
  <si>
    <t>میثاق یوسفی</t>
  </si>
  <si>
    <t>امیر غفارمنش، زهره حجازی مهر، فاطمه پرندین، امین ممیز صنعت، علی صفری، محمد عبداللهی، مهدی پیرزمان، مهدی رضا سلطانی، حمزه اثباتی، پرنیان شادکام، سیدمحمد حسینی، امیر احمدیان، حدیثه پاشایی، سنور هیوا، مهدی قاسمی درویش، امیرحسین قاجار دامغانی، ویدا زوارئیان</t>
  </si>
  <si>
    <t>1399-08-21</t>
  </si>
  <si>
    <t>محمدرضا آریان، ارغوان راستی، ابراهیم عبدی، مصطفی عطری، زهرا فضل الله، یاسمن وفایی، حسین یوسفی</t>
  </si>
  <si>
    <t>آرام نیک بین، فرزاد دشتی، مسعود انعامی، جانا جهانگیری، مهشید دلاوری</t>
  </si>
  <si>
    <t>بابک قادری</t>
  </si>
  <si>
    <t>نوشین تبریزی</t>
  </si>
  <si>
    <t>آیلار نوشهری، افشین غیاثی، المیرا صارمی، عباس بابایی، کیارش حقگو، مریم باقری، بهداد قادری، شقایق عزیزی، مهناز نوروزی، شهناز نوروزی، مسلم گلچین، مسعود ترابی</t>
  </si>
  <si>
    <t>طاها محمدی، مصطفی احدی، جواد سحر، فهیمه حسینی</t>
  </si>
  <si>
    <t>محسن اردشیر</t>
  </si>
  <si>
    <t>علی قاجاری، محمدرضا شریفی علیایی، علیرضا شریفی، پونه قدیری، محمدامین پازوکی، هانیه بذرافشان، فاطمه موسوی، آرزو صرّاف رضائی، امیرحسین اسفندیاری، لیلا بروفه، المیرا حسنلو، فروغ درویش­زاد، سوزان عمران، پارساجوهری فرد، شکیبا رنجبر، مریم موسوی، کوثرنعمتی، محمد محنانی، آوا مهماندوست، رحمان اسماعیلی، پریسا حسین زاده، مبینا رحیمی، دالیا خندانی، فاطمه زهرا آقایی، شایان میرحسینی، مهران عبدی، پیام­ زمانی، پریناز بور، نرگس میرفتاح، ابوالفضل شاکری، افسانه زنگنه، فاطمه شیخلر، امیررضا محمدزاده و علی نعمتی</t>
  </si>
  <si>
    <t>1402-11-08</t>
  </si>
  <si>
    <t>سجاد حسنوند</t>
  </si>
  <si>
    <t>(به ترتیب ورود به صحنه) ایلیا جهانی، فرهاد امیری، دیانا بابا اعظمی، فاطمه شفیعی، عارف رضاخواه، محمدجواد حسینی، صالح ایران پرست، احمدرضا نورالهی، فاطمه زمانی، مسعود افشاری، سمیرا نادری، نسرین قزلباش، محمد میرجعفری، اکرم ندایی، زینب نثاری</t>
  </si>
  <si>
    <t>سمیه آباده، شبنم قلی خانی</t>
  </si>
  <si>
    <t>(به ترتیب حروف الفبا) سپیده آجرلو، مائده آشوری، آناهیتا بزرگمهری، پارسا خسرویانی، سارا جلالی فراهانی، امیررضا حفیظ، نازنین حلاج فر، امین دریکوند، ستایش دماوندی، مائده دوازده رخ، هانیه دیموری، امیررضا شاویسی، مبینا صبوری، فاطمه غفاری، امین فرمانیان، الناز قاسمی، سارا محمدزاده، مرتضی محمدی، سارا منیرپور، سوگند مولابیگی، فاطمه میرجمالی، ملیکا نورجهان، فاطمه واشهری</t>
  </si>
  <si>
    <t>1401-11-02</t>
  </si>
  <si>
    <t>پویا پورهمدانی</t>
  </si>
  <si>
    <t>رسول قادری، سارا جودت، فرشاد نجفی، عسل حمیدیان</t>
  </si>
  <si>
    <t>سالن نمایش استاد خمسه</t>
  </si>
  <si>
    <t>بهزاد صالحی</t>
  </si>
  <si>
    <t>ابراهیم ابراهیمی</t>
  </si>
  <si>
    <t>فرزانه عاشوری، شهاب آزاد، علیرضا رضایی، علی دشتی</t>
  </si>
  <si>
    <t>حمیدرضا مرادی</t>
  </si>
  <si>
    <t>(به ترتیب حرف زدن) نرگس کیومرثی، پگاه نوربخش، عباس نورمحمدی، حمیدرضا مرادی، بیتا پورحسینی، غلام قلندری</t>
  </si>
  <si>
    <t>1400-06-19</t>
  </si>
  <si>
    <t>حسین حسینی</t>
  </si>
  <si>
    <t>الکساندر وامپیلوف</t>
  </si>
  <si>
    <t>(به ترتیب ورود به صحنه) پرنیان کاظمی، علی خلیلی، محمد غلامی مایانی، زهرا یوسفی، حسین حسینی، محسن مظاهری</t>
  </si>
  <si>
    <t>سعید ساعی</t>
  </si>
  <si>
    <t>مریم عرب، سارا جباری، رحیم رضایت، حسین خدائیان، ثمین شکرالهی</t>
  </si>
  <si>
    <t>امید غفاری</t>
  </si>
  <si>
    <t>داود سبحانی</t>
  </si>
  <si>
    <t>1400-08-04</t>
  </si>
  <si>
    <t>مهدی اصغریان</t>
  </si>
  <si>
    <t>تنسی ویلیامز</t>
  </si>
  <si>
    <t>مهدی اصغریان، امیر بشیره نژاد، حسین اکبری، مرمر معتمدی دانا، شیما خالقی، رومینا قلعه وند، سارینا گودرزی، لیلا تکلو، منصوره کاملی، معصومه ملکی، یاسمن روستایی، ستاره ترکمان</t>
  </si>
  <si>
    <t>1399-12-11</t>
  </si>
  <si>
    <t>امیر ابراهیم زاده</t>
  </si>
  <si>
    <t>(به ترتیب ورود) میلاد کفایی، هانیه بهرامی، کوثر میرزانژاد، شایان شهرابی، بهناز تاجیک، امیرحسین همایونی، حورا کیان، بهداد مشایخی، سام صبا، علیرضا نجفی</t>
  </si>
  <si>
    <t>مجتمع فرهنگی هنری اسرار - پلاتو امیرشاهی - سبزوار</t>
  </si>
  <si>
    <t>1402-04-26</t>
  </si>
  <si>
    <t>مصطفی عامری</t>
  </si>
  <si>
    <t>وحید صالحی نظام آبادی</t>
  </si>
  <si>
    <t>ماتیو دلاپرته، الکساندر دلاپاتلیر</t>
  </si>
  <si>
    <t>(به ترتیب ورود) پویا فلاح، نسترن مهربانی، مهدی آدین، رامین ارقند، پریسا محمدی</t>
  </si>
  <si>
    <t>1402-04-08</t>
  </si>
  <si>
    <t>ندا شاهرخی، یاسمن خواجه ای</t>
  </si>
  <si>
    <t>سعید چنگیزیان (در نقش هنگامه)، مرتضی یونس زاده (در نقش سعید)</t>
  </si>
  <si>
    <t>1400-04-15</t>
  </si>
  <si>
    <t>سعید حشمتی</t>
  </si>
  <si>
    <t>برایان کلارک</t>
  </si>
  <si>
    <t>نیما هاشمی سرشت، الهام سالاری، کیمیا خلج، نیما ثبوتی، آناهید ادبی، آرمین همتی، فاطمه توانا، علی سیبی، عاطفه غضنفری، پریا یعقوبی، محمدجواد آصفی، ایمان عمادی و نیلوفر پارسا</t>
  </si>
  <si>
    <t>زهرا برزگر</t>
  </si>
  <si>
    <t>(به ترتیب ورود به صحنه) سمیرا شاهنجرینی، مهرداد طهماسبی، عماد آلبوشوکه، ساناز تفکری، امیر محسن کوه گره، صائب دادو، مهدیه زندیه، محیا الهیاری</t>
  </si>
  <si>
    <t>ایثار ابومحبوب</t>
  </si>
  <si>
    <t>سعید خسروی</t>
  </si>
  <si>
    <t>موسسه هنر معاصر ترشیز - کاشمر</t>
  </si>
  <si>
    <t>محمدجواد برادران خاکسار</t>
  </si>
  <si>
    <t>محمدجواد برادران خاکسار، احسان عاقل</t>
  </si>
  <si>
    <t>محمد احمدزاده، ملیکا مهدوی زاده، ساغر آزاد، مونا صفری، ستایش رحمانی، محمدجواد امیری، الیاس جنگی، آرزو جابری، آیلا عشقی و علی خطائیان</t>
  </si>
  <si>
    <t>بهمن علاقبندان</t>
  </si>
  <si>
    <t>1401-07-07</t>
  </si>
  <si>
    <t>حسینعلی پرستار</t>
  </si>
  <si>
    <t>حمیدرضا قاسمی</t>
  </si>
  <si>
    <t>علی یدالهی، مهدی شجاعی، زهرا احمدی</t>
  </si>
  <si>
    <t>(به ترتیب الفبا)</t>
  </si>
  <si>
    <t>1399-08-05</t>
  </si>
  <si>
    <t>صدرا صباحی</t>
  </si>
  <si>
    <t>(به عکس حروف الفبا) تینا یونس تبار، مژده قربانی، میثم غنی زاده، مهدی سقا، الهام رحیمی</t>
  </si>
  <si>
    <t>1399-12-17</t>
  </si>
  <si>
    <t>پانیذ نوروزی</t>
  </si>
  <si>
    <t>هومن بنایی</t>
  </si>
  <si>
    <t>حسین احمدی، غزاله خوش خلق، حمیدرضا دانایی فرد، حسین عابدی، میلاد غفوری، آرزو فروتن، محمد امین مدنی، پانیذ نوروزی</t>
  </si>
  <si>
    <t>کافه گالری باروک</t>
  </si>
  <si>
    <t>الهام پاوه نژاد</t>
  </si>
  <si>
    <t>مارگریت دوراس</t>
  </si>
  <si>
    <t>احسان کرمی، الهام پاوه نژاد، فائزه محمدی</t>
  </si>
  <si>
    <t>1400-07-26</t>
  </si>
  <si>
    <t>امیرارشیا براتی، سیدشایان موسوی</t>
  </si>
  <si>
    <t>(به ترتیب ورود به صحنه) امیرارشیا براتی، مهیار پوربابایی، سیدشایان موسوی، آیدا (آتنا) نادرزاده</t>
  </si>
  <si>
    <t>(به ترتیب حروف الفبا) صادق برقعی، علی تاریمی، پارمیدا حسینی، محمد شهریار، بیتا عزیز، آذین نظری</t>
  </si>
  <si>
    <t>محمد چیت سازی (نادر دلشاه)</t>
  </si>
  <si>
    <t>(به ترتیب ورود به صحنه) محمد چیت سازی (نادر دلشاه)، پروا محزون، سحر اسدی، وحیده اکبری نسب</t>
  </si>
  <si>
    <t>طلایه زهرهوندی</t>
  </si>
  <si>
    <t>مسعود دلخواه</t>
  </si>
  <si>
    <t>محسن زارعی، آیلار امیری، صدف خائیز، سپیده خائیز</t>
  </si>
  <si>
    <t>1400-03-10</t>
  </si>
  <si>
    <t>مجتبی طباطبایی، دامون بستاک، سهیل قسیمی، سارا دغاغله، امیرپوریا مسعودنیا</t>
  </si>
  <si>
    <t>کاظم بلوچی، رحیم نوروزی، شهین نجف زاده، رادنوش مقدم، محمدمهدی سامی منش، امیرحسین رضوان صفت، مهناز رودساز، مریم رزازی، وحید رضاخانلو، امیرحسین قنبری، شیما اسدی، فاطمه محمدیان، پیمان مقدم، میلاد قنبری، میثم نیکخواه، مجید سیفی، فرهاد حاجیلو، سعید فاضلی، میترا اکبری، مجید قنبری، محسن ستوده، حسام صلاحی نژاد، مهراد رامینپارسا، دانیال اسماعیلیان، مژده عباسی، نگین گودرزی، پردیس پیراهش، مهدی اذعانی، مجید جور، شایان حاجی اسماعیلی، فرشاد سرلک، پویا رجبی، عرفان ارغوانی، حسین مهوری</t>
  </si>
  <si>
    <t>مجید ابراهیم زاده</t>
  </si>
  <si>
    <t>میلاد پرموزه، هستی صادقی، امیرحسین شایان فر، درنا اخوت، بهی جدیدی، فرحان فریضه، اسحاق ثبوت، مهشید رضایی، مرجان جعفری</t>
  </si>
  <si>
    <t>آیلار نوشهری</t>
  </si>
  <si>
    <t>(به ترتیب ورود به صحنه) معصومه میراشه، ندا قاسمی، دلارام اسدی، آیلار نوشهری، ستاره موسوی، آتنا دولت آبادی، رویا جزینی</t>
  </si>
  <si>
    <t>محمد ستوده</t>
  </si>
  <si>
    <t>مهدی اکبری</t>
  </si>
  <si>
    <t>رسول حق شناس، محمدمهدی پازوکی، سمیه کیادربندسری، محمد ستوده، مهدی توکلی نیا، طراوت طیبی، سیدعلی حسینی نژاد، هدیه فدایی، یوسف امانپور، علی اصغر حق شناس، الهه تبریزی، زینب داوودی، تینا حاجی آبادی، فاطمه حضوری، کیانا حق شناس، پویان جمشیدی</t>
  </si>
  <si>
    <t>محمدرضا آریان، احمدرضا خانی، مینا رسولی، ابراهیم عبدی، مصطفی عطری، مژده منظومه، فرنوش موحدی، یاسمن وفایی</t>
  </si>
  <si>
    <t>رضا مرادی نژاد، سید میثم قاسمی نژاد</t>
  </si>
  <si>
    <t>1400-04-11</t>
  </si>
  <si>
    <t>رضا حسین زاده</t>
  </si>
  <si>
    <t>آیسان قنبری، مهتاب اسدی، علیرضا صادق پور، پوریا علی محمدی، رضا حسین زاده</t>
  </si>
  <si>
    <t>1401-11-03</t>
  </si>
  <si>
    <t>علی محمدنژاد، هانیه بهاری</t>
  </si>
  <si>
    <t>علی محمدنژاد، گندم محمدی، محمد (کوروش) علیزاده، نیلوفر زینلی، الهه کوه بر، یحیی ایزدپناه، علی تیمورفامیان اصل، عسل (ژابیز) شهبازی، هلما بهشتی، سیاوش مشتاقی</t>
  </si>
  <si>
    <t>مهدی شاه حسینی</t>
  </si>
  <si>
    <t>عقیل جماعتی (بر اساس طرحی از مهدی شاه حسینی)</t>
  </si>
  <si>
    <t>(به ترتیب حروف الفبا) امین اصلانی، آیت بی غم، سوسن پرور، میثم درویشانپور، سهیل غلامرضاپور، محمد معتضدی</t>
  </si>
  <si>
    <t>1401-09-21</t>
  </si>
  <si>
    <t>مهران مکاری، امین سنجربیگی</t>
  </si>
  <si>
    <t>امیر جاسمیان آزاد</t>
  </si>
  <si>
    <t>(به ترتیب ورود) رامیار محمودی، مهران مکاری، الهه ناظری، یگانه شمس آبادی</t>
  </si>
  <si>
    <t>امین غلامی، عارف غلامیدستیار کارگردان</t>
  </si>
  <si>
    <t>امین غلامی</t>
  </si>
  <si>
    <t>نسرین حیدری، فردین حبیبی، فرزانه حکیمی، زهرا حسینی، سمیرا نظری، فاطمه خادمی، حلیمه حسینی، گلی قاسمی، زینب مقصودی</t>
  </si>
  <si>
    <t>سید جلال الدین دری</t>
  </si>
  <si>
    <t>سمیرا حسینی، فرداد صفاخو، حسین میرزاییان، غزال نظر، صدف بهشتی، بیتا بیگی، بهار هاشمی علمیه، سعید بحرالعلومی</t>
  </si>
  <si>
    <t>محمد عبدالوند</t>
  </si>
  <si>
    <t>امین دهقانی، میلاد مرادی، علی میری، سارینا ترقی، امید سعیدی</t>
  </si>
  <si>
    <t>1398-12-12</t>
  </si>
  <si>
    <t>ایمان مرادی</t>
  </si>
  <si>
    <t>(به ترتیب حروف الفبا) دیبا بیهقی، نگار تخت کشها، امیرحسین شیرالی، عرفان معجونی</t>
  </si>
  <si>
    <t>1399-05-22</t>
  </si>
  <si>
    <t>سیما شکری، نازنین زنگنه، زهرا صحبتی</t>
  </si>
  <si>
    <t>1402-05-16</t>
  </si>
  <si>
    <t>داریوش علیزاده</t>
  </si>
  <si>
    <t>(به ترتیب حروف الفبا) کیوان احمدی، محمد رشنو، پدرام عزیزی، محمدرضا محمدپور، ریحانه یزدان یار</t>
  </si>
  <si>
    <t>منصور آقاجانلو</t>
  </si>
  <si>
    <t>حسن سالارمنش</t>
  </si>
  <si>
    <t>حامد خسروی، منصورآقاجانلو، نسترن مظفری، عاطفه رحمانی و حسن دوشا</t>
  </si>
  <si>
    <t>نازنین فراهانی</t>
  </si>
  <si>
    <t>سپهر زمانی، میلاد فرج زاده و یاشار بیک زاده</t>
  </si>
  <si>
    <t>نیما شعبان نژاد، سعید دشتی</t>
  </si>
  <si>
    <t>سینا شفیعی</t>
  </si>
  <si>
    <t>نیما شعبان نژاد، سینا ساعی</t>
  </si>
  <si>
    <t>بهرام افشاری</t>
  </si>
  <si>
    <t>تینو صالحی و بهرام افشاری</t>
  </si>
  <si>
    <t>مهسا جعفری، مسعود هاشمی نژاد</t>
  </si>
  <si>
    <t>مسعود هاشمی نژاد</t>
  </si>
  <si>
    <t>(به ترتیب حروف الفبا) هستی اقدامی، سبحان ترونده، محمد حضرتی، زهراحیدری، کوروش دهیار، عسل رحیمی، امیر رمضانی، عرفان علی لیواری، صاحبه معصومی، سید امیررضا نمازی</t>
  </si>
  <si>
    <t>تماشاخانه ابوالحسنی - بابل</t>
  </si>
  <si>
    <t>سعید پرسا</t>
  </si>
  <si>
    <t>محمد تسلیمی، مهدیه نیاستی، دایا خامسی، کیوان شابازاده، ابوالفضل خامسیان، شووار کریمزاده، ایمان رئیسی، فاطمه کلاری، آزاده رادمهر</t>
  </si>
  <si>
    <t>1400-10-16</t>
  </si>
  <si>
    <t>حمید حرا</t>
  </si>
  <si>
    <t>(به ترتیب ورود به صحنه) محمدجواد حبیبی، محمدامین نیک پنجه، مرتضی اصغری، محمدهادی کرباسچی، هانی مقدم، علیرضا عمرانی، سید علی زاهدی، مسعود اصغری، پیمان خراسانی، سید محمدمهدی هاشمی دانا، علیرضا شمائی، محمدرضا جمال، امیر صادقی، مهدی بیابانی و محمد رضوانی زاده</t>
  </si>
  <si>
    <t>دنیا نقیبی</t>
  </si>
  <si>
    <t>لطفعلی توده فلاح</t>
  </si>
  <si>
    <t>(به ترتیب ایفای نقش) غزل صادقی، روشنک لنگری، نیروانا کوچکی، کیانا علی خوشی، آبتین مرادی، امیرپارسا حسین پور، سارینا پیداوس، دانیال نیکلا، رها لنگری، ستایش پیداوس، محمد سلمانی</t>
  </si>
  <si>
    <t>1401-05-31</t>
  </si>
  <si>
    <t>نورا نجمی</t>
  </si>
  <si>
    <t>نورا نجمی، بهنام زلفی، پارسا تنها، ملیکا ابراهیمی، مهناز اصغری، سودا فرازی، سارینا مصطفوی، سبحان نیک پسند، محمدحسین یزدانی، محمد مهدی مرادی، محمدرضا نوراللهی، پویا شهسواری، هانی یامی</t>
  </si>
  <si>
    <t>1402-02-19</t>
  </si>
  <si>
    <t>صدرالدین زاهد</t>
  </si>
  <si>
    <t>تالار وحدت</t>
  </si>
  <si>
    <t>02:20:00</t>
  </si>
  <si>
    <t>ماهان حیدری</t>
  </si>
  <si>
    <t>(بازیگران و خوانندگان) حمید حامی، بهزاد عمرانی، آرش نعیمیان، خسرو پسیانی (مهمان از گروه تئاتر بازی)، کامران جهانبانی، نیکا افکاری، مدیا هاشمی، امیررضا توانایی، ثمیلا تحویلداری، تینا یوسفی، رها میرمیثاقی، مایسا مظلومی، رستا میرمیثاقی، هادی آبیاری، صادق صبح زاهدی، پوریا خداهمتی</t>
  </si>
  <si>
    <t>1401-05-12</t>
  </si>
  <si>
    <t>مرجان قاسمی</t>
  </si>
  <si>
    <t>خسرو امیری</t>
  </si>
  <si>
    <t>بهروز سروعلیشاهی</t>
  </si>
  <si>
    <t>هوگو سالسدو</t>
  </si>
  <si>
    <t>(به ترتیب حروف الفبا) هدا استواری، الهام پرویزی، احمد حامدی، طه حامدی، امیرسجاد دبیریان، بهروز سروعلیشاهی، ملیکا شهاب، بابک قادری، رسول قادری، سهیلا مفیدی، شاهین ملک زاده، معصومه میراشه، سعید نبوی</t>
  </si>
  <si>
    <t>خشایار صباغ، گلناز یکتاجم</t>
  </si>
  <si>
    <t>مهین بهزادی</t>
  </si>
  <si>
    <t>آرش آراسته، عطا آقا علیخانی، غزل افشاری، فاطمه ایوبی، نسرین بخت پور، علیداد برادر، سروش بشارتی، مهتاب بیگی، پوریا تاری، فرزاد دیوسالار، هانیه رادمهر، محمدامین ساکی، آرزو ضیایی، سمیه کرمی، ناهید کریمی، ماهان ناصرزارع، نورا ناصری</t>
  </si>
  <si>
    <t>1400-11-30</t>
  </si>
  <si>
    <t>نیما مظاهری، کیمیا کرمانیان، آتنا بهاری، یوسف محوی، پوریا محمدزاده، صادق جباری، پرهام سکوتی</t>
  </si>
  <si>
    <t>مجتمع فرهنگی هنری مهر - بومهن</t>
  </si>
  <si>
    <t>فرخنده محمدی</t>
  </si>
  <si>
    <t>حسن مقدم</t>
  </si>
  <si>
    <t>مهدی رضا خسروی، مهدی ملک محمدی، رضا شجاعی، حدیث بهرامی، شقایق صفری</t>
  </si>
  <si>
    <t>داود فتح اله پور</t>
  </si>
  <si>
    <t>ژاکلین آواره، پگاه مصدق، حسن همتی، مهدی شمس، نیما سیدموسوی</t>
  </si>
  <si>
    <t>1400-10-09</t>
  </si>
  <si>
    <t>امیرمرتضی تشرفی</t>
  </si>
  <si>
    <t>آران شیخ الاسلامی</t>
  </si>
  <si>
    <t>علی طهماسبی، امیرعباس بهجت نژادی، محمدرضا ولیزاد، همدم مختاری، علی بیگ محمدی، سایه سرابی، عرفان آصفی شجاعی، پریسا جعفرزاده، ساناز کسب خواه، فرزاد خسروی، صدف رحیمی</t>
  </si>
  <si>
    <t>علی هاشمی نیا</t>
  </si>
  <si>
    <t>(به ترتیب ورود) سپهر جاویدیان، محمد فراهانی، محمد کیا، حسین علی تبار، سپیده محمد ترشانی، مهراد اکبرآبادی</t>
  </si>
  <si>
    <t>1401-11-21</t>
  </si>
  <si>
    <t>ابوالفضل کریم زاده نائینی</t>
  </si>
  <si>
    <t>غزاله چیذری</t>
  </si>
  <si>
    <t>سیدمسلم حجتی</t>
  </si>
  <si>
    <t>مرکز گسترش فرهنگ و هنر نقاره خانه</t>
  </si>
  <si>
    <t>1402-03-24</t>
  </si>
  <si>
    <t>میلاد جباری مولانا</t>
  </si>
  <si>
    <t>مسعود نیازی، بهار گل آور، نیره قریب، مصطفی گلی</t>
  </si>
  <si>
    <t>داود بیتاء، اعظم قنبری، رعنا صفاری سیاهکلی، امیرحسین نسیمی، مژگان کامجو، درسای سبحه، پگاه مجدالدین، نسا بامداد، علیرضا آژیده، فرهاد اعتمادی، مرضیه ساکی، منصوره هروی، آرین نعیمی، امید فتحی، بابک پایوند، زهره گل سرخی، شقایق سیدین، امیرعلی حیدری، مجید حسینی، هادی دلیر آقایی</t>
  </si>
  <si>
    <t>آمفی تئاتر اداره فرهنگ و ارشاد اسلامی - اقلید</t>
  </si>
  <si>
    <t>1401-06-22</t>
  </si>
  <si>
    <t>محمدمهدی شریفی</t>
  </si>
  <si>
    <t>ملیحه مرادی جعفری</t>
  </si>
  <si>
    <t>محمدتقی کریمی نیا، بهادر جمشیدی، زهرا اسلمی</t>
  </si>
  <si>
    <t>محمدرضا اسکندری</t>
  </si>
  <si>
    <t>(به ترتیب حروف الفبا) محمدرضا اسکندری، بنیامین اسماعیلی، سعید کریمی ویشانی، احمدرضا نورالهی، علیرضا یاسری</t>
  </si>
  <si>
    <t>سیاوش جامع</t>
  </si>
  <si>
    <t>بهرام سروری نژاد، مهدی رحیمی سده، اعظم عرفانی، سیاوش جامع</t>
  </si>
  <si>
    <t>1401-04-10</t>
  </si>
  <si>
    <t>علی شایع</t>
  </si>
  <si>
    <t>محمد شهریار، نیلوفر شیخ، رضا اَهورا، آیدا بصیرت نیا، محمد تقی زاده، مهتاب فلاحتی، امیرعباس حیدری</t>
  </si>
  <si>
    <t>1400-07-08</t>
  </si>
  <si>
    <t>حسین تبریزی</t>
  </si>
  <si>
    <t>معصومه شمس، ندا محمدلو، شاهین بامداد، پویا صفری، محمدعلی سهامی، رویا محمدخانی، حسین تبریزی، اشکان صالحی، مهشید حسن آبادی، شادمهر حاجت زاده، عسل شلی، مهدیس فتحی، ملورین عباسی</t>
  </si>
  <si>
    <t>مبین رستگاری، صدیقه مرادی، میثم ترکمند، مهشید دلاوری، امیرحسین میرهادی، سیدروح الله عقدایی، احمد شاهوار، فریده نوری، ساغرخاتونی، بهاره جهانشاهلو، حمید ساوری، یاسین بهرامی، ابوالفضل علیاری، خالد امیری نیا، ئاسو نادری، حسین بابایی، زهرا فلاحی، فریده نوری، مهتاب عسکری، حسین کرمی، زهره مهقانی، مرضیه بنی علی</t>
  </si>
  <si>
    <t>موسسه فرهنگی هنری همای سعادت</t>
  </si>
  <si>
    <t>اشکان آبگون</t>
  </si>
  <si>
    <t>نیما تبریزی، اشکان آبگون</t>
  </si>
  <si>
    <t>1401-12-02</t>
  </si>
  <si>
    <t>ایلقار عابدی آغبلاغی</t>
  </si>
  <si>
    <t>قاسم عیسی نژاد، الناز صابری، بهروز نوزاد، مهین کاظمی، مژگان آهن پنجه، علی پوراسد، ارشیا اصلانی، رضا پورجعغر</t>
  </si>
  <si>
    <t>00:58:00</t>
  </si>
  <si>
    <t>1401-07-26</t>
  </si>
  <si>
    <t>صالح اصغری</t>
  </si>
  <si>
    <t>آیرا لوین</t>
  </si>
  <si>
    <t>حامد صالح پور، نگار عزیزی، محمد خوشبخت، شیما جعفرزاده</t>
  </si>
  <si>
    <t>1401-01-16</t>
  </si>
  <si>
    <t>جواد انصافی</t>
  </si>
  <si>
    <t>جواد انصافی، علی خازنی، محمدرضا قربانی، حمید رئوف تبار، امیرحسین انصافی، امیرمحمد انصافی، رضا معراجی</t>
  </si>
  <si>
    <t>1401-01-19</t>
  </si>
  <si>
    <t>مرتضی عقیلی، صدرالدین زاهد، شقایق شوریان، غزال نظر، پردیس زارع، سهیل بابایی، هانیه مقدم، علی زندی، آرش سلیمانی، سوگند صدیقی، مریم موسویان، آرام احمری نیا، امیر افشار، کیانا حاتم، آیناز علوی</t>
  </si>
  <si>
    <t>میلاد مرادی نسب</t>
  </si>
  <si>
    <t>بهاره مرادی نسب، مجید سیفی، پردیس کریمیان، مهدی علیپور</t>
  </si>
  <si>
    <t>1401-09-22</t>
  </si>
  <si>
    <t>احمدرضا نورالهی، سیاوش ضابط، رضا حسین نژاد، مهرداد قادری، فرید گلریز، مینا ترکمن، مسعود تاج کریمی، علیرضا یاسری، سمیه رجبی، سید مجید حسینی، پرستش پورمیرزا، پوریا رضایی مهر، عارف رستمی، آرمان مراثی، محمد ایمان راعی، فاطمه زمانی، علی صدیقی سعید، نگین بیگی، محمدرضا نوراللهی، نیما نیک دل</t>
  </si>
  <si>
    <t>آنلاین</t>
  </si>
  <si>
    <t>1399-06-07</t>
  </si>
  <si>
    <t>احسان رضوانی، سحر سالک (با سپاس از مهدی کوشکی، حسین برفی نژاد)</t>
  </si>
  <si>
    <t>(به ترتیب الفبا) هدیه بختیاری، یزدان دارابی، ریحانه رنجبر، سحر سالک، شکیلا سماواتی، آرمینا ضیاءنور، حمید عاشوری، سحر عبدالملکی، ایمان عبدی، سهیلا کمری، توحید لواسانی، سحر مصباح، محمدامین لطفی، هانیه مقدم</t>
  </si>
  <si>
    <t>03:00:00</t>
  </si>
  <si>
    <t>(به ترتیب الفبا) فرناز افشار، محمد الیاسی، نادیا بهداروند، میثم پی زری، نرگس تهرانی، نیاز حاجی پور، عباس خداقلیزاده، مرضیه دهقانپور، احسان رضوانی، سلین علیپور، یاس عابدینی، سیما غلامزاده، پریسا غلامیان، فاطمه محمدی (فمل)، مهدی یگانه</t>
  </si>
  <si>
    <t>1400-12-04</t>
  </si>
  <si>
    <t>پارسوا پاکیزه</t>
  </si>
  <si>
    <t>محمود استادمحمد</t>
  </si>
  <si>
    <t>رامین پرچمی، علی جمشیدی، پارسوا پاکیزه</t>
  </si>
  <si>
    <t>آمفی تئاتر اداره فرهنگ و ارشاد اسلامی نوشهر</t>
  </si>
  <si>
    <t>عباس روجایی</t>
  </si>
  <si>
    <t>میثم وهابی، لیلی رضایی، ملیکا دادرسی</t>
  </si>
  <si>
    <t>کامران شهلایی، محمد لارتی</t>
  </si>
  <si>
    <t>رامین ناصرنصیر، مهسا ایرانیان</t>
  </si>
  <si>
    <t>1402-03-31</t>
  </si>
  <si>
    <t>اتا حسینی، فرید گلریز، آذین فهیمی، مریم سعیدی، حسین میلانی، مارال کریمی، هادی رضایی، فاطمه محسنی، نازنین زهرا بزازی، علی قلیچ خانی، سید حسن عبادی مهر، محسن نادری، سینا منتظری، عسل خاکمردان، علیرضا رسول زاده</t>
  </si>
  <si>
    <t>پلاتو تالار هنر - یزد</t>
  </si>
  <si>
    <t>1400-12-29</t>
  </si>
  <si>
    <t>سیدهادی آقابزرگی، جمال دهقان</t>
  </si>
  <si>
    <t>سیدمجتبی موسوی، مهدی مالکی، اخترالسادات اولیایی، الناز لطیف، بهنام عباسیفر، حامد میرعبداللهی، سهیل معتمدراد، فاطمه معزی، پوریامعینی، مهدی معزی، حسین حضرتی، مهدی شیرزاد، علیرضا فریدی</t>
  </si>
  <si>
    <t>1399-06-29</t>
  </si>
  <si>
    <t>مجتبی راوش</t>
  </si>
  <si>
    <t>علی دل پیشه</t>
  </si>
  <si>
    <t>علی دل پیشه، فایزه یوسفی، حامد شریف پور، سامان مختارزاده، خالق استواری، امید دانشوران</t>
  </si>
  <si>
    <t>پویش فروزنده</t>
  </si>
  <si>
    <t>سینا بالاهنگ، نسیم ناصر زارع، باسط رضایی، راشین دیدنده، شجاع الدین گیاهی</t>
  </si>
  <si>
    <t>تالار اندیشه (مشگین شهر)</t>
  </si>
  <si>
    <t>1401-01-10</t>
  </si>
  <si>
    <t>راضیه مومیوند، افشین ممیشی، بیتا حسینی، زهرا جعفری، فاطمه ابراهیمی، بهار فرخی، ساناز حسینی</t>
  </si>
  <si>
    <t>1400-09-07</t>
  </si>
  <si>
    <t>محمدرضا خطیب</t>
  </si>
  <si>
    <t>محمد جلوه دار، مینا نوجوان، مهدی اذعانی، وحید نصیری جوزانی، نعیمه دیریان زاده، محمدرضا خطیب، علیرضا نامنی</t>
  </si>
  <si>
    <t>ناصر آویژه، بهنام متعارفی، الهام زارعی، قاسم انصاری شاد، مهدی رحمتی، حسن تدینی، سعیده ترکاشوند</t>
  </si>
  <si>
    <t>مژگان یوسفی</t>
  </si>
  <si>
    <t>صبا ایزدپناه، مهیار ارجمندنیا، مهدی فروغی</t>
  </si>
  <si>
    <t>آریو راقب کیانی</t>
  </si>
  <si>
    <t>کوبو آبه</t>
  </si>
  <si>
    <t>علیرضا یلوه، مهسا سیاری، الناز شاهوردی</t>
  </si>
  <si>
    <t>محمد میرعلی اکبری</t>
  </si>
  <si>
    <t>(به ترتیب حروف الفبا) امیررضا باباولیان، تانیا بیات، هلیاخادم، فاخته رضائیان، محمدرضا رضایی نسب، امیرعلی زمانیان، شایان طرقه، عرفان ظروفچیان، صادق کاوانلویی، نیکی میرصادقی، سپیده نورصالحی، سامان ولی سلطانی</t>
  </si>
  <si>
    <t>1402-02-09</t>
  </si>
  <si>
    <t>پاشا ابراهیمی</t>
  </si>
  <si>
    <t>کیمیا اکبری، جلال احمدپور، پاشا ابراهیمی</t>
  </si>
  <si>
    <t>رضا جعفر مدار</t>
  </si>
  <si>
    <t>مهناز کرباسچیان، نورا کاظمی، حمید رشید، شهاب نظام دوست</t>
  </si>
  <si>
    <t>مجتمع فرهنگی هنری اداره فرهنگ و ارشاد اسلامی بابل - سالن اصلی</t>
  </si>
  <si>
    <t>1401-02-22</t>
  </si>
  <si>
    <t>مهدی قاسمیان</t>
  </si>
  <si>
    <t>بیژن راستگو، مریم ذوالفقارپور، مجتبی قاسمیان، سروش قاسمیان</t>
  </si>
  <si>
    <t>علی فتحعلی</t>
  </si>
  <si>
    <t>فرهاد نقدعلی</t>
  </si>
  <si>
    <t>علیرضا ناصحی، حسین میرزاییان، جمشید حسینی، حسین شفیعی، امیررضا کوشانی، مهری پرهیزکار، نگار مقدسی، رویا شیخی</t>
  </si>
  <si>
    <t>روژین پناهی</t>
  </si>
  <si>
    <t>1400-09-15</t>
  </si>
  <si>
    <t>محسن زرآبادی پور، غزاله روغنی، مهرداد سوری، سپاس رضایی، پویا حاجی رضا، رضا قره گزلی، بردیا دیانت، سویل جعفری، بنیامین میلان، ماهان ترابی، فریبا فریدونی، مسعود فاضلی، کوروش محمدرضا</t>
  </si>
  <si>
    <t>مهدی کاسه ساز</t>
  </si>
  <si>
    <t>مجید رمضان نسب، سینا منتظری، محمد حسین کیا، امیرمحمد میرزامهدی، محمدرضا مراد، الناز عطایی، کیمیا نصیری، عاطفه موسوی، یلدا دهقانی، نازنین کریمی رامشه، سپنتا پزشکی، امیر کرمانی، دایانا عسگری، کاوه توکلی، احسان اسماعیلی، صادق گلعلیزاده، پارسا تنها، محسن فریادیان، نگین بیگمرادی، نگین آزادی، مهسا رفیعی، فاطمه انصاری، مهشید عظیمی، مهسا عظیمی، دنیا تیموری</t>
  </si>
  <si>
    <t>الینا گلچین</t>
  </si>
  <si>
    <t>رضا زارنجی، یاسمن صمد زاده</t>
  </si>
  <si>
    <t>محمد عبداللهی، افشین کامیابفرد، باران گلدوست، صادق حسینی</t>
  </si>
  <si>
    <t>1400-10-01</t>
  </si>
  <si>
    <t>بهنام حسنپور</t>
  </si>
  <si>
    <t>(به ترتیب الفبا) پوریا جلال وندی، بهنام حسنپور، احمدرضا فلاح، کاوه فتح الهی، حامد مهراندیش</t>
  </si>
  <si>
    <t>مهتاب امیرکافی</t>
  </si>
  <si>
    <t>محمدرضا حسنی، مهتاب امیرکافی، محمدعلی مرتضوی صفت، مریم رضایی، علیرضا محمدی</t>
  </si>
  <si>
    <t>1398-11-17</t>
  </si>
  <si>
    <t>بر اساس نمایشنامه«چنین است اگر چنین به نظرتان می رسد»از لوئیجی پیراندلو</t>
  </si>
  <si>
    <t>(به ترتیب ورود) فواد داودی، امیرعلی ابراهیمی، کیمیا علوب، مهسا پاسیار، آرین مقدم، غزل نادری، تارا رحمانی، نرگس صراف، امیرعلی عطار، دلشاد ویژه، پویا جاویدآرا، محمد غیاثی، علی ابراهیم</t>
  </si>
  <si>
    <t>هانا صالحی راد</t>
  </si>
  <si>
    <t>هانا صالحی راد، مهدی تنگ عیش</t>
  </si>
  <si>
    <t>زینب عباسی، هادی شبانی، نگین سوهانی، امیرحسین جعفرپور، محمد درویش</t>
  </si>
  <si>
    <t>فرشید هدی</t>
  </si>
  <si>
    <t>آتنا ارزی، علی اکبر اعتماد مقدم</t>
  </si>
  <si>
    <t>1402-11-14</t>
  </si>
  <si>
    <t>آلن وتز</t>
  </si>
  <si>
    <t>دانشگاه آزاد اسلامی تهران مرکز - سوهانک (ولایت۴)</t>
  </si>
  <si>
    <t>12:30:00</t>
  </si>
  <si>
    <t>1402-02-21</t>
  </si>
  <si>
    <t>اشکان بوداغی</t>
  </si>
  <si>
    <t>اشکان بوداغی، یونس گودرزی، تارا قبادی، امیرحسین ریحانی، مهسا کیانی</t>
  </si>
  <si>
    <t>پریا گلمحمدی</t>
  </si>
  <si>
    <t>(به ترتیب حروف الفبا) امید اشرفی مقدم، زهرا پوریان، آیلیین شباهنگ</t>
  </si>
  <si>
    <t>علی ریاحی</t>
  </si>
  <si>
    <t>ابوالفضل رشیدی، سارا نیرومند، بهناز تاجیک، میلاد کفایی، فاطمه محمد علی، آیناز ایقانی</t>
  </si>
  <si>
    <t>1401-03-24</t>
  </si>
  <si>
    <t>عسل گلباز</t>
  </si>
  <si>
    <t>خانه هنرمندان - کرج</t>
  </si>
  <si>
    <t>1400-04-30</t>
  </si>
  <si>
    <t>حامد هادوی</t>
  </si>
  <si>
    <t>فاضل رفاهی، مهدی رضایی، علی امانی، مهدی فلاح، جواد موسوی، نیایش رهبان، رامیلا مهابادی، ستایش مهابادی، مهسا جوانمرد، تینا برومند، آذین حسینی</t>
  </si>
  <si>
    <t>امیرحسین آقایی</t>
  </si>
  <si>
    <t>مائده اسداللهی، محدثه رمضانی، فاطمه زارعی، فائزه امیرحسینی</t>
  </si>
  <si>
    <t>(به ترتیب حروف الفبا) زهرا آقاپور، صفورا خوش طینت، شادی شاه علی، منصور عربی، سالار کریم خانی، پیمان محسنی</t>
  </si>
  <si>
    <t>علیرضا جم</t>
  </si>
  <si>
    <t>یوسف میرزایی، علیرضا جم، امیرحسین حیاتی، غزل شاه آبادی، امیرمحسن رضایی</t>
  </si>
  <si>
    <t>01:24:00</t>
  </si>
  <si>
    <t>ابراهیم پشت کوهی</t>
  </si>
  <si>
    <t>مهدی عطایی دریایی، مجید کشاورز، گاتا عابدی، افسانه برزه کار، یاسمن صیاد دقت کار، غزل لوری، سعید سلیمی و محمد جامه شورانی</t>
  </si>
  <si>
    <t>ملیکا شاه حسینی</t>
  </si>
  <si>
    <t>شیدا صفری نژاد، دیبا حکیم الهی</t>
  </si>
  <si>
    <t>02:30:00</t>
  </si>
  <si>
    <t>استاد اکبر رادی</t>
  </si>
  <si>
    <t>(به ترتیب ورود) علیرضا شعبانیان، محدثه محمدزاده، حسین فرجی، علیرضا بهرامی، افروزه افروغ، امیرحسین سیدزاده</t>
  </si>
  <si>
    <t>مهدی شاه پیری</t>
  </si>
  <si>
    <t>داریوش فائزی، مهرنوش بلمه، حامی علیزاده، سهند جعفری زاد، رویا صدوقی، نگین تقوی راد، وصال امینی</t>
  </si>
  <si>
    <t>1399-04-17</t>
  </si>
  <si>
    <t>محسن مظاهری</t>
  </si>
  <si>
    <t>محمد غلامی مایانی، محسن مظاهری</t>
  </si>
  <si>
    <t>1399-06-14</t>
  </si>
  <si>
    <t>ایمان میرهاشمی، آرزو صفی یاری</t>
  </si>
  <si>
    <t>1401-07-06</t>
  </si>
  <si>
    <t>امیرعلی ابراهیمی بر اساس متنهای حرفهای (دوسان کواچویچ)، در انتظار گودو (ساموئل بکت) و داستانکوتاه های دنیل خارمس</t>
  </si>
  <si>
    <t>مینا اصلانی میمندی، یحیی ایزدپناه، هلما بهشتی، علی تیمورفامیان اصل، نیلوفر زینلی، محمد بیات، عسل (ژابیز) شهبازی، محمد صدیق، یلدا عباس زاده، ریحانه گودینی، راحله گودینی، گندم محمدی، پوریا مشفق سمیع، نرگس میرمحمدصادقی</t>
  </si>
  <si>
    <t>محسن رنجبر، علیرضا داننده فرد</t>
  </si>
  <si>
    <t>محسن جسور</t>
  </si>
  <si>
    <t>علیرضا داننده فرد</t>
  </si>
  <si>
    <t>حسین پوریانی فر</t>
  </si>
  <si>
    <t>سپندار اعلم، بردیا مشهودی، مهدی قربانی، علیاصغر حسینی، میلاد افواج، میرآقا بهاری، اکبر سلمانی اله دادی، علیرضا آشوری، جواد کارگر، شهاب رحمانی، مهرکوش علیزاده</t>
  </si>
  <si>
    <t>علیرضا یونسی</t>
  </si>
  <si>
    <t>آرش نایبی، مهدی دهقانی، مبینا علیزاده، هستی اکرمی راد، امیرحسین سیداسماعیل، محسن نظرزاده، رضامحمدی، مجتبی ترکمان، علی کرمپور، امیرحسین آرام، پریا مرزبان، امیر ملکی، سدنا محبی، آیلار شاکری، مهدی صفدری، سید صالح حسینی، علی ایزدی، غزال مهران فر، آتنا تهلیلی، سید میثم رجائی زاده، هانیه رحیمی، بهادر پالای، امیرپوریا مسعودنیا</t>
  </si>
  <si>
    <t>حامد شیخی، عسل گلباز، علی پیله ور</t>
  </si>
  <si>
    <t>ویدا موسوی</t>
  </si>
  <si>
    <t>سیما تیرانداز، امین میری، آیه کیان پور، خاطره اسدی، میلاد معیری، جواد پولادی، محمدحسین خادمی، مهرزاد جعفری، پرتو مهر، مرتضی طهرانی</t>
  </si>
  <si>
    <t>فرهنگسرای مهر و ماه قیامدشت</t>
  </si>
  <si>
    <t>احمد استیری</t>
  </si>
  <si>
    <t>سپیده دشتی، نیما مهدی اوغلی، عباس محمدی، حدیث عباسی</t>
  </si>
  <si>
    <t>ابوذر جادنگو</t>
  </si>
  <si>
    <t>نسیم جعفری ثابت، سمیه قدیمی، نازنین چهره نگار، عسل سلیمانی، هانیه اکبری، سالار قدیمی و ابوذر جادنگو</t>
  </si>
  <si>
    <t>22:00:00</t>
  </si>
  <si>
    <t>فرهاد شنتیایی</t>
  </si>
  <si>
    <t>ایاد اختر</t>
  </si>
  <si>
    <t>فرهاد شنتیایی، شیرین سلیمی، امیرعلی شیرآبادی، بهزاد کریمی، مهسا شجاعی</t>
  </si>
  <si>
    <t>حسین شهبازی</t>
  </si>
  <si>
    <t>ابوالفضل جمشیدی، حامد پورمحمد، عارف عباسی، علی یعقوبی، بهار پوزش پور، ناصر عزتی، سیدعلی افضلی، فائزه خانزاده، طاهر رجبی، آیدا سرمست، سید جواد آیت، حیدر رحمت الهی</t>
  </si>
  <si>
    <t>1401-05-28</t>
  </si>
  <si>
    <t>زینب عبدالرضا</t>
  </si>
  <si>
    <t>طاها یحیی آبادی، خان آقا احمدی، امیرحسین صفاپور، آرمین حسن زاده، وحید سیبی، علیرضا نیاکان، حمید رجبی، الناز شاهد، مهدی اسکندری، هستی ساریخانی، حسنا کشانی، فاطمه زهرا رحیمی والا، حنانه رحیمی، والا فاطمه جلایی فر، زهرا جلایی فر، زهرا سادات دهقانی، نازنین سادات دهقانی، هلیا صداقت، فاطمه صداقت، فاطمه صفایی، حسنا عبدس، ریحانه زهرا یزدانی منش، ثنا احتشام، لیلا ملک نیا، مطهره مظلومین، سارا مجیدی، سحر مجیدی، سیما مجیدی، محمد حسین سلیمانی، ایلیا هاشمی، فاطمه کاردانپور، زهرا جهانبین، ریحانه آراسته، فاطمه کاردانپور، ایلیا ابراهیم فرد، مونا سالاریان، فاطمه عسل عبداللهی، محسن کریمیان و ...</t>
  </si>
  <si>
    <t>شاهین چگینی</t>
  </si>
  <si>
    <t>(بر اساس حروف الفبا) سارا اولیایی، زینب بیگدلی، ایلیا پارسیان، کیارش رادمهر، روزبه سلطانی، شیما عسگری، پریا گل محمدی، شیوا مهرجو</t>
  </si>
  <si>
    <t>بابک حجری</t>
  </si>
  <si>
    <t>ابوذر فرهادی، افشین ریاحی، پرستو نوری، سارینا رمضانی نژاد</t>
  </si>
  <si>
    <t>محمدرضا حیدری</t>
  </si>
  <si>
    <t>مهرداد بهراد</t>
  </si>
  <si>
    <t>سعید قلندری، زهرا مهرابی، سحر وزیری، امیرحسین اشرف عسکری، محجوب محمدی، امیراحمد سراج، فاطمه ارحین، محمدرضا حیدری</t>
  </si>
  <si>
    <t>1399-12-23</t>
  </si>
  <si>
    <t>سهیل قسیمی، محمد اشکان مهر، مهرداد قادری، سجاد یار احمدی شایان محمدی، امیر دشتی، پویا آصفی، اویان براتی فر، دلارام ذوالفقاری، دیانا بابا اعظمی، نیما رضائی فراز، عطیه کیوان شکوهی، امیرحسین شعبانی</t>
  </si>
  <si>
    <t>تماشاخانه حیایی</t>
  </si>
  <si>
    <t>علی منصوری</t>
  </si>
  <si>
    <t>(به ترتیب الفبا) علی حسینی، سونیا خاموشی، محمدرضا رضایی نسب، مهسا ماهرو، پارسا محمدبیگی، پویا محمدبیگی، بیتا مهدوی، رضا نعمتی، امیرعلی نوری</t>
  </si>
  <si>
    <t>خانه نمایش قم</t>
  </si>
  <si>
    <t>1399-12-21</t>
  </si>
  <si>
    <t>سید محمدجواد طاهری</t>
  </si>
  <si>
    <t>محمدامیر یاراحمدی</t>
  </si>
  <si>
    <t>زهرا محمدباقری، مهدی یوسفی، فاطمه آخوندیان، کوثر قاسم زاده، آرزو جعفری، مبارکه قاسم زاده، ملیکا خان وردی لو</t>
  </si>
  <si>
    <t>1402-04-29</t>
  </si>
  <si>
    <t>حامد وکیلی</t>
  </si>
  <si>
    <t>مرتضی شاه کرم</t>
  </si>
  <si>
    <t>امیر کربلاییزاده، مرضیه صدرایی، هانیه کریمی، مهسا سرخوش، آیناز آغاسی، جواد خواجوی، حامد وکیلی</t>
  </si>
  <si>
    <t>مجموعه تئاتر شهر کرمان</t>
  </si>
  <si>
    <t>03:30:00</t>
  </si>
  <si>
    <t>جلیل امیری</t>
  </si>
  <si>
    <t>مجتبا ناظمی، آرمان جمالی، سعید بافتی پور، پریسا شاهمرادی، رضا شیخ زاده، اسما ایران منش، حسن مختارآبادی، عسل حسیبی، محمدجعفری، سحر وزیری</t>
  </si>
  <si>
    <t>1401-05-29</t>
  </si>
  <si>
    <t>محمد جواد استاجی</t>
  </si>
  <si>
    <t>سامویل بکت</t>
  </si>
  <si>
    <t>علی کلاته</t>
  </si>
  <si>
    <t>نینادینترونا، جیاکومو راویچیو</t>
  </si>
  <si>
    <t>سعید برجعلی، حسین رنگرز جدی</t>
  </si>
  <si>
    <t>فرشید قلیپور</t>
  </si>
  <si>
    <t>محمد عسگری، آذین ریوف، شیرین صمدی، مرجان آقانوری، اسماعیل باستانی، سمیرا فرقانی، رزیتا زراعتی، غزال مهران فر، فاطمه میرجمالی، آیدا مازندرانی، نجوا نجومی، پریا طهماسبی.مبینا علیزاده، مهشید پروین، ریحانه غلامی</t>
  </si>
  <si>
    <t>ایرج افشاری اصل</t>
  </si>
  <si>
    <t>رجینالد رُز</t>
  </si>
  <si>
    <t>علیرضا جلالیتبار، آرزو افشار، بهرام سروری نژاد، محسن افشار، سیاوش جامع، زری کریمی، کاظم برزگر، امیر عدل پرور، امیر موسوی، علی نکته سنج، سمیرا سهرابی، سینا صبحی، ایلیار افشاری اصل، پارمیدا افشار</t>
  </si>
  <si>
    <t>1400-11-19</t>
  </si>
  <si>
    <t>مهدی جواهرپور</t>
  </si>
  <si>
    <t>علی کوچکی</t>
  </si>
  <si>
    <t>(به ترتیب ورود به صحنه) ویدا یاراحمدی، امیر موذنی</t>
  </si>
  <si>
    <t>1402-03-10</t>
  </si>
  <si>
    <t>مسعود نیازی، مرضیه آقاسی، داود اصغرنژاد، میلاد جباری مولانا</t>
  </si>
  <si>
    <t>1402-02-15</t>
  </si>
  <si>
    <t>ندا قربانیان</t>
  </si>
  <si>
    <t>محمود حقیری، رامین ملائی، عبدالرضا یعقوبی، میلاد زعفرانی، مژگان چارانی، حمیدرضا محتشمی، محسن محمدی، نیوشا رضوانی، دنیا نقیبی، فرامرز محمدیان، نازنین فولادی، فاطمه حسینی</t>
  </si>
  <si>
    <t>فرهنگسرای مهر کاشان</t>
  </si>
  <si>
    <t>00:00:00</t>
  </si>
  <si>
    <t>1401-06-30</t>
  </si>
  <si>
    <t>هادی احتیاجی</t>
  </si>
  <si>
    <t>جعفر عباس زاده، الهام توفیقی، داوود روحانی، مهدی احتیاجی، یاسمین مولایی، نازنین باقری، هادی احتیاجی</t>
  </si>
  <si>
    <t>1401-12-16</t>
  </si>
  <si>
    <t>(به ترتیب ورود به صحنه) حمیدرضا معدنکن، امیرآزادروستا، مژگان رضاخانی، محمد رمضانی، کیانوش حاتمی، ساغر نوروزی، محمد حاج محمدی، مصطفی خدابنده لو، علی صابر، آرش اعظمی، ثنا آزادروستا، امیرعلی بهاری، (مردم شهر) آرش اعظمی، محمدمهدی بیاتی، مهدی آبزن، فرنوش غلامیان، لیلا صید، محمدمتین حضرتی، شهاب کاکاوند</t>
  </si>
  <si>
    <t>حامد شیخی، سیمین میرشفیعیان</t>
  </si>
  <si>
    <t>1401-02-15</t>
  </si>
  <si>
    <t>نساء یوسفی، آیلار نوشهری، محمدرضا حسن زاده، المیرا صارمی، عیسی حسینی، سوگند دیانی، فرنوش نادرپور، لیلا هوشیاری، مهناز فراتی، پولاد شعبانی، سارا محمودی، علیرضا عبدالله زاده هلنا کریمی</t>
  </si>
  <si>
    <t>رضا بهرامی</t>
  </si>
  <si>
    <t>بهروز پناهنده، کهبد تاراج، امیر عدل پرور، شادی ضیایی، سهیل ملکی، احمد جعفری، حسین اشتهاردی، عرفان پورمحمدی، آروین فلاح، حسن تدینی، بهار گودرزی، زهرا حمیدی پور، دنا زره پوش، نگار قوامفر، امیر شاعری، امیر حسین مدرس، محمد پارسا زاهدی، علی راحتلو، امید اسلامی، محمدمهدی  بیات، حسین صادق نائینی، ابوالفضل گودرزی، علی حسینی</t>
  </si>
  <si>
    <t>سالن شهید سلمان هراتی - ساری</t>
  </si>
  <si>
    <t>1400-10-25</t>
  </si>
  <si>
    <t>22:33:00</t>
  </si>
  <si>
    <t>1400-12-16</t>
  </si>
  <si>
    <t>امیر رمضانی</t>
  </si>
  <si>
    <t>پرستو ایزدی پناه، مهرداد نوری، حمیدرضا شمشیری، حسین تیموری، ثمین بزرگمند، محمد سعید دبیری، احمد باقری، امید نمازی، مایا کاظمی، محمد گلشن</t>
  </si>
  <si>
    <t>(به ترتیب حروف الفبا) گیلدا حمیدی، شهروز دل افکار، افشین غیاثی، مهسا مهجور، نورا هاشمی</t>
  </si>
  <si>
    <t>1399-04-20</t>
  </si>
  <si>
    <t>پرنیا شمس</t>
  </si>
  <si>
    <t>پرنیا شمس، امیر ابراهیم زاده</t>
  </si>
  <si>
    <t>پروانه ذابح، یاسمن رسولی، ترانه یوسفی، شادی صف شکن، مهتاب کریمی، صدف ملکی، ماهور میرزانژاد</t>
  </si>
  <si>
    <t>1401-10-02</t>
  </si>
  <si>
    <t>بهنام مقبلی، احسان بحرینی</t>
  </si>
  <si>
    <t>داوود کیانیان</t>
  </si>
  <si>
    <t>پری ماه شکفته، ام البنین افتخاری، نازنین زهرا جعفری زاده، یاسمین زهرا جعفری زاده، هرا شکوهی، آریا رنجبر، بهار میرساردو، فاطمه باغگلی</t>
  </si>
  <si>
    <t>1400-07-25</t>
  </si>
  <si>
    <t>رضا طالبی</t>
  </si>
  <si>
    <t>مرتضی دلداده</t>
  </si>
  <si>
    <t>مجید شکری، مرتضی دلداده، زهرا حاج حسن، پوریا دادفر، سیده زهرا حسینی، مژگان علیدادی، هانی افتاده</t>
  </si>
  <si>
    <t>قطب الدین صادقی</t>
  </si>
  <si>
    <t>(به ترتیب حروف الفبا) صابر آسیایی، لیلا ترکمان، محمدرسول جعفری، امیر حیدری، حامد دلیریان، الهه رنجبری، مصطفی فتاحی، محمدرضا قراگوزلو، میثم محمدخانی، آتنا مهدوی، محمدحسن نصیریان، مهین نویدی، علی هوشمند</t>
  </si>
  <si>
    <t>محمدعلی نصیری پور</t>
  </si>
  <si>
    <t>حمیدرضا ذکیانی، معصومه ایرانشاهی، فاطمه عباسی</t>
  </si>
  <si>
    <t>1401-02-31</t>
  </si>
  <si>
    <t>صالح خواجه</t>
  </si>
  <si>
    <t>فاطمه تازیکه، سحر قزاق، هلیاسادات ملکجعفریان، لیانا خودکار قمصری، سیده تینا حسینی، روژان زینالعابدینپور، ساریناسادات دادور، نهال نعیمآبادی، هلیا عرب، سید پارسا حسینی و صالح خواجه</t>
  </si>
  <si>
    <t>کاوه مهدوی</t>
  </si>
  <si>
    <t>کارگاه هنرهای نمایشی بداهه</t>
  </si>
  <si>
    <t>پریسا محسنی، نازنین ادیب، کیمیا امینی، نیلوفر مظفری، نگار غفاری، آیسان حدادی، روزبه دانشیان، پوریا معصومی، زهرا درخشان، امیرعلی شاه اسماعیلی، امین محمد اسماعیل زاده، عرشیا کرمی، ارغوان عطااللهی، زهرا حسین زاده، فائزه هزاری</t>
  </si>
  <si>
    <t>محمدمحسن کاظمی</t>
  </si>
  <si>
    <t>(به ترتیب ورود به صحنه) الهه خزاعیپور، حدیث صفرنژاد، معصومه اسفندیاری، پریا کریمی، یکتا حصارسرخی، عاطفه زاهدنژاد، خدیجه اُخروی</t>
  </si>
  <si>
    <t>1401-11-06</t>
  </si>
  <si>
    <t>مهسا چیذری</t>
  </si>
  <si>
    <t>اسکار وایلد</t>
  </si>
  <si>
    <t>(به ترتیب ورود) محمد وثوقی، دیانا جاوید موسوی، احمد بیستونی، زهرا مدبر، سمیرا لطفی، فاطمه طاهری، ژالیا شاکری، میثم عزیزی شربیانی، مهسا چیذری</t>
  </si>
  <si>
    <t>ساشا کشوادی</t>
  </si>
  <si>
    <t>(به ترتیب ورود) پروا آقاجانی، بهنام شرفی، اشکان دلاوری، مهیار اسلامی، زهره بختیاری، سحر شاطری، رضا جهانی، سوگند صدیقی، محدثه محمدی، جواد پولادی، لیلا فرداد، محمدعلی آقاخانی، محمدرضا نخعی، محمد اسماعیلی، هیوا کشوادی، سعید رسول نیا، فاطمه طاهری، امیر داوری، ثمین عباسی، احمد عزیزی، دانیال یعقوبی</t>
  </si>
  <si>
    <t>مرجان خاکساری، یاشار باب، بهرام خطیبی، مهران نبی، پوریا علی محمدی، سیما شکاری، مهوش شیخی، علیرضا احمدی (علی حاجی)، دلارام یوسفی، آیدا رحمتی، فاطمه رادمرد، امیررضا حدادی، نیما رضایی، امیرحسین جلالیان و شهریار صولتی</t>
  </si>
  <si>
    <t>1398-12-20</t>
  </si>
  <si>
    <t>علی مقدم</t>
  </si>
  <si>
    <t>محسن بهرام، الهه شهپرست، راشین عرب زاده، محمد قنبری و علی مقدم</t>
  </si>
  <si>
    <t>علی فتحعلی، داوود داداشی، محمود موسوی، نگار مقدسی، حمیدرضا جهانگیری، حمید رضا مرادی، مهدی نوری، اسماعیل یوسفپور، محمد حاج محمدی</t>
  </si>
  <si>
    <t>(به ترتیب نقش) حامد شیخی، حلما قربانی، پرهام صداقت، رویا شیخی، علی اسدیان، محمد منافی، بهزاد محبوبی، محمد واحد پرست، شهپر مشفقی، امیرحسین فهادان، تداعی سعیدی فر، محمد باقر عجملو، امیرحسین انصاری، ساغر بهنام، مهدی هنرسازان، علی اقبالی، سارا محبی، (بازیگران مهمان) ملیکا زاهدی، احمد ابراهیمی</t>
  </si>
  <si>
    <t>میلاد شیبانی</t>
  </si>
  <si>
    <t>مهشاد عابدین پور، مانیا محمدی، عرفان فلاح، میلاد شیبانی</t>
  </si>
  <si>
    <t>عرفان فلاح، علیرضا حمدی پور، سارا بهرامی، حنان احمدی، سوگل عبدوستی، امیر دینارانی، محیا کارگر، پریسا شارمی، نرگس قربانی، ماهان مرادی، سهیل بهرامی</t>
  </si>
  <si>
    <t>1401-02-30</t>
  </si>
  <si>
    <t>(به ترتیب ورود به صحنه) علیرضا (نیما) قربان زاده، محمدعلی آقاخانی، مهدی ملکی، زهرا مدبر، محمد پوراکبر، علی جعفری، امید قاسمی، فاطمه دارهل، شادن گلزار، امیرپوریا مسعودنیا، احمد بیستونی، مهسا گل گیر، فرناز طالبیان، مهوش چراغی، نیما ثبوتی، فاطمه طاهری، اکبر یکتا، حلما شکری، امیرحسین فارسی، امیرحسین نجفی، بهرنگ زهره وند، وفا باقری، عسل عبداللهی، آترین سالاری، دانیال حسن نیا، مرتضی غیاثوند</t>
  </si>
  <si>
    <t>00:59:00</t>
  </si>
  <si>
    <t>سعید عسگریان</t>
  </si>
  <si>
    <t>آرتور میلر</t>
  </si>
  <si>
    <t>(به ترتیب ورود به صحنه) سهند برادران، فاتیما افتخاری، مهدی اشرافی، سوده خدری، پریسا محمد زاده، نفیسه لاهوتی، هدی کاویانی نسب، نازنین دلشادیان، حسین حیاتی، علی قندالی، نوید محسنیان</t>
  </si>
  <si>
    <t>1402-03-02</t>
  </si>
  <si>
    <t>حمیدرضارحیم متولی</t>
  </si>
  <si>
    <t>علی نورمحمدی، عارفه حسین اهرانی</t>
  </si>
  <si>
    <t>سالن مستطیل</t>
  </si>
  <si>
    <t>دانیال خجسته</t>
  </si>
  <si>
    <t>راجیو جوزف</t>
  </si>
  <si>
    <t>دانیال خجسته، کمال عبدی</t>
  </si>
  <si>
    <t>1401-06-10</t>
  </si>
  <si>
    <t>رسول احمدی</t>
  </si>
  <si>
    <t>محمود چناری، رسول احمدی</t>
  </si>
  <si>
    <t>جان ویلارد</t>
  </si>
  <si>
    <t>(به ترتیب ورود) نگار عزیزی، اسپاروخان مرادی، سامان تندیس، سارا سیبی، کمند ایلانلو، علی سیبی، مصطفی دهقانی اشک، مروارید کفائی، رضا آقایی</t>
  </si>
  <si>
    <t>1399-07-29</t>
  </si>
  <si>
    <t>کامران پورناجی</t>
  </si>
  <si>
    <t>ساحل نهاوندی، محمدرضا اکبری، مسعود زندی</t>
  </si>
  <si>
    <t>محمد کرمی</t>
  </si>
  <si>
    <t>فائزه جهانشیری، فاطمه تواضعی، رویا اسدی، سارا تفرشی نژاد، کیانا حسین پور، محمد سلطان، شهاب کرمی، پوریا پاقصری، نیکو خوش خبر</t>
  </si>
  <si>
    <t>فرشاد فرهادپور</t>
  </si>
  <si>
    <t>رضا حسینی، سعید تقوایی، محمدمهدی توکلی زاده، الهام قندهاری، ساغر بهشتی، فرخنده دریایی، رضوانه تاجیک، عرفان موسوی، نوید دوستی، امید طلائی، فرید گلریز، فائزه زرکش بهاری، امیر ملکی، علیرضا ابراهیمخانی، احسان فرهادپور، عباس علیپور، پویا اسمعیلی، بهداد قوی قلب</t>
  </si>
  <si>
    <t>1401-06-23</t>
  </si>
  <si>
    <t>امیر حسین بصیر</t>
  </si>
  <si>
    <t>(به ترتیب حروف الفبا) پدرام آراد، مجید اجتهادی، قاسم اصغری، شبنم اصفهانی زاده، بهار باختر، عرفان بافقی زاده، رضوان حاج، هامون خان محمدی، بهرنگ رهنمون، محمد سعادتمند، سهیل طاهریان، علی طبیبی، درسای فرح نیا، فرناز فرضی، مهدی کاشی، امیر کاظمی، وجیهه لاریجانی، شایان مرادطجری، سحر نیک، علی نیکنامی، امیر حسین بصیر</t>
  </si>
  <si>
    <t>1400-07-10</t>
  </si>
  <si>
    <t>مهرداد حسین زاده</t>
  </si>
  <si>
    <t>حمزه مداح، مهدی صمیمی، کیمیا فرنیا، امیر سعیدی، علیرضا احمدی، علیرضا سلمانیان، محدثه دانش، سردار رفیعی، پرنیا سراج، ثمین سرسنگی، صدف اسداللهی، حامد خرم آبادی، فراز قائم پناه، پویا فراهانی، مهدی بیابانی، شقایق وطنی، کیمیا کیانوش، ترانه معتمد، فاطمه آقاخانی، نازنین هدایتی نیک فرد، سارا محبی، علی خیام، امیر کارگر</t>
  </si>
  <si>
    <t>کاظم برزگر</t>
  </si>
  <si>
    <t>ژان پیر مارتینز</t>
  </si>
  <si>
    <t>کاظم برزگر، محمد مقیمی</t>
  </si>
  <si>
    <t>زانیار قربانی، حامد ربیعی، حامد کهن ترابی، مهدی صائمی، محمدمهدی صفروند، کیانوش سلطانی متین، حمیدرضا عیوضی، فرزاد فاطمی، محمد حسین خدمت پرست</t>
  </si>
  <si>
    <t>سمیرا حسینی، فرداد صفاخو، صدف بهشتی، بیتا بیگی، بهار هاشمی علمیه، سعید بحرالعلومی</t>
  </si>
  <si>
    <t>میلاد آقاحکیم، حسین جاهد، ریحانه رحیمی، رژین سیروسی، امیرحسین شعبانی، محمدامیر شایگی، میکائیل ضیائی فرد، محمد فتاحی، سینا فرجام، سونیا قاسمی، هلن قنبری، ساناز محمدعلیها، زهرا موسوی، محمدجواد نام نیک، امیرمحمود نورایی آشتیانی</t>
  </si>
  <si>
    <t>1400-09-01</t>
  </si>
  <si>
    <t>سمیرا وکیلی</t>
  </si>
  <si>
    <t>جان گالزوورثی</t>
  </si>
  <si>
    <t>میترا طره، عرفان اشرفی</t>
  </si>
  <si>
    <t>رویا کاکاخانی</t>
  </si>
  <si>
    <t>والاس شان</t>
  </si>
  <si>
    <t>جواد خواجوی</t>
  </si>
  <si>
    <t>هومن مقیمی، یوسف محوی، هدی احمدی، آتنا بهاری، رز داورپناه، دانیال چاوشی، نرگس عبداللهی، بردیا باباپور، مونا شهسوار، مونا کشاورز، ابراهیم شیشه بران، سیاوش عیسی زاده، رضا حسین زاده، نیما زین العابدینی، علیرضا خانی، مهدی کریمی، شیما صفری، نفس محمدی، کیمیا کرمانیان، امیر نراقی، یاشار باب، نیما رضایی، آمیتا سیرانی، غزل بنی آدمی و فاطیما فاراب</t>
  </si>
  <si>
    <t>حمیدرضا نعیمی</t>
  </si>
  <si>
    <t>بهنام شرفی، بهناز نازی، رامین ناصرنصیر، کتانه افشاری نژاد، امیر کربلاییزاده، کامبیز امینی، رضا جهانی، دنیا فتحی، صالح لواسانی</t>
  </si>
  <si>
    <t>1399-12-08</t>
  </si>
  <si>
    <t>وحید فقیهی</t>
  </si>
  <si>
    <t>وحید فقیهی، پارسا خسروی، هیلا رضائیان، سارا عسگری</t>
  </si>
  <si>
    <t>برتن بوم گارنر</t>
  </si>
  <si>
    <t>رضا آزاد، دانیال بلوری، جمشید بهادری، علی حیدری، آمیتا سیرانی، میلاد شریف، سهیل قسیمی، النا مکاری، محمدرضا مشیری، نسترن نعمتی</t>
  </si>
  <si>
    <t>سینما فرهنگ - گراش</t>
  </si>
  <si>
    <t>امین حیدری، احمدرضا حیدری، محمدجواد عباسی، سمیرا حسنی، محمدرضا حیدری، نیما عسکری مقدم، هادی محیط قیری، بهنام مرادی قیری، مهدی رضایی قیری</t>
  </si>
  <si>
    <t>حسینعلی بینوایی</t>
  </si>
  <si>
    <t>محمدحسین صفری، بهناز پورفلاح و پوریا عبدی</t>
  </si>
  <si>
    <t>علیرضا داوری، راد پورجبار، روناک برخوردار، یاشار ابراهیمی، همایون ظفرپور، حسام یگانه و متین اوجانی</t>
  </si>
  <si>
    <t>آریا شیراسماعیلی</t>
  </si>
  <si>
    <t>محدثه رضایی، آریا شیراسماعیلی، احسان شاهکرمی</t>
  </si>
  <si>
    <t>1399-12-14</t>
  </si>
  <si>
    <t>مهدیس زارع نژاد</t>
  </si>
  <si>
    <t>هارولد پینتر</t>
  </si>
  <si>
    <t>(به ترتیب حروف الفبا) علی باقری، مهدی کوشکی، مجید نوروزی</t>
  </si>
  <si>
    <t>جواد رازقندی</t>
  </si>
  <si>
    <t>مهرداد رایانی مخصوص</t>
  </si>
  <si>
    <t>فرشاد مجرب، صدف اسپهبدی، پوریا جلال وندی</t>
  </si>
  <si>
    <t>1401-12-03</t>
  </si>
  <si>
    <t>فراز شیرانی</t>
  </si>
  <si>
    <t>احسان سامی</t>
  </si>
  <si>
    <t>1400-03-21</t>
  </si>
  <si>
    <t>محمدرضا غریب زاده</t>
  </si>
  <si>
    <t>ژوئل پومرا</t>
  </si>
  <si>
    <t>کیان سرایی، امیرکرملو، حورا سلیمانی، علیرضا فلاح کار، ستایش گیوی، سام صبا، معصومه تیموری، پارمیدا شایان، آوین خاکپورنیا، محدثه صفاری</t>
  </si>
  <si>
    <t>1399-11-21</t>
  </si>
  <si>
    <t>سجاد افشاریان</t>
  </si>
  <si>
    <t>(به ترتیب ورود به صحنه) هستی اکرمی راد، فرزام زمانی، امیر ملکی، مهرداد حسین زاده، علی پیله ور، محمد عبداللهی، رضا حسین نژاد، غزل ادریسی، نیوشا شکوه فر، ریحانه جعفراف، آیسان نعمت زاد، پریناز آبلی، هیوا پورشفیقی</t>
  </si>
  <si>
    <t>ماهور تهرانی</t>
  </si>
  <si>
    <t>شیدا امیدی پور، نیلوفر جعفری، پریسا پرهوده، حمیدرضا جعفری، فرید صادق</t>
  </si>
  <si>
    <t>پوریا جلال وندی</t>
  </si>
  <si>
    <t>رضا سرور</t>
  </si>
  <si>
    <t>افشین کامیابفرد، پوریا جلال وندی، مانلی خاتمی، میلاد قنبری</t>
  </si>
  <si>
    <t>1400-10-14</t>
  </si>
  <si>
    <t>(به ترتیب حروف الفبا) فرزاد تجلی، دلارام ترکی، نازنین حشمدار، امیررضا حشمی پور، نصیرساکی، ایمان سلگی، فردین شاه حسینی، حسین عارف، خاطره فاتح، محمد نژاد، ایمان نظیفی، محمدنیازی</t>
  </si>
  <si>
    <t>محمود هدایتی</t>
  </si>
  <si>
    <t>(به ترتیب حروف الفبا) آرزو تهرانی، کاوه توکلی، کمال الدین حسینی، دایانا عسگری، رضا مهرابی، محمود هدایتی، فاطمه یاوری</t>
  </si>
  <si>
    <t>حسین حیاتی</t>
  </si>
  <si>
    <t>بهاره رهنما، نوید محسنیان، مهدی افراسته، سهند برادران، کاوه اکبری، محسن جعفری، کاوه ماکوئی، مهتاب نورزاده، مهدی اشرافی</t>
  </si>
  <si>
    <t>حسین مسافر آستانه</t>
  </si>
  <si>
    <t>خیراله تقیانی پور</t>
  </si>
  <si>
    <t>فرید قبادی، الهه حسینی، مجیدرحمتی، جواد پولادی، پروا آقاجانی، ابتسام بغلانی، ماهان عابدی، طاها عابدی، پونه شاملو</t>
  </si>
  <si>
    <t>1400-03-07</t>
  </si>
  <si>
    <t>مهدی شعبانی</t>
  </si>
  <si>
    <t>(به ترتیب ورود به صحنه) آیدا پورموسی، احسان رجب زاده، مهناز زینی، مهدی شعبانی</t>
  </si>
  <si>
    <t>بهزاد سیفی</t>
  </si>
  <si>
    <t>ستاره تبریززاد، متین برخوردار، امیر حسین خامسی پور، شیما مشکل گشا، امیرحسین صانعی پور، نیوشا جندقیان، امیرمحمد بصیری، علیرضا عابدی، سحر سلیمانی، مانا جاوید، عرفان نجفی</t>
  </si>
  <si>
    <t>احسان نگهبان</t>
  </si>
  <si>
    <t>احسان نگهبان، میلاد ظهوریان</t>
  </si>
  <si>
    <t>فاطمه مسعودی فر، امیر گل محمدی، نسترن حسینی، امیر میرزائی، زهرا خسروشاهی، محمدجواد کهن، مهدی عبدی، محمد ذوالفقاری، علی ارضی</t>
  </si>
  <si>
    <t>موزه فرهنگ و هنر بافق</t>
  </si>
  <si>
    <t>1402-03-08</t>
  </si>
  <si>
    <t>علی صمصامی</t>
  </si>
  <si>
    <t>جلیل زعیمیان</t>
  </si>
  <si>
    <t>محمد جواد تقی زاده، مریم غلامی، یگانه خواجویی، علی اکبری، پریناز تقی زاده</t>
  </si>
  <si>
    <t>مهسا مهاجری</t>
  </si>
  <si>
    <t>مهسا مهاجری، محمود مجیدی، هیلا میری، سالار زنگنه، رامتین یعقوبی</t>
  </si>
  <si>
    <t>محمود مجیدی، هیلا میری، سالار زنگنه، تینا آراد</t>
  </si>
  <si>
    <t>محمد عبداللهی، علی اصغر حبیبی، سحر رستمیان، افشین کامیابفرد، نرگس هاشمی، شاهین بامداد، محدثه مشتاقی، مسعود دکامی</t>
  </si>
  <si>
    <t>شهروز دل افکار</t>
  </si>
  <si>
    <t>(به ترتیب الفبا) آناهیتا اشتر نخعی، محمدامین پهلوان، کامیاب حاجی نوروزی، پیام حق نژاد، محمدحسین رحیمی، مبینا زارعی، حسین سپهری، حورا پاکیزه دل، فربد سهرابی، ارسلان شهبازبیگی، آرمینا ضیاءنور، سحر عبدالملکی، محمد عبدالوند، سودا گودرزی، علی گوران، محمدامین لطفی، فاطمه ملکی، عرفان نقینسب، هیوا یزدی</t>
  </si>
  <si>
    <t>کوروش بهادری</t>
  </si>
  <si>
    <t>آیسخولوس (اشیل)</t>
  </si>
  <si>
    <t>(به ترتیب ورود) مجتبی ترکمان، سارا دغاغله، درسا بی آزار، علی مربی، علیرضا آژیده، علی فلاح، مانی محمدی، عطیه کاشفی، طناز بیطرفان، شادی موسوی، نیما قاسمی، آریو عمرانی منش، وحید فیروزی نژاد، ژینا زارع، صبا نظری اصلی، فاطمه آقاپور، نیوشا هاشم خانی، نسترن شفیعی، محمدرضا حسینی، امیر کامرانی، نیکان کاظمی، امیرمحمد امینی، راحله حیدری، آرام آهنچی، باران محمدی، آرمین حسن زاده، امیرحسین گودرزی، حمیدرضا محمدی</t>
  </si>
  <si>
    <t>1401-08-12</t>
  </si>
  <si>
    <t>ساغر روزبهانی، شیوا شهدایی، پرنیا لرنی، نگار طاهری، ابوالفضل حضرتی، مهرزاد نیکنام، شایان مستوفی، امیر قسیم، امیر طایفه، حسن شفیعی</t>
  </si>
  <si>
    <t>مجتمع فرهنگی اندیشه - رزن</t>
  </si>
  <si>
    <t>حسین حبیبی</t>
  </si>
  <si>
    <t>سمانه بهرامی، حمید قنبری، مبینا عربلو، مسعود محمدی، آریانا گلشنی، امیرمحمد نباتی، محمد کرمی، حسام نصیر بیکلو، امیررضا رحیمی، آرتین ایزدی، مبین شیرمحمدی، محیا رضایی، سوگند صادقی، مبینا دهقانی، سورنا یعقوبی</t>
  </si>
  <si>
    <t>کیانوش احمدی</t>
  </si>
  <si>
    <t>آرزو کریمی زند، محمد قدیمی، حسن همتی، محبوبه اسدی</t>
  </si>
  <si>
    <t>1398-11-03</t>
  </si>
  <si>
    <t>عطا کشاورز جود</t>
  </si>
  <si>
    <t>نوید عظیمی</t>
  </si>
  <si>
    <t>پرستو پرواز، عماد جاویدپور، افشین رازی، علی قنبر، هدیه هاشمی</t>
  </si>
  <si>
    <t>مهتاب عسکری، خالد امیریان، محمد رضا بابایی، بیتا خسروی، روزبه جهانی، سونیا فردی پور، عطیه صمدی، علیرضا حسین پور، پرستو علیزاده و سیروس کهوری نژاد</t>
  </si>
  <si>
    <t>سعید طاهری راد</t>
  </si>
  <si>
    <t>امیر اخلاقی</t>
  </si>
  <si>
    <t>لیلا میناوند، علی نجاریان، هادی محمدنیا، پریا یعقوبی</t>
  </si>
  <si>
    <t>باغ موزه قصر - هواخوری ساختمان سیاسی</t>
  </si>
  <si>
    <t>1399-11-30</t>
  </si>
  <si>
    <t>حسین عالم بخش، مصطفی گلی، سحر آژیر، محسن محمودیان، عاطفه حق شناس، مرضیه آقاسی، محمد نوروزی، علیرضا بهجتی، مهران پورمهدی، نازنین هراتی</t>
  </si>
  <si>
    <t>سبحان بابائی، آرمان شیرالینژاد</t>
  </si>
  <si>
    <t>(به ترتیب ورود) وحید پیشگاهزاده، جواد سحر، سبحان بابائی، مصطفی احدی، احسان ابراهیمی کسمائی، مهدی رفیعی، مهدی طایفه عباسی، مهرگان آریایی، مژده عباسی، ناصر یاوریرامشه، نیما منصوری، اسحاق ثبوت، شادی هاشمی پور، سارا عباسی، مهدی کریمی (بزرگمهر) (بزرگمهر)، پوریا تذکری، فاطمه ناصری (مهسا)، صدف صفری، پرهام خاکزاد، مطهره کاویانی، لومیر عطار، جانان آراسته، خالق استواری، شهرزاد خواجهغیاثی، الهام شیخعلیزاده، شکوفه احمدی</t>
  </si>
  <si>
    <t>حسین کشفی اصل</t>
  </si>
  <si>
    <t>(به ترتیب حروف الفبا) محمد ارفعی، کیمیا جواهری، رامونا شاه، شهاب عباسیان، امین قنبری، مرضیه موسوی، دلارا نوشین</t>
  </si>
  <si>
    <t>مرتضی مالکی زاده، محمود بیات، آرزو خانی، سمیه رجبی</t>
  </si>
  <si>
    <t>مهدی رضایی، مهدی خالدی</t>
  </si>
  <si>
    <t>(به ترتیب حروف الفبا) احسان احمدی، ایمان حاج عظیمیان، مهدی رضایی، کامران طاهری، مجید عراقی، میلاد کرباسی و برسام نوری اسکویی</t>
  </si>
  <si>
    <t>کیمیا کرمانیان</t>
  </si>
  <si>
    <t>نیما مظاهری، یوسف محوی، حسین قاسمی معبود، کیمیا کرمانیان</t>
  </si>
  <si>
    <t>اداره فرهنگ و ارشاد اسلامی - لنگرود</t>
  </si>
  <si>
    <t>رایمون اصغرنژاد</t>
  </si>
  <si>
    <t>رایمون اصغرنژاد (با همکاری سران قبیله ویلیام شکسپیر، هنریک ایبسن، بهرام بیضایی، آیسخولوس، فروغ فرخ زاد، صادق هدایت، آلبرکامو و...)</t>
  </si>
  <si>
    <t>رایمون اصغرنژاد، علی پورحسن، محدثه کهن سال، ساجده قربانی، نگین جهانی، شیرین احمدی پور لنگرودی</t>
  </si>
  <si>
    <t>ابوالفضل جمشیدی، عارف عباسی، بهرام کاظمی، حامد پورمحمد، احسان امیدی، بهار پوزش پور، ناصر عزتی، سمانه شعاعی، علی افضلی، غزل جمشید آبادی، سحر سلیمان زاده، طاهر رجبی، سید جواد آیت، میثاق یوسفی</t>
  </si>
  <si>
    <t>سجاد داغستانی</t>
  </si>
  <si>
    <t>تبسم ارجمند، فائزه حمیدی، شهاب حیدری، امیرحسین رضازاده، پریسا روزبهانی، محمد شعبانپور، نرگس عبدالهی، ابراهیم شیشه بران، مریم کبریایی، آریا گازر، سارینا لواسانی، مهرداد مقیسه، پندار پیران، سجاد داغستانی</t>
  </si>
  <si>
    <t>گروه فرهنگی هنری سکویا</t>
  </si>
  <si>
    <t>امیرحسین سوری، یونس نیکو، رسول عابدی، سعید محبی، سارا رضایی، صابر جزلانیان، بهار مولایی</t>
  </si>
  <si>
    <t>1402-04-22</t>
  </si>
  <si>
    <t>امین غلامی، عارف غلامی</t>
  </si>
  <si>
    <t>امیرحسین صادقی، احمد حسینی، ابولفضل تیموری، بشیراحمد تاجیک، ترانه حسینی، حمیدرضا خلیلی، راضیه بختیاری، روح الله رضایی، زهرا مرادی، زینب علیزاده، زینب هزاره، عاطفه قنبری، فاطمه غلام حسینی، محمد حسین خلج، مرتضی حسینی راد، ماه جبین حبیبی</t>
  </si>
  <si>
    <t>علی نجفی</t>
  </si>
  <si>
    <t>احسان فکا، علی نجفی</t>
  </si>
  <si>
    <t>(به ترتیب حروف الفبا ) نگین بخشی پور، بابک جدی، مریم جلیلی، ملیحه جهانشاهی، مجید چیت سازی، آرزو خداکرمی، سارا غفاری، میثم محمدی</t>
  </si>
  <si>
    <t>1400-12-25</t>
  </si>
  <si>
    <t>امیرارسلان خالویی</t>
  </si>
  <si>
    <t>علی حاجیلو، امیرارسلان خالویی</t>
  </si>
  <si>
    <t>(به ترتیب حروف الفبا) عارفه احمدپور، اشکان اسدی، پناه باقریان، یاسمن جعفری، عباس خداوردیان، اودین روشن، میلاد شریف، محمدمحسن شفیعی، عارف علوی، مازیار مهرگان، محمد نیازی</t>
  </si>
  <si>
    <t>1401-04-01</t>
  </si>
  <si>
    <t>حسن هاشمی فرد</t>
  </si>
  <si>
    <t>بهدخت هاشمی حسینی، حسن هاشمی فرد</t>
  </si>
  <si>
    <t>سعید مقبری، مهتاب مهری، پویا جلالی، امیرارسلان طارم وند، علی عباسی، رعنا آقابزرگی، شاهو فلاحی، محمد نادی، مسیح مجیدی نژاد، روناک مسعودی، آرتا حسینی، بهنام عبادی، ایمان ولی پور، ابوالفضل صلاحی، ماهان کاظم، کیوان هاشمی</t>
  </si>
  <si>
    <t>محمد احمدزاده، ملیکا مهدوی زاده، ساغر آزاد، مونا صفری، ستایش رحمانی، محمدجواد امیری، الیاس جنگی، آرزو جابری، آیلا عشقی، علی خطائیان</t>
  </si>
  <si>
    <t>(بر اساس کارگردانی) زنده یاد جعفر والی</t>
  </si>
  <si>
    <t>ویلیام هنلی</t>
  </si>
  <si>
    <t>ایرج راد، سعید امیرسلیمانی</t>
  </si>
  <si>
    <t>1400-10-06</t>
  </si>
  <si>
    <t>جواد موسوی</t>
  </si>
  <si>
    <t>احسان خرات</t>
  </si>
  <si>
    <t>احسان خرات، جواد موسوی، علیرضا جعفری</t>
  </si>
  <si>
    <t>1400-07-29</t>
  </si>
  <si>
    <t>مهدی اوشی، مهسا شیرزادی، پرهام رمضانی، امیدحبیبی، غزل شیرمرز، سجاد شاه قلی، امید بیگلری، امیرحسین بلوچی، معصومه احدی، مصطفی صادقی، ساره پاینده، ستاره کاظمی، نیلوفر آریانا</t>
  </si>
  <si>
    <t>کیمیا مردانپور، سعید کریم زاده، ماریان مؤید، مصطفی فرهادی، احسان شاهکرمی، آریا شیراسماعیلی، سوگل سوادکوهی</t>
  </si>
  <si>
    <t>آمفی تئاتر ولایت - قرچک</t>
  </si>
  <si>
    <t>رضا نجاری</t>
  </si>
  <si>
    <t>محمدرضا مختاری آزادفر</t>
  </si>
  <si>
    <t>رضا نجاری، امیرحسین شجاعی، امیرعلی علیزاده، رضا نجفی، فاطمه بهروزی، زهرا حسینی، مریم فدایی، زینب رحیمی، ابوالفضل ثابتمقدم</t>
  </si>
  <si>
    <t>حامد شیخی، علی پیله ور، تداعی سعیدی فر، ساغر بهنام، مجتبی جعفری پور، علی اسدیان، ملیکا زاهدی، سارا محبی</t>
  </si>
  <si>
    <t>ساناز روشنی، سپهر محمودی، سمیرا کریمی و منوچهر رمضانی</t>
  </si>
  <si>
    <t>1400-01-31</t>
  </si>
  <si>
    <t>لادن نازی</t>
  </si>
  <si>
    <t>فرزاد فخری زاده</t>
  </si>
  <si>
    <t>(به ترتیب ورود به صحنه) ایمان سلگی، میثاق آقامولایی، بهرام عباسی فرد، رضا جهانی، علی قربانخانی، مهبد قناعت پیشه، فریده خزاعی، درسا علمی نژاد، سپیده زینلی، آندیا حمیدی، مبینا افشار، آتوسا بهشتی</t>
  </si>
  <si>
    <t>الاهه قاسمزاده</t>
  </si>
  <si>
    <t>(به ترتیب حروف الفبا) فرشته آلوسی، ایمان اصفهانی، پرهام امینی، علی حصاری اصل، پردیس زارع، میترا مسائلی</t>
  </si>
  <si>
    <t>بهاره سرافرازی</t>
  </si>
  <si>
    <t>(به ترتیب ورود به صحنه) بهاره سرافرازی، روبیتا رستمی، ستاره قراگوزلو، رضاکیامنش، میثم نیکخواه، مریم محمدوند، احمد خان محمدزاده، پیمان ابراهیمی</t>
  </si>
  <si>
    <t>پوریا قلی پور</t>
  </si>
  <si>
    <t>محمدحسین محمودشاهی، حسام الدین ایرانمنش، سیدامید عطایی، غزل نژاد سجادی، سالار محمد حسین پور، دینا سهرابی، آزاده امرالهی، ساجده عرب پور، فرناز زندپور، فرزاد آقایی افشار، عارفه جلالی، هانیه یزدپور، مهشید فانی ملکی، سحر حسن زاده، فاطمه تقی زاده، با معرفی آرمین سیاح</t>
  </si>
  <si>
    <t>(به ترتیب ورود به صحنه، گروه اول) علی انیسی، هلیا تصدیقی، امیرحسین شفیعی، میثم کریمی، مهدی دنیوی، علی محمد نیا، محمد عورکی، (به ترتیب ورود به صحنه، گروه دوم) پارسیا توکلی، لیدا جهانی، امیرحسین قاسم آبادی، کسری حسینی، مهدی دنیوی، علی محمدنیا، سپیده نورصالحی</t>
  </si>
  <si>
    <t>1400-11-28</t>
  </si>
  <si>
    <t>مهرداد مصطفوی</t>
  </si>
  <si>
    <t>ساناز اسدی</t>
  </si>
  <si>
    <t>ابراهیم عزیزی، امیر جنانی، آیدین بهاری، پرهام یداللهی، داوود پژمان فر</t>
  </si>
  <si>
    <t>00:39:00</t>
  </si>
  <si>
    <t>ایمان میرهاشمی</t>
  </si>
  <si>
    <t>ایمان میرهاشمی، جیران کرمی</t>
  </si>
  <si>
    <t>سیروس همتی</t>
  </si>
  <si>
    <t>خسرو احمدی، سیروس همتی، محمود موسوی، سولماز حصاری، پوریا محمدزاده، ریحانه پهلوان، عاطفه سمرقندی</t>
  </si>
  <si>
    <t>تالار هنر</t>
  </si>
  <si>
    <t>1399-05-19</t>
  </si>
  <si>
    <t>امید انصاری</t>
  </si>
  <si>
    <t>شیما شادمانی</t>
  </si>
  <si>
    <t>(به ترتیب حروف الفبا) زینب اشرفزاده، سامان حیدریان، راشین رضایی، آرزو صدری، عرفان فروتن، زهره قاسمی، میثم میثاقی، نوا یوسف زاده</t>
  </si>
  <si>
    <t>محمدعلی شفاعت</t>
  </si>
  <si>
    <t>(به ترتیب ورود به صحنه) محمدعلی شفاعت، مهرداد امانی، امیررضا هنکووال، پگاه زارعی، مانا مکری، محمدصادق خانجانی، سیامک بختیاری، علیرضا رشیدی، آریانا عباسی، ستاره شهبازی</t>
  </si>
  <si>
    <t>(به ترتیب حضور در صحنه) فاطمه اکبری، امید عسگروند، احسان شیخی، زاهد برزگر، امید پارسایی، سروین مظاهری، سپیده پروانه، مهلا رمضان پور، فاطمه حسینی، زهرا گردکانه، سعید آجرلو، آرمین رضایی نیا، نوید سلیمانی، فاطمه عباسی، شقایق براتی راد، سارا صادقی، کمند حمدالله زاده، مریم گراوند، مریم شفائی زاده، یاسمین زهرا لطفی، فرناز طیبی، بشرا مولانا، الناز صادق پور، ریحانه سعیدی، مریم خیری، سوگند فتحی، کوثر افتخاری، آتوسا پاپلزایی، زهرا نوری، ریحانه فراهانی، صبا مینویی، هدیه یکتا، حنانه ایوبی، نیوشا هاشم خانی، مهدی راستی</t>
  </si>
  <si>
    <t>محمدرضا عبدالهی</t>
  </si>
  <si>
    <t>حمیده رسولی، مائده خلفی</t>
  </si>
  <si>
    <t>1401-06-25</t>
  </si>
  <si>
    <t>امیر امیری</t>
  </si>
  <si>
    <t>مسعود نیازی، پوریا فرجی، مصطفی ساری، عرشیا حسین، فائزه رضایی، فاطمه حسینی، مبینا هوشمندی، مریم تولائی، الهام دهقانیان، فریاد جودی</t>
  </si>
  <si>
    <t>پلاتوی حوزه هنری  - زاهدان</t>
  </si>
  <si>
    <t>1401-04-27</t>
  </si>
  <si>
    <t>ارسلان محبی</t>
  </si>
  <si>
    <t>ارسلان محبی، مصطفی شهرکی، محدثه مهرپویان، امیر محمد کمالی شهری، ابوالفضل سعادتیان، معصومه اوکاتی، محسن آقائی، سارا شاه بخش</t>
  </si>
  <si>
    <t>1399-11-23</t>
  </si>
  <si>
    <t>دانیال بیات</t>
  </si>
  <si>
    <t>امیر نجفی</t>
  </si>
  <si>
    <t>سجاد احمدی نیا، فرشید حاجیان، کوثر صمدی</t>
  </si>
  <si>
    <t>تالار غدیر کرمانشاه</t>
  </si>
  <si>
    <t>میلاد زالی، شنو قادری، هانیه جواهری، عرفان جراحی، نازنین فرهنگیان، حسین کهریزی، حسین امانی، طیبه کاظمی، علیرضا چاوشی فرد، مرتضی محبوبی، افشین امیری، مریم رجایی پور، علی پروین</t>
  </si>
  <si>
    <t>موزه عبرت ایران</t>
  </si>
  <si>
    <t>1398-11-28</t>
  </si>
  <si>
    <t>عهدیه اصغری، فرحناز ایزدپناه، علیرضا بهجتی، داوود بیگ، مهشاد بهرامی نژاد، مهران پور مهدی، محمد جوادی، ارغوان حامدی مرام، عاطفه حق شناس، هانیه رحیمی، مهران سلگی، هدیه شیخان، سجاد صفایی، حمیدرضا طایفه، زرین عباسپور، محمد جواد عسگری، مهریار عیدی، فرشاد قره داغی کلوچه، محمود کامشگران، رویا کریمی، مجید کوهی، مصطفی گلی، حسین محمودوند، مهدی معین فر، اصغر نجف پور، محمد نوروزی، علیرضا هاشم زاده، نازنین هراتی</t>
  </si>
  <si>
    <t>1401-08-28</t>
  </si>
  <si>
    <t>فرداد صفاخو، سپیده صباغ، صدف بهشتی، سعید بحرالعلومی</t>
  </si>
  <si>
    <t>محمدرضا پورحکیمی</t>
  </si>
  <si>
    <t>رضا دادویی</t>
  </si>
  <si>
    <t>امیرکاوه آهنین جان، محمدهادی عطایی، ندا مقصودی، وحید نفر، سیروس همتی، رضا علوی، حامد سوری، الهه حسینی، رضا دادویی</t>
  </si>
  <si>
    <t>1399-06-28</t>
  </si>
  <si>
    <t>آرش دادگر</t>
  </si>
  <si>
    <t>امین طباطبایی</t>
  </si>
  <si>
    <t>امین طباطبایی، عمار عاشوری، آرش دادگر، ندا حبیبی</t>
  </si>
  <si>
    <t>برج آزادی - سالن اصلی</t>
  </si>
  <si>
    <t>حمید ابراهیمی</t>
  </si>
  <si>
    <t>مجید ترکستانی، فرهاد تیمورزاده، یاسین مستقیم، مهدی گلناری، هادی نقشو، محمد سپهری، محمد طاها تقی زاده، سعید اسدی، ستاره پرستاری، الهه آرشی، مهین پیغامی، روشنا مثنوی، سیده ساره حسینی، سپیده عباسی، عطیه ملکی، ملیکا کشاورز، الهام نوری، باران محبوبی</t>
  </si>
  <si>
    <t>موسی الرضا (شهروز) مازندرانی</t>
  </si>
  <si>
    <t>اوژن لابیش</t>
  </si>
  <si>
    <t>شهروز مازندرانی، پوریا خوشبین، صدف روزبهانی، آرزو خرسند، محمد بهدانی، ارسلان دوپیکر، نگین نظری، آرمین خزائلی، آیلار عربگری، ماندانا طولایی، آیناز فتحی، ساجده قائمی فرد، رضوان محمودی</t>
  </si>
  <si>
    <t>1402-02-07</t>
  </si>
  <si>
    <t>علی شجری، نگین صدر، پارسا ورچه</t>
  </si>
  <si>
    <t>آرتمیز مشایخی</t>
  </si>
  <si>
    <t>آرتمیز مشایخی، مهسا حکیمی</t>
  </si>
  <si>
    <t>(اجراگران) مهسا حکیمی، آرین ایمانی، آرتمیز مشایخی</t>
  </si>
  <si>
    <t>1400-03-03</t>
  </si>
  <si>
    <t>(به ترتیب ورود به صحنه) مسعود شامی، ایمان سلگی، فرید کیامرثی، مرتضی شاه کرم، پروا آقاجانی، محسن پوشایی، مائده جلالی، احمد صمیمی، سالار مسیب زاده و مجید رحمتی</t>
  </si>
  <si>
    <t>حامد شیخی، یگانه سروری</t>
  </si>
  <si>
    <t>پندار اکبری</t>
  </si>
  <si>
    <t>پندار اکبری، نیلوفر پارسا، نساء یوسفی، علیرضا دیلمی، پناه باقریان، ماریه ماشاالهی، روناک برخوردار، آیدا سرمست</t>
  </si>
  <si>
    <t>1398-12-19</t>
  </si>
  <si>
    <t>محمد حسین احمدی برهان</t>
  </si>
  <si>
    <t>دیوید آبرن</t>
  </si>
  <si>
    <t>ویدا حسینی، محمد حسین احمدی برهان، مهدی کوهکن، آیدا میزانی، مهدی شهسواری</t>
  </si>
  <si>
    <t>بهروز سالمی</t>
  </si>
  <si>
    <t>پاوان افسر</t>
  </si>
  <si>
    <t>اَدی احمدی</t>
  </si>
  <si>
    <t>انسیه شمس الهی، اَدی احمدی</t>
  </si>
  <si>
    <t>سوما زمانی، فرزین فولادپنجه</t>
  </si>
  <si>
    <t>حامد شیخی، ملیکا زاهدی، علی اسدیان، امیرحسین انصاری، امیررضا باباولیان، صادق کاوانلویی، مجتبی جعفری پور، نوید نوبخت، محبوبه میرزاخانی، امیرحسین فهادان، غزال شفیعی، نیکی میرصادقی، بهرام مصطفایی، سارا محبی، تداعی سعیدی فر، شاهکار هدایت، رویا شیخی، ساغر بهنام، سیمین میرشفیعیان</t>
  </si>
  <si>
    <t>سالن اداره ارشاد مهاباد</t>
  </si>
  <si>
    <t>1401-06-04</t>
  </si>
  <si>
    <t>رسول بانگین، سحر قربانی</t>
  </si>
  <si>
    <t>محمدرضا اکبری</t>
  </si>
  <si>
    <t>محمدرضا اکبری، رزگار فیضالهی</t>
  </si>
  <si>
    <t>محمدرضا اکبری، زهرا احمدی، زینب احمدی</t>
  </si>
  <si>
    <t>1399-12-06</t>
  </si>
  <si>
    <t>حامد شیخی، سمیرا کریمی، سارا صادقی، پانته آ حسینی، بهزاد محبوبی، امیرحسین انصاری</t>
  </si>
  <si>
    <t>مشهد، تماشاخانه استاد انوشیروان ارجمند</t>
  </si>
  <si>
    <t>حسین اکبر پور</t>
  </si>
  <si>
    <t>(به ترتیب ورود به صحنه) مژگان خلیلیان، سالومه کافیان، آندیا زارعی، امیررضا عرب، علی صفری، نیما دانش منوچهری، نیلوفر آبیزی، بهنام رنجبر، ابوالفضل اکبری، ریحانه قزوینی، آیسا منعمی، عسل میر جلیلی، ابراهیم زاهدی</t>
  </si>
  <si>
    <t>1401-08-10</t>
  </si>
  <si>
    <t>علی صبوری، علی اسدیان، تکتم اخجوانی، پرویز زیدی</t>
  </si>
  <si>
    <t>مریم منصوری</t>
  </si>
  <si>
    <t>(به ترتیب ورود به صحنه) دریا یاسری، ندا گلرنگی، محسن پوشایی، نازنین نادرپور، پرهام روئین، پری ناز لطف الهی</t>
  </si>
  <si>
    <t>حسام الدین پریدخت، محمد رسول رسولی، مهدی پولادی، رمیصا صدیقی، فاطمه زمانی، فاطمه علی پور، حلما کفاشی، عارف طلوعی، نجلا صدیقی، علیرضا محمدپور، حسان صدیقی، سدنا صدیقی</t>
  </si>
  <si>
    <t>سیدنورالدین قدسی</t>
  </si>
  <si>
    <t>رامین محمودی، رها قدیری، حامد مشایخ، حمید صادقی</t>
  </si>
  <si>
    <t>1401-04-30</t>
  </si>
  <si>
    <t>(به ترتیب ورود به صحنه) فراز شیرانی، فرنوش قره کولچیان، حسین امیری، محمدرضا جعفری، مجتبی ترکمان، حسین نامور، حجت خراسانی، احسان سامی، آرزو طلائی فر، شادان کوچکی، سید محمدامین موسوی، آسیه گندم کار، بنیامین رباطی، محمدرضا شریعتی، محمدطاها جعفری، مجید برومند</t>
  </si>
  <si>
    <t>حسن رئیسی</t>
  </si>
  <si>
    <t>(به ترتیب الفبا) علی اصغری صفدر، پریا بختیاری، کیانا بینا، ملیحه پورمحمد، فریبا ترکاشوند، امیر توانا، سحر رحمانی، آرمیتا رمضانی، رویا زمان، پارمیس شصتی حسیوند، سارا طیبی، سعیده سادات کاظمی، مبینا معظمی، پریسا مرادیان، مژگان واعظیان</t>
  </si>
  <si>
    <t>(به ترتیب ورود به صحنه) صادق برقعی، فرید رحمتی، میلاد معیری، مهدی یگانه، نساء یوسفی، حسین کریمی، محسن رضوی نیا، علی اسحاقی، سحر بهرامی، علی پویا قاسمی، المیرا صارمی، سهیل ناجی</t>
  </si>
  <si>
    <t>1400-11-07</t>
  </si>
  <si>
    <t>داریوش شهبازی</t>
  </si>
  <si>
    <t>متیو دولاپورت، الکساندر دولا پتو لیر</t>
  </si>
  <si>
    <t>(براساس ورود به صحنه) مهوانه آقاجانی، داریوش شهبازی، احمد هاشمی</t>
  </si>
  <si>
    <t>علی طهماسبی، سایه سرابی، محمدرضا پاکی، محمدرضا ولیزاد، امیرمرتضی تشرفی، فرزاد خسروی، همدم مختاری، امیرعباس بهجت نژادی</t>
  </si>
  <si>
    <t>ایوان شمس</t>
  </si>
  <si>
    <t>1398-10-20</t>
  </si>
  <si>
    <t>سینا دلشادی</t>
  </si>
  <si>
    <t>علی آباقری، ندا حبیبی، میلاد حجازی، امیرعلی زارعی، فرحان فرحناک</t>
  </si>
  <si>
    <t>کانون پرورش فکری کودکان و نوجوانان - سالن بوستان</t>
  </si>
  <si>
    <t>بهناز مهدی خواه</t>
  </si>
  <si>
    <t>مجتمع فرهنگی و ورزشی روح الله - تماشاخانه دهقان</t>
  </si>
  <si>
    <t>مرتضی مقدم</t>
  </si>
  <si>
    <t>دیمیتری پساتهاس</t>
  </si>
  <si>
    <t>مهرداد اعلایی، حمید عرفانیان، محمدمهدی اسفندیاری، محمد دلبری، علی حسنپور، مجتبی ترکمان، مبینا هادی، آرزو حیدری، زهرا شکوری</t>
  </si>
  <si>
    <t>سعید چنگیزیان</t>
  </si>
  <si>
    <t>گروهی (بر اساس شاهنامه فردوسی )</t>
  </si>
  <si>
    <t>(به ترتیب ورود به صحنه)علی ایزدی، راهله تعبدی، محمد دارآفرین، مهدی صناعتی، داوود ونداده، مهسا قریشی، طلیعه ایمانی، صونا احمدپور ملکی، حامد رجائی، مبینا آقاخانی، سپاس رضایی، سپهر سهرابی، ستاره بذرافشان، امیر بیرانوند، مجید چنگیزیان</t>
  </si>
  <si>
    <t>02:40:00</t>
  </si>
  <si>
    <t>بهرام بیضایی</t>
  </si>
  <si>
    <t>نورا هاشمی، علیرضا ناصحی، مانیا علیجانی، سامان کرمی و سعید چنگیزیان
طاهره آهنی، لیلا آقاسی، الهه اصغری، پریا یاراحمدی، امید اکبرزاده، آذین باقریان، علی بیکی، راضیه بهرامی، نرگس پروانیا، نیلوفر ذوالفقاری، علی روزگار، فریده سلطانی، فائزه صدر، محمد صادقیان، پگاه کندرانی، پریسا منفرد، نوشین لازمی زاده، مونا آهنگرها، لیلا احمدی، نیکو احمدی، سارا اسماعیلی، سوفیا امانی، فاطمه باقری، دینا بحرینیان، محمد بنده ای، زهرا پاشاپور، محدثه توکلی، علی حسن زاده، مژگان حصاری، مریم خسرونژاد، علی دانا، پرنیا سراج، فرزانه سیری، آهو شفیعی، ثمین شکرالهی، هدی شکرالهی، محمدرضا صادقی، مائده رفیعی، ماندانا طولایی، سارا فخیم زرگری، نگار فرنگی ساز، طهورا کریمی، سارا قاسمی، نسیم قره داغی، سیما غلامی، ستاره فروتن، اکرم فرهی، مینا محب زاده، روژان محمدی، الهه نورانی، سارا موسوی، شقایق (لنا) مهدی پور، ساحل یوسف نژاد</t>
  </si>
  <si>
    <t>دانیال نمازی</t>
  </si>
  <si>
    <t>طاها محمدی، پیمان محسنی، دلارام اسدی، علی اصغر حبیبی، سحر گلشیرازی، دانیال نمازی</t>
  </si>
  <si>
    <t>1400-04-31</t>
  </si>
  <si>
    <t>(روزهای زوج هفته) پریسا روزبهانی، محمد شعبانپور، مهرداد طهماسبی، (روزهای فرد هفته) عارفه معماریان، هادی احمدی، شهاب حیدری</t>
  </si>
  <si>
    <t>شایان فیروزی</t>
  </si>
  <si>
    <t>ریحانه اسماعیلی، امیرنیما الهی، رشید بختیاریان، حسامالدین حسنی، بهاره رجبی، محمدعلی زنجانی، مرضیه سلیمیفرد، زهره فضلی، شایان فیروزی، سارا متکلم، گلآرا مقدسی، مهسا مهاجری، سراج نعمتی</t>
  </si>
  <si>
    <t>صدف صفری</t>
  </si>
  <si>
    <t>حبیب نریمانی</t>
  </si>
  <si>
    <t>(به ترتیب ورود به صحنه) صدف صفری، رومینا رستمی، نگار قوامفر، محمدعلی هاشمی، علی کاظمی، پرهام خاکزاد، پوریا تذکری</t>
  </si>
  <si>
    <t>1400-07-12</t>
  </si>
  <si>
    <t>(به ترتیب ورود به صحنه) محمد عبداللهی، جلال احمدپور، میثم نیکخواه، پانیذ نوروزی، اصغر نجف پور، گلاره فرشچیان، حمیدرضا رکنی، فائزه زرکش بهاری، علی دلیر، رومینا کاظمی، امیررضا ناروئی</t>
  </si>
  <si>
    <t>1399-07-13</t>
  </si>
  <si>
    <t>علی روان بُد</t>
  </si>
  <si>
    <t>مرجان پورمحمودی، امیر شریعت، ابوالفضل سلحشور، میترا مسائلی</t>
  </si>
  <si>
    <t>ایوب آقاخانی</t>
  </si>
  <si>
    <t>ایوب آقاخانی، وحید نفر</t>
  </si>
  <si>
    <t>پلاتو استاد امیری - تئاتر شهر بوشهر</t>
  </si>
  <si>
    <t>سجاد دریس مسلم</t>
  </si>
  <si>
    <t>علی امیری، حدیث منصف، مریم نسیب زاده، سیداحسان هاشمی</t>
  </si>
  <si>
    <t>1399-12-26</t>
  </si>
  <si>
    <t>محمدحسین احمدی برهان</t>
  </si>
  <si>
    <t>نگین پریزاد، مهدی کوهکن، بهناز کاظمی، مهدی صادقی</t>
  </si>
  <si>
    <t>ژیان شبیری</t>
  </si>
  <si>
    <t>(به ترتیب ورود به صحنه) حامد برفیانی، فاطمه سادات مرصعی، فاطمه صولتی، فائزه کریمی کاشانی، داوود روحانی، شیرین گیوه چین</t>
  </si>
  <si>
    <t>شروین حیدری تبار</t>
  </si>
  <si>
    <t>محمد رضایی مقدم</t>
  </si>
  <si>
    <t>(به ترتیب حروف الفبا) جواد دارایی، محمدجواد رضوانی، محمد رضایی مقدم، سهیل صیامی</t>
  </si>
  <si>
    <t>مرجان امینی راد، نیلوفر داوری، آویشن صدقی، سونیا معبودی، سوگند صادقی، پگاه اله وردی، فروغ فرزین فر، فرنوش روشنی، زهرا آهنگری، سها داداشی، یگانه میلابی، تانیا شهبازی، اسما حسینی، فاطیما راد، یگانه ملکمحمدی</t>
  </si>
  <si>
    <t>بابک پرهام</t>
  </si>
  <si>
    <t>محمدرضا آزادفرد</t>
  </si>
  <si>
    <t>سمن قناد</t>
  </si>
  <si>
    <t>سجاد افشاریان، نیکو بستانی، مهدی زندیه</t>
  </si>
  <si>
    <t>1401-04-14</t>
  </si>
  <si>
    <t>امیر آسانی</t>
  </si>
  <si>
    <t>فرناز تبریزی</t>
  </si>
  <si>
    <t>امیرمحمود نورایی آشتیانی، سعید فشنگی، مازیار زحمتکش، حسین جاهد، عادل حقیقی، محمدرضا رضایی نسب، حسام کرمی، زهرا تاجیک، اسما حسینی، الهه جلالی، مریم معصومی، مایا قهقائی، محیا مرادی، رژین سیروسی، زهرا موسوی، مهدیه شمالی، حسین رضایی، امیر آرشی</t>
  </si>
  <si>
    <t>1400-04-08</t>
  </si>
  <si>
    <t>محسن حاج نوروزی</t>
  </si>
  <si>
    <t>آگوست استریندبرگ</t>
  </si>
  <si>
    <t>سحر بیرانوند، صدرا محمدی</t>
  </si>
  <si>
    <t>نجمه عبدالهی، پریسا طاهری، رومینا بنی کریمی، غزاله قاسمی، فاطمه تازیکه، رویا خانقلی، آیدا احمدی، روژان زین العابدین پور، هلیا عرب، ساینا معصومی، وانیا سادات کوچک حسینی، یامین سلیمانی، مریم ویرا</t>
  </si>
  <si>
    <t>1400-05-18</t>
  </si>
  <si>
    <t>وحید الهویی، زهره بختیاری، روناک برخوردار، محمدمهدی توکلی زاده، امیر مرشدزاده، محمدحسین رمضانی، ماهان رهشناس، میلاد ایمانی</t>
  </si>
  <si>
    <t>مریم یاسین زاده</t>
  </si>
  <si>
    <t>مریم مومن، علیرضا جلالی تبار، سمن قناد، آناهیتا خسروی، حسین جاهد، محمد زندوکیلی (صدا و بازی)</t>
  </si>
  <si>
    <t>1401-06-13</t>
  </si>
  <si>
    <t>زهره بهروزی نیا</t>
  </si>
  <si>
    <t>(به ترتیب حروف الفبا) آتیه جاوید، فاطیما سرلک، مریم سرمدی، مریم معینی، بهناز نادری، هدا ناصح</t>
  </si>
  <si>
    <t>1401-12-24</t>
  </si>
  <si>
    <t>رضا بهدادنیا</t>
  </si>
  <si>
    <t>سمیرا روشنی</t>
  </si>
  <si>
    <t>(به ترتیب ورود) محمدعلی سلیمان تاش، دلیار رسائل، بهادر خسرو جردی، فردین رحمانپور، شقایق زارعی، نسیم حقیقت، امیرحسین آقایی، سهند موذنی</t>
  </si>
  <si>
    <t>حسین نورعلی</t>
  </si>
  <si>
    <t>عرفان حیدری زاده، فاطمه بیات، امیررضا جهانی، مهدی پیران، امیر حسین تدینی، محمدمحسن اسلامی، مسعود رسولی، زهرا ملا تقی، پریماه سعادت، پریسا سعادت، یاسر کوهسار، آزاد پارسایی نژاد، سینا رادمهر، فاطمه صالحی، رومینا رنجبری، بهنام عمو خلیلی، پرنیا پژوهش، بنیامین رادمان فراز، امید بهرامی، علی عبدالرحیم زاده، ُرسُل فهمی، ابوالفضل رضوانی، مریم رسولی، زینب کربلا زادگان، مهدیس حسن آبادی، علیرضا ناظم زاده، فاطمه صفا دوست، مهدی بکیان، ابوالفضل گودرزی</t>
  </si>
  <si>
    <t>17:15:00</t>
  </si>
  <si>
    <t>1400-09-18</t>
  </si>
  <si>
    <t>هلن بهرامی</t>
  </si>
  <si>
    <t>هلن بهرامی، شایان مرادطجری، شقایق سرسختی، سالار مسیب زاده، سهیل محبی، دنیا صنوبری، محمد یوسفی، علیرضا مهران فر، میلاد رفاقتی، دنا شهبازی، باربد عطایی، آنیتا عطایی، احمد عباسی، امیرعلی یزدان کیا، مریم سیدین</t>
  </si>
  <si>
    <t>مهیار جوادی ها</t>
  </si>
  <si>
    <t>آبان حسین آبادی، یکتا طبیبی</t>
  </si>
  <si>
    <t>مهرداد قادری</t>
  </si>
  <si>
    <t>اینگمار برگمان</t>
  </si>
  <si>
    <t>احمدرضا نورالهی، شایان محمدی، سهیل صیامی، زهرا کتیرایی، شروین مهدوی، مهدی کرمعلی، شهرزاد سعادت، سپیده احتشام، سمیرا امان زاده، اهورا راد، یاسمین خطاط، محسن غلامی، فاطمه زمانی، محمدرضا نوراللهی، معصومه پورنورام، بنیامین اسماعیلی، پونه خدام، ملیحه جعفری</t>
  </si>
  <si>
    <t>1401-07-18</t>
  </si>
  <si>
    <t>وحید نفر، روزبه اختری، غزاله جزایری، غزل میرزایی، پیمان صفرزاده، عرشیا کرمی، میثم یوسفی، مهرناز بختیاری، امیر محمد میرزابیگی، روزبه دانشیان، محمد دانشیان، سپنتا پزشکی، آرمان پورفرخ، مینا آشفته</t>
  </si>
  <si>
    <t>(به ترتیب الفبا) آرزو اولیائی، مهشاد بهبودی، محدثه بهمنی، مینا ترکمن، فریاد جودی، محمد مهدی حاجی علی، مهدی خاوری، پوریا فرجی، حمید فردین، مریم قریشی، نازنین زینب نصیری، و کامبیز نیک آمیز</t>
  </si>
  <si>
    <t>1400-05-13</t>
  </si>
  <si>
    <t>مهدی پاشایی</t>
  </si>
  <si>
    <t>مهدی زمین پرداز، بهار نوحیان، مهدی پاشایی</t>
  </si>
  <si>
    <t>احسان گودرزی</t>
  </si>
  <si>
    <t>خاطره حکیمی و احسان گودرزی</t>
  </si>
  <si>
    <t>مریم قحطانیان، یاسمین خالصی</t>
  </si>
  <si>
    <t>یاسمین خالصی</t>
  </si>
  <si>
    <t>یاسمین خالصی، مریم قحطانیان</t>
  </si>
  <si>
    <t>1402-04-31</t>
  </si>
  <si>
    <t>حنا فرید</t>
  </si>
  <si>
    <t>میرامیرحسین سید رحیمی، مهدی صمیمی، صبا غربا، شاهین سبزی، پوریا علی محمدی، احمد فردامینی، علیرضا احمدی</t>
  </si>
  <si>
    <t>سینا نصراللهی</t>
  </si>
  <si>
    <t>(به ترتیب حروف الفبا) هدیه آزاده، مهرداد خامسی، امیرعباس خراسانی، وجیهه مرغزاری شیروان، مرضیه فیلی</t>
  </si>
  <si>
    <t>1401-03-13</t>
  </si>
  <si>
    <t>حدیقه حیدری، زهرا قهرمانی</t>
  </si>
  <si>
    <t>حدیقه حیدری</t>
  </si>
  <si>
    <t>عطیه زارع، فاطمه انصاری نسب، فاطمه طاهری نسب، زهرا قهرمانی، فاطمه بهروزی، مبینا حاجی زاده، فاطمه زمانیان، طهورا حنیفه، فاطمه رهبری خواه، فاطمه محمدی، فاطمه رحیمی، ریحانه جمالزاده، تسنیم حنیفه، بشری سادات سید افقهی، پرستو شیرافکن، فاطمه زهرا هاشمی، فاطمه حسنی سهل آبادی، زهرا خزعلی، ضحی حسینی محراب</t>
  </si>
  <si>
    <t>1401-02-16</t>
  </si>
  <si>
    <t>علیرضا صادق پور</t>
  </si>
  <si>
    <t>(به ترتیب حروف الفبا) مرتضی اسلامی، غزل افشاری، امیر حسن بیک، فاطیما رحمانی، امیرمنصور میرزایی</t>
  </si>
  <si>
    <t>پوریا جعفرپورکاشی</t>
  </si>
  <si>
    <t>جاناتان سییر</t>
  </si>
  <si>
    <t>مهدی رضایی، روژین صدرزاده، کامران طاهری، مجید عراقی، میلاد کرباسی، فرنوش مرواری، نکیسا نوری</t>
  </si>
  <si>
    <t>حامد شیخی، فاطمه زمانی، مهدی هنرسازان، امیرحسین انصاری، آرزو مجیدی، لاله ذوالفقاری، نازنین بیوک، حسین شهرابی، فائزه منعمی پور</t>
  </si>
  <si>
    <t>میثم عبدی، مهدی سدهی</t>
  </si>
  <si>
    <t>امیرحسین اشرفی</t>
  </si>
  <si>
    <t>( به ترتیب ورود) رضا صالحی خراجی، صدف صمدیان، محمدحسین صالحی خراجی، امیرحسین بابااکبری، فاطمه گندمکار، حسین عباسپور، علیرضا لطفی زاده، الهیار قاسمیان، احمدرضا یگانه، مسعود انصاری، ابوالفضل عظیمی تبریزی، فرزانه آیافت، محمدحمزه رضایی، احسان عطوفی، مهدی رضایی، علی سلیمانی، ریحانه فخرالدینی، علیرضا نوحه، ارسلان بهرامی</t>
  </si>
  <si>
    <t>مهدی بازدار، آیت بی غم، احمد حامدی، ملیکا شهاب، عبدالرضا صفری دریایی، نسترن صفری، ساره گندمی، لیلا مفیدی، سهیلا مفیدی، شاهین ملک زاده، سعید نبوی، محمد امید دوست، سهیل خبازی نژاد، پوریا محسنی، حسام زرنوشه</t>
  </si>
  <si>
    <t>رضا علمداری</t>
  </si>
  <si>
    <t>ابولفضل علیاری، معصومه کبیری، ابولفضل رستم زاده، امید پارسائی، سحر جمشیدی، زهرا عشقی، پویا مرادی، امیر عرب، محمد حسین میرسلطانی، عطیه ورمزیار، روزبه جهانی، امید عباسی، علی بابایی، محمد جواد محسنی، مژگان حصاری، کیانا شریفی</t>
  </si>
  <si>
    <t>حامد عباسپور</t>
  </si>
  <si>
    <t>حامد عباسپور، علی صادقی</t>
  </si>
  <si>
    <t>نازنین علوی، علی صادقی، نگار عزیزی، نگین طیبی، مرجان سقایی</t>
  </si>
  <si>
    <t>علی اتحاد، برکه بذری، _x000D_
(زیرزمین) نیما قاسمی، سارا بولوری، پارسا معارف وند، فرنود حاجی آخوندزاده، _x000D_
(طبقه اول) نیما عابدی خیابان، امیرمحمد صادقی، مهدی ریسمانی، علی نوریوسفی، متین مکاری مقدم، نوید دوستی، _x000D_
(طبقه دوم) پارسا رنجبر، برسام نوری اسکویی، سعید بابائی، محمدحسین ربیعی، محمد صدرا دلاوری، _x000D_
(طبقه سوم) رومینا آدور، ملیکا بهجت، داریوش احمدی، آتنا حسینی، سانیا آقائی، _x000D_
(پشت بام) آنیتا زارع، دنیز میرزائی، صدف صفری، مهدیه ابراهیمی، _x000D_
(پلکان) امین شفیعی، درسا شهیدی، رضا طهماسبی، _x000D_
(راهنماها) پریا مینابی، صبا قربانپور، ضحا اسماعیلی فر، دینا میرزائی</t>
  </si>
  <si>
    <t>(به ترتیب ورود) رسول بابایی، روشان رستم پور، سعید محبی، فردین راکی، ویدا آرایی، ابولفضل گرمابی، کمند حمدالله زاده، نیما صمدی، بنیامین صباغی، امید حسینی، آنا دایی، علی حاجیلو، فاطیما ناصرخیل، احمدرضا هیبتی، حمیدرضایدالهی، سهراب گلدره، پونه نصیری، مریم هاشمی فرد، نگار حاتمیان</t>
  </si>
  <si>
    <t>آرمان اسماعیلی</t>
  </si>
  <si>
    <t>ملیحه رحمانی</t>
  </si>
  <si>
    <t>1401-12-09</t>
  </si>
  <si>
    <t>محمدرضا حسن زاده، سحر گلشیرازی، شقایق عزیزی، نوشین طیاری، فرانک ظاهری، مه نیا قاسمی، مهدی طایفه عباسی و آتنا دولت آبادی</t>
  </si>
  <si>
    <t>1401-12-13</t>
  </si>
  <si>
    <t>حمیدرضا آخوندنصیری</t>
  </si>
  <si>
    <t>محمد حمیدی شاد، امیرحسین بابااکبری، مریم حمیدی جو، صدف صمدیان، سارا یگانه، ابوالفضل محمدی کیا، ریحانه نشاسته گیرپور، شکیبا ابراهیمی، مینا مهدیان، فائزه کریمی کاشانی، آیدا رجایی، محمد کمیل هلی، ابوالفضل بندی</t>
  </si>
  <si>
    <t>ملیکا کیارستمی</t>
  </si>
  <si>
    <t>امیرحسین شیخی</t>
  </si>
  <si>
    <t>آرنیکا پناهی، آنیتا باقری، متین چدن، محمدمهدی فراهانی، کیمیا جعفری، محمدمهدی نظری، بهنام نوروزی، مهدیس فراهانی، عباس رضائی</t>
  </si>
  <si>
    <t>سعید زمانی</t>
  </si>
  <si>
    <t>رامین علیزاده</t>
  </si>
  <si>
    <t>(به ترتیب حروف الفبا) نهال آزاد، شادی اکبرزاده، تبسم انصاری، سعید زمانی، عزیز شاطری، کیانا شهباز، مهیار کهن، محمدحسین مهاجری، محمد نادی، مازیار یاوری</t>
  </si>
  <si>
    <t>15:00:00</t>
  </si>
  <si>
    <t>1402-03-07</t>
  </si>
  <si>
    <t>ارسلان گل محمدی، مجتبی عاشوری</t>
  </si>
  <si>
    <t>جلال محبی</t>
  </si>
  <si>
    <t>(به ترتیب ورود) جلال محبی، فاطمه توکلی، محمدحسین سپنج، شهرزاد بیانی، امیر شاه علی، شادی شاه علی</t>
  </si>
  <si>
    <t>1402-01-26</t>
  </si>
  <si>
    <t>روژین فاطوری فر</t>
  </si>
  <si>
    <t>پوریا آذربایجانی</t>
  </si>
  <si>
    <t>(به ترتیب حروف الفبا) نیوشا طورانی، ریحانه عصارزاده، روژین فاطوری فر، ندا قهرمانپور</t>
  </si>
  <si>
    <t>مهدی آرشی</t>
  </si>
  <si>
    <t>علی باهری، مبینا آرشی، مهدی آرشی</t>
  </si>
  <si>
    <t>محسن میرزاخانی</t>
  </si>
  <si>
    <t>محسن میرزاخانی، محمد کرمی</t>
  </si>
  <si>
    <t>حسین کشفی اصل، سارا والیانی، روزبه اختری، کامیار محبی، آنیتا عظیمی، تیما تقی زاده، محمد کرمی، مریم قجر، مینا عنصری، شیوا جمشیدی، ایمان مهدی زاده، معصومه بابایی، امیر فرمانی، سعید الله بداشتی، سارا داداش پور (بازیگر خردسال)، در اجراهای پیش رو شبنم قلی خانی بازی ندارد و بازیگر دیگری این نقش را بازی می کنند.</t>
  </si>
  <si>
    <t>محمدرضا استادحاجی</t>
  </si>
  <si>
    <t>(به ترتیب ورود به صحنه) سحر سبزی، محمدرضا استادحاجی، ایمان نیکخو، ملیکا هاشمی، عباس بدری، حنانه صمدزاده، هانا الفتی، مریم قربانیان، مهرداد قاضی</t>
  </si>
  <si>
    <t>1401-09-10</t>
  </si>
  <si>
    <t>نادر فلاح، ساناز روشنی، مرضیه موسوی، شیما جعفرزاده، سپهر محمودی، رامونا شاه</t>
  </si>
  <si>
    <t>علیرضا حنیفی، مرجان آقانوری، حسین کرمی، کیوان عموزاده، سحر بیرانوند، مرضیه بنی علی، شایان حاجی اسماعیلی، سحر رستمیان، مهتاب عسکری، کوروش شاهی نیا، ابوالفضل علیاری، علی ساکی، عرفان خوش نیت، جلال حسنی، معصومه کبیری، میثم ترکمند</t>
  </si>
  <si>
    <t>سجاد حسین پور</t>
  </si>
  <si>
    <t>حمیدرضا استادیان</t>
  </si>
  <si>
    <t>(به ترتیب ورود) زهرا زین الدینی، نسیم نجاریان، حمیدرضا استادیان</t>
  </si>
  <si>
    <t>(به ترتیب ورود) محمد شهریار، فرید گلریز، میثم آقا بزرگی، مونا مهدی پور، نیلوفر شیخ، پوریا بیات، سارا دغاغله، مریم چرمی، تایماز بختیاری</t>
  </si>
  <si>
    <t>سامی صالحی ثابت</t>
  </si>
  <si>
    <t>هادی صالحی ثابت، صبا مرادیان، هلیا حسن زاده، مینو سادات متقی، مانا مکری، نگار حمزه پور، بهار عفت منش، سارینا بنیانی، رادمان منفرد، مهرداد امانی، امیرپاشا عبدی، علیرضا خدابخش</t>
  </si>
  <si>
    <t>بهنام شرفی</t>
  </si>
  <si>
    <t>یکتا ناصر، بهنام شرفی</t>
  </si>
  <si>
    <t>19:03:00</t>
  </si>
  <si>
    <t>00:33:00</t>
  </si>
  <si>
    <t>بهزاد دودانگه</t>
  </si>
  <si>
    <t>نیما محبوب، بهنام دودانگه، بهزاد دودانگه</t>
  </si>
  <si>
    <t>محمدرضا چرختاب</t>
  </si>
  <si>
    <t>آگوتا کریستوف</t>
  </si>
  <si>
    <t>حمید رحیمی، محمدرضا چرختاب، ژیلا آل رشاد، سعید طاهر خانی، سجاد مژدهی، میترا مسائلی، مجید مظفری، ترانه هنرور</t>
  </si>
  <si>
    <t>نساء یوسفی، محمد موحدنیا، محسن زینالعابدین، مجید رمضاننسب، عباس بابایی، سیامک سلطانی، حاتمه واحدی، بهار صبوریان، فاطمه نوروزی، دریا وهاب، ریرا صدر، شادی اصفهانی، آیدا جعفری، حسین ولیزاده، علیرضا مهران</t>
  </si>
  <si>
    <t>1400-04-25</t>
  </si>
  <si>
    <t>امیر کارگر</t>
  </si>
  <si>
    <t>مهدی لوئیا، هانیه گلپایگانی، هادی فلاح، ریحانه سرلک، میلاد رستگار، آتنا اسماعیلی، سید حسین خرّم</t>
  </si>
  <si>
    <t>باغ کتاب - فضای باز پردیس تئاتر و موسیقی</t>
  </si>
  <si>
    <t>1400-06-31</t>
  </si>
  <si>
    <t>امیررضا کوهستانی، کیوان سررشته (بر اساس نمایشنامه ساموئل بکت)</t>
  </si>
  <si>
    <t>( به ترتیب ورود) لیلی رشیدی، مهین صدری، الهام کردا، مونا احمدی</t>
  </si>
  <si>
    <t>امیر آسانی، علی منصوری</t>
  </si>
  <si>
    <t>امیرمحمود نورایی آشتیانی، عرفان خداویسی، سلام محمدی، مهدی عسگری، سعید قبادی، میلاد آقاحکیم، حسین رضایی، محمدصادق امیری، عادل حقیقی، زهرا تاجیک، کیانا تعصبی، اسما حسینی، مایا قهقائی، الهه جلالی، آتنا مرادباوکی، مریم جوان، سونیا قاسمی، علیرضا نورمحمدی، کیوان نادم قورخودی، هلن قنبری</t>
  </si>
  <si>
    <t>ناصر آویژه، حسین میرزاییان، بهنام متعارفی، الهام زارعی، شراره یوسفی، قاسم انصاری شاد، مهدی رحمتی، زیبا کاظمی</t>
  </si>
  <si>
    <t>میرعلیرضا دریابیگی</t>
  </si>
  <si>
    <t>رنه دُ ابالدیا</t>
  </si>
  <si>
    <t>(بازی سازان به ترتیب حروف الفبا) مروارید جعفری، امیرحسین رضایی، فهیمه شایان فر، شهراد قدیری، علیرضا (نیما) قربان زاده، علیرضا قیاسوند، سارا مقدم، بهراد محمدی، افسانه نیازی و ... [میرعلیرضا دریابیگی]</t>
  </si>
  <si>
    <t>مجتبی کریمی، سارا جودت، فرید گلریز، مهران محجوب، آرزو ایران خواه، رسول عابدی، نیلوفر دلیر</t>
  </si>
  <si>
    <t>پیروز میرزایی</t>
  </si>
  <si>
    <t>(به ترتیب ورود به صحنه)پیروز میرزایی، اشکان افشاری، پروا محزون، پرهام میرزایی، امیرحسین صادقی</t>
  </si>
  <si>
    <t>تئاترشهر شمال - قائم شهر</t>
  </si>
  <si>
    <t>1401-11-30</t>
  </si>
  <si>
    <t>مهسا دادبود</t>
  </si>
  <si>
    <t>یکتا بیانی، مهسا دادبود</t>
  </si>
  <si>
    <t>نورا کلامی، یکتا بیانی، ثنا آهنگری، هیلیا کاظم پور، نارگل جامع، سمیه رزاقیان، تارا داداش پور</t>
  </si>
  <si>
    <t>1401-08-18</t>
  </si>
  <si>
    <t>علیرضا پاکباز</t>
  </si>
  <si>
    <t>هادی اسلامی، محمدرضا ارکان، سروش صدوقی</t>
  </si>
  <si>
    <t>جلال الدین محمد احمدی، سیدمهدی اسماعیلی، طاها اصغری، مهدی حاجیقاسمعلی، محمدصالح ربیعی، محمدحسین زاهد، علیرضا سلطانی، امیرمهدی کریمی، امیرعباس کوهی، امیرحسین ملکزاده، امیرمحمد نسرین فر، مهدی یکتا</t>
  </si>
  <si>
    <t>1400-09-25</t>
  </si>
  <si>
    <t>مازیار فکری ارشاد</t>
  </si>
  <si>
    <t>ساغر خواجه امیری، فرید عزیزی، بهناز شهسوار، محمدصادق اسدی، حامد ربیعی، رها عادلی، آصف جعفری</t>
  </si>
  <si>
    <t>1400-04-22</t>
  </si>
  <si>
    <t>نازیلا عظیمی، مجتبی جعفری پور، تداعی سعیدی فر، امیررضا باباولیان، محمدرضا وزیری، علیرضا وزیری، ملیکا زاهدی، سارا محبی، امیرحسین انصاری، صادق کاوانلویی، مریم محبی، نیکی میرصادقی، بهرام مصطفایی، حامد شیخی</t>
  </si>
  <si>
    <t>1400-10-21</t>
  </si>
  <si>
    <t>ساسان عباسی</t>
  </si>
  <si>
    <t>ساسان عباسی، دنیا جهان منش، مائده زنیان نژاد</t>
  </si>
  <si>
    <t>22:30:00</t>
  </si>
  <si>
    <t>رحیم نوروزی، شبنم قلی خانی، سمیرا حسینی، سپیده صباغ، سعید زارعی، حسین میرزاییان، آزاده سیفی، صدف بهشتی، مهدی ابراهیمی، مهدیس هاشمی، رز زارع</t>
  </si>
  <si>
    <t>1401-06-20</t>
  </si>
  <si>
    <t>رضا دشتکی</t>
  </si>
  <si>
    <t>آرتور شنیتسلر</t>
  </si>
  <si>
    <t>پارسا امینایی، علی اسدی، زینب ایزدپناه، الهام جدی، شیما حکیم پور، رضا دشتکی، مهدی داوودی، زایا دیوید، پیام رضوانی، محمد عباسی، سارا عرب زاده، سجاد پیشرویان، امین مهدی خانی</t>
  </si>
  <si>
    <t>سیاوش طهمورث</t>
  </si>
  <si>
    <t>داود میرباقری</t>
  </si>
  <si>
    <t>سیاوش طهمورث، نسیم ادبی، سیروس سپهری، مجید رحمتی، دنیا فتحی</t>
  </si>
  <si>
    <t>حمیدرضا صفار</t>
  </si>
  <si>
    <t>سجاد ندایی، یلدا آذرنوش، امیرحسین آشورون، مریم سلیمانی، سیدمهدی هاشمی، امید برغمدی، امیر مومنی</t>
  </si>
  <si>
    <t>امین سعدی</t>
  </si>
  <si>
    <t>علیرضا حسن پور، آرزو حیدری، مهسا الله یاری، یاسمن افروند، نادیا آئین، نسیم کیانی</t>
  </si>
  <si>
    <t>مهسا عزیزپوری</t>
  </si>
  <si>
    <t>(به ترتیب ورود به صحنه) ارمینا علیمحمدی، امیرحسین اسکندری، آرام نیک بین، علیرضا عنایتی، محمدحسین رحیم، شکیبا شاهوردی، حسین نامور، نگین وکیلی، داریوش افشاری</t>
  </si>
  <si>
    <t>1400-04-17</t>
  </si>
  <si>
    <t>داریوش هاشمی، میرنادر مظلومی، فرانک یوسفی، نازنین علم دوست، محمدرضا نیکزاد، محمدصادق سلمانیان و امین مومنی پور</t>
  </si>
  <si>
    <t>مرتضا جلیلی دوست</t>
  </si>
  <si>
    <t>صبا نجاتی</t>
  </si>
  <si>
    <t>المیرا آشفته، مصطفا امیری، آوا تدین، متین حبیبیان، اسماعیل خزایی، آرش رفیعی، سپهر طهرانچی، رضا مداح، صبا نجاتی</t>
  </si>
  <si>
    <t>طاها محمدی</t>
  </si>
  <si>
    <t>(به ترتیب ورود) نوشین طیاری، بیتا عالمی، محمدرضا حسن زاده، واروژان فرهادیان، تینا حاج محمدرضا، علی اصغر حبیبی، مجید تیزرو، سیدامیر نقیبی، شقایق سیاح، زهرا ایمان وردی پور، مسعود دکامی، امیرمحسنی، محمدرضا دینکو، علیرضا هوبخت، علیرضا یکتن، نیلان نکویی، طاها محمدی، حامد شیخی (بازیگر مهمان)</t>
  </si>
  <si>
    <t>1400-04-27</t>
  </si>
  <si>
    <t>علی عامل هاشمی و هادی عامل</t>
  </si>
  <si>
    <t>علی عامل هاشمی</t>
  </si>
  <si>
    <t>مسعود حجازی مهر، هادی عامل، فهیمه باروتچی، علی عامل هاشمی، بهادر اورعی، سینا رازقی، فاطمه عباسی، سالار دریامج، فرشته قاسم پور، یاسمن رضازاده</t>
  </si>
  <si>
    <t>محمد یزدی</t>
  </si>
  <si>
    <t>محمد یزدی، امیر قربانی، هومن حسینی، ابوالفضل شیری</t>
  </si>
  <si>
    <t>آرین زرینپور</t>
  </si>
  <si>
    <t>آرین زرینپور، محسن کریمی، رسول بابایی، ماریه قزل، مهسا شیرزاد، سعید محبی، صبا رنجبر، آنیتا عطایی، امین پورفرد، مهدی ترابی، مهران مکاری، امین سنجربیگی</t>
  </si>
  <si>
    <t>امیر دلفانی</t>
  </si>
  <si>
    <t>(به ترتیب حروف الفبا) ایمان اصفهانی جلیلی، سجاد باقری، حمید رشید، مهدی رضایی، کامران طاهری، میلاد فرج زاده، خشایار قائدرحمتی، شهاب نظام دوست</t>
  </si>
  <si>
    <t>1401-02-28</t>
  </si>
  <si>
    <t>سینا سوری، مائده کریمیان، شایان فصیح زاده، حسام فیلی، مائده سلیمی، هورش ترک، وانیا روشنی، فرزاد نیروفر، ملیکا سلیمی، روا سرابی کیا، فاطمه راوی زاده</t>
  </si>
  <si>
    <t>امیر عابدین پور</t>
  </si>
  <si>
    <t>ادوکیموس سولاکیدیس</t>
  </si>
  <si>
    <t>مریم راد، مهدیه عسکری، محیا اعظم پور</t>
  </si>
  <si>
    <t>هادی محرابی</t>
  </si>
  <si>
    <t>مریم بابایی، امین ناطقی، شقایق جمشیدی، محمدجواد یزدانی، محمد نهاردانی، فرنیا اسماعیلی، هادی محرابی، مهسان بهرامی</t>
  </si>
  <si>
    <t>1401-07-30</t>
  </si>
  <si>
    <t>محمد واحدی</t>
  </si>
  <si>
    <t>محمد واحدی، محمد نوروزی فرسنگی</t>
  </si>
  <si>
    <t>علی عامل هاشمی، محمد نوروزی فرسنگی، هادی عامل</t>
  </si>
  <si>
    <t>بهنود محمدی پور</t>
  </si>
  <si>
    <t>ایمان اصفهانی، پیمان محسنی، عادل دولتشاهی، هیراد محمدی، مجید اقبالی، حسن تدینی، مجید قفلی، محمدصادق اسدی و فهیمه معین</t>
  </si>
  <si>
    <t>1400-10-19</t>
  </si>
  <si>
    <t>راحله شمس آبادی</t>
  </si>
  <si>
    <t>(به ترتیب ورود به صحنه) هادی عامل، عرفان جوادی، حمید ایزدپناه، مریم علی نیا، رز مریم کاظمی، معصومه احمدزاده، مهسا محمدکاظم، مجتبی بتوندی، بهاره خالقی، حمیدرضا عرفانیان</t>
  </si>
  <si>
    <t>آرمان طیران</t>
  </si>
  <si>
    <t>(بازی سازان) حسین محمدی، مهدی علینژاد، حامد شیخی، محمد شایان طهماسب پور، حسین کرمی، رضا حسین نژاد، سرور ابراهیمی، مهشید گودرزی، زهرا فدوی صامتی، بهاره جهانبانی، نازیلا عظیمی</t>
  </si>
  <si>
    <t>تالار اندیشه (تربت حیدریه)</t>
  </si>
  <si>
    <t>1401-12-15</t>
  </si>
  <si>
    <t>سید محسن هاشمی</t>
  </si>
  <si>
    <t>داوود علیزاده، ابراهیم ادیبی، رسول وحدت، محمدرضا سبزواری، فاطمه بیگ زاده</t>
  </si>
  <si>
    <t>ندا تمیمی</t>
  </si>
  <si>
    <t>دامون نوروزی</t>
  </si>
  <si>
    <t>مرتضی آقاحسینی، پویا باغی، رزا خلیلی، امیرصمصام طهماسبی، آرین کبیری، روژان گلستانی، علی محمودی، امین مختاری، دامون نوروزی</t>
  </si>
  <si>
    <t>علی خلیل مقدم</t>
  </si>
  <si>
    <t>فائزه نصیری، فروغ فرزین فر، سحر رستمیان، عاطفه مهدوی، شادان کوچکی، پویا صفری، الهام بهرام، علی خلیل مقدم، شادی شادمهر، نیلوفر رضوی، یاسمین جعفری، مریم نجد، مونا کوشکی، مژگان سولقانی</t>
  </si>
  <si>
    <t>روزبه اختری</t>
  </si>
  <si>
    <t>اشکان هورسان، نسترن ابراهیم زاده، حامد سوری، درسا حکیمالهی، ثمین امینی، محمدجواد ملک زاده، سیاوش مرادیانی، فرزاد احدی</t>
  </si>
  <si>
    <t>سالن تئاتر اداره فرهنگ و ارشاد اسلامی - دزفول</t>
  </si>
  <si>
    <t>1401-07-10</t>
  </si>
  <si>
    <t>مهدی عبده شاه زاده، حمید کوچک کوتیانی</t>
  </si>
  <si>
    <t>ملیحه مراد جعفری</t>
  </si>
  <si>
    <t>مهدی عبده شاه زاده، حمید کوچک کوتیانی، محمد رنجه تن، رضا مطیعی، رضا قاسمی، کافیه جمالی، نجمه لقمانی، علی رستمی، محمد حسینی، محمد معرف</t>
  </si>
  <si>
    <t>کیان پرتو</t>
  </si>
  <si>
    <t>محمد کللی، کیان پرتو، نیما نیک دل، محمد مهدی حیدری، سامان بیاتی</t>
  </si>
  <si>
    <t>بهنود محمدیپور</t>
  </si>
  <si>
    <t>علی بهروزنسب</t>
  </si>
  <si>
    <t>فهیمه معین، مهیار احمدی، علی امیر خلیلی، پدرام محمدی، یاسمن حسینی، سوزان صفانیا، مجید اقبالی، غزل میرزایی و امیر رییسیان، نیلوفر مهاریان</t>
  </si>
  <si>
    <t>خشایار قائدرحمتی، مهدی یگانه، امیر دلفانی، ایمان عبدی</t>
  </si>
  <si>
    <t>پارسا محمدزاده</t>
  </si>
  <si>
    <t>هانیه آرمیده، الهام خسروی، مریم روشنی، مهرنوش صمدبیگی، کاملیا کاظمی، نیلوفر مرآت، حدیثه مقدم، شادی موسوی</t>
  </si>
  <si>
    <t>نورا بهکامه</t>
  </si>
  <si>
    <t>سوگل نواب صفوی، پوریا تذکری، ناصر یاوریرامشه، نورا بهکامه</t>
  </si>
  <si>
    <t>1401-01-12</t>
  </si>
  <si>
    <t>افسانه ماهیان</t>
  </si>
  <si>
    <t>فاطمه معتمدآریا، مهران نائل، شیوا فلاحی</t>
  </si>
  <si>
    <t>عسکرعابدی (ایلقار)</t>
  </si>
  <si>
    <t>توحید نجفزاده</t>
  </si>
  <si>
    <t>توحید نجفزاده، رویاجلیلی، سارا حقدوست، یگانهحسنی</t>
  </si>
  <si>
    <t>مصطفی اعتدادی</t>
  </si>
  <si>
    <t>مصطفی اعتدادی، محمدحسین نادری، مهدیه محمودیان کرامت، الهه ذوالقدر، امیرحسین محمدیاری، مهدی هاشم آبادی</t>
  </si>
  <si>
    <t>رضا جهانی، مریم برومند، عادل عزیز نژاد، الهه نادری و صفورا خوش طینت</t>
  </si>
  <si>
    <t>محمد جابری</t>
  </si>
  <si>
    <t>جمشید خانیان</t>
  </si>
  <si>
    <t>امیر عبادی، محمد جابری</t>
  </si>
  <si>
    <t>1399-06-21</t>
  </si>
  <si>
    <t>جان پاتریک شنلی_x000D_مترجم</t>
  </si>
  <si>
    <t>ساموئل بنشتریت</t>
  </si>
  <si>
    <t>خشایار راد، فرزاد حاتمیان، جواد رازقندی، تیما تقی زاده، سمیه پیریایی، مهدی رادان، محمد شایان طهماسب پور</t>
  </si>
  <si>
    <t>بیتا پهلوانی</t>
  </si>
  <si>
    <t>امیرمحمد رجبی، سیما غلامی، بیتا پهلوانی، محمد علی واعظی، زهرا حسینی</t>
  </si>
  <si>
    <t>اشکان حسن پور، مرجان اتفاقیان، معین شاهچراغی</t>
  </si>
  <si>
    <t>1401-07-02</t>
  </si>
  <si>
    <t>آناهیتا زینیوند</t>
  </si>
  <si>
    <t>امیرحسین مصلی</t>
  </si>
  <si>
    <t>(به ترتیب ورود) مینا شجاعیان، ایمان سلگی، مهریار عیدی، پگاه نوربخش، میثم غنی زاده، سمانه جنیدی جعفری، امید رضوی.</t>
  </si>
  <si>
    <t>مهران مرادی</t>
  </si>
  <si>
    <t>رضا شفیعیان</t>
  </si>
  <si>
    <t>(به ترتیب حروف الفبا) ابوالفضل اخوان، محمدرضا حاج نوروزی، رضا حیدری، حنانه دلفانی، آریانا رهنما، امیرحسین ساده، اشکان غلامپور، فاطمه قاسمی، مهیار کوهی، حمیدرضا میرزایی، فاطیما یادگاری،</t>
  </si>
  <si>
    <t>سعید مصطفایی</t>
  </si>
  <si>
    <t>الهام بیدارمغز، هامون خان محمدی، سعید تقوایی، امیرعلی زیارتی، نادر کریمی، سوگند صادقی، ناصر محمدی، آرام نیک بین، علیرضا عباسی، مرتضی فرجی، مهرشاد فاروقی، آوا آزاد</t>
  </si>
  <si>
    <t>منصور صلواتی</t>
  </si>
  <si>
    <t>فرزاد برهمن، محمد ناصری، نگین غفاری، دنیا حشمت، امیر کردی، کیمیا بخشی، بنفشه ابر</t>
  </si>
  <si>
    <t>فرید قادرپناه</t>
  </si>
  <si>
    <t>(به ترتیب الفبا) حسین امیدی، آیدین بهاری، مینا زرنانی، میلاد معیری، آذین نظری، میثم نوروزی، مهدی یگانه</t>
  </si>
  <si>
    <t>(به ترتیب ورود) مهیار کشاورز، امیرکیا محمدی، عباس علیقلینیا، سوگند شاه قلعه، غزل زینعلی، محمدحسین ولیلو، کوروش دستورانی، ملیحه زینعلی، عرفان شیرزادپور، سپهر حسنی، غزل قاسمی، کیمیا کشاورز، ستایش آزادمنش، مارال سامانی، دنیا غیاثوند، راحله خاکباز، پرشاد کاکاوند</t>
  </si>
  <si>
    <t>نیما ذاکر</t>
  </si>
  <si>
    <t>لیلا بروفه، شبنم صادق زاده، ملیکا گل محمدی، فرید گلریز، نیما ذاکر، بابک بینش، محمدحسین علیزاده، علیرضا ولی پور، عاطفه موسوی، فرزانه سیری، مهدی عباسی، شکیلا تویلی، آتنا داداش زاده</t>
  </si>
  <si>
    <t>ثمین علما</t>
  </si>
  <si>
    <t>علیرضا ناسوتی</t>
  </si>
  <si>
    <t>مهرآسا الهیان، مطهره نکوکرداران، مهدیه امینی، زینب طلاچیان، فاطمه رستگار، فاطمه یزدی، ریحانه قربانی، ملیکا طلوع</t>
  </si>
  <si>
    <t>شهروز دل افکار، سحر عبدالملکی
رضا جهانگیری، سعید اعتمادی، هومان زمانی، علیرضا نوحه، فرحان شجاعی، محمدحسین بیات، عرشیا چاکرالحسینی، علیرضا خراسانی، سودا باآبرو،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</si>
  <si>
    <t>شهرام گیلآبادی</t>
  </si>
  <si>
    <t>محمد چرمشیر، بهمن عباسپور</t>
  </si>
  <si>
    <t>(به ترتیب ورود) امیر عظیمی، حمیدرضا ترکاشوند، سیما تیرانداز، شقایق فراهانی، ژاله صامتی، _x000D_
(بازیگران مواجه) فرانک جواهری، فرشته رشوند آوهئی، مریم رشوند آوهئی</t>
  </si>
  <si>
    <t>مهیار شیروانی</t>
  </si>
  <si>
    <t>پرستو الماس، نیکو پشوتن، عماد جاویدپور، مسعود رمضانی</t>
  </si>
  <si>
    <t>امیرعلی انتظاری</t>
  </si>
  <si>
    <t>آویشن دودانگه، پریسا حیدری، مریم نایبی، مهنوش شاهباز، مهبد ریحانی، امیرعلی انتظاری، فائزه آقاجان</t>
  </si>
  <si>
    <t>1401-01-29</t>
  </si>
  <si>
    <t>علی طربی</t>
  </si>
  <si>
    <t>شه ناز روستایی</t>
  </si>
  <si>
    <t>علی طربی، فرنوش نیک اندیش، محسن قصری، علی باهری، علی بیک احمدی، رسول حق شناس، محمدرضا صفری، زهرا ملایری، عاطفه غضنفری، نازنین فراهانی، سمیرا کریمی، علیرضا حاجی زده، امیرحسین جعفری</t>
  </si>
  <si>
    <t>ملیکا رضی</t>
  </si>
  <si>
    <t>محمد حسین ناصربخت</t>
  </si>
  <si>
    <t>بهرام سروری نژاد، امین اکبری نسب، پیمان یاقوتی، فاطمه نصرتی، امیررضا جلالی، مسعود پورجمشید، کوروش رخشنده پی، (بازیگران سیاهپوش) محمدمهدی هاتفی، صدرا میرزایی، بامداد تاجیک، امیر حسین حجتی، کسری ریاحی وفا</t>
  </si>
  <si>
    <t>1399-12-18</t>
  </si>
  <si>
    <t>محمدرضا مالکی</t>
  </si>
  <si>
    <t>محمدرضا مالکی، جواد خورشا</t>
  </si>
  <si>
    <t>مرجان یزدانی</t>
  </si>
  <si>
    <t>مژگان یزدانی، مرجان یزدانی</t>
  </si>
  <si>
    <t>طاهر رجبی، عباس بازیار، کژال شاهی، پرستو میرابیان، سحر ورچندی، مهسا چهاردولی، ثمر شاه حسینی، مه آذین عرب، حمید محمدی، شادی حسینی، ملیکا جمشیدی، حمیدرضا دولت آبادی</t>
  </si>
  <si>
    <t>علیرضا اسدی</t>
  </si>
  <si>
    <t>صادق حسینی، آیلار یوسفی زاده</t>
  </si>
  <si>
    <t>مسعود میرطاهری</t>
  </si>
  <si>
    <t>مهام راد</t>
  </si>
  <si>
    <t>سیدجواد یحیوی، مسعود میرطاهری، مانیا بنی هاشمی، مهام راد، اعظم عیوضی، مهناز خوشخو، امید دربان، پرهام صداقت</t>
  </si>
  <si>
    <t>1399-06-06</t>
  </si>
  <si>
    <t>(به ترتیب ورود صحنه)آرش فلاحت پیشه، آیه کیان پور، امیر عدل پرور، هومن بنایی</t>
  </si>
  <si>
    <t>بلک باکس اداره فرهنگ و ارشاد اسلامی- بابلسر</t>
  </si>
  <si>
    <t>امیرحسین فلاحت پیشه</t>
  </si>
  <si>
    <t>سیده نسترن میرسنجری، هادی مهدی نیا، تهمینه شکوفا، مریم احمدی، راویه زواری، محدثه محدوی، شهراد شمشکی، مانلی فلاحت پیشه</t>
  </si>
  <si>
    <t>1398-10-24</t>
  </si>
  <si>
    <t>المیرا غفوریان</t>
  </si>
  <si>
    <t>محمدمهدی مروتی، المیرا غفوریان</t>
  </si>
  <si>
    <t>شیرین عزیز زاده، محمدمهدی مروتی، محبوبه صفدری، رامیار مجیدی، المیرا غفوریان، پوریا اصغری، لیدا هدایت، خاطره کرم نژاد، ویدا یاراحمدی، رزگار فیضالهی، سینا غفوریان</t>
  </si>
  <si>
    <t>احمد اسدیان</t>
  </si>
  <si>
    <t>جان لوگان</t>
  </si>
  <si>
    <t>بهرام کاظمی، شایان انجمنیان، علی افضلی، آرتمیس میر هاشمی</t>
  </si>
  <si>
    <t>1400-05-19</t>
  </si>
  <si>
    <t>مجتبی شجاعی زاده، فرهاد قدیم خانی، ریحانه چزانی</t>
  </si>
  <si>
    <t>1400-08-17</t>
  </si>
  <si>
    <t>الهه تنهایی</t>
  </si>
  <si>
    <t>محمدجواد بشارت، امید رهبر، حامد سوری، سعید اشراقیان</t>
  </si>
  <si>
    <t>پویا شش پری</t>
  </si>
  <si>
    <t>المیرا پارسا، پویا شش پری</t>
  </si>
  <si>
    <t>علی حسینی</t>
  </si>
  <si>
    <t>میرپیمان خوشنویس، سید مرتضی موسوی، امیرحسین طهماسبی، مهران اصلانی، نرگس کیومرثی، روح اله حاجی خداکرم، بهار عابدینی، مهدیه رضاییان، آزاده شاهپسندزاده</t>
  </si>
  <si>
    <t>1400-05-17</t>
  </si>
  <si>
    <t>علیرضا احمدی خیری</t>
  </si>
  <si>
    <t>امیررضا کوشانی</t>
  </si>
  <si>
    <t>محمدکاظم دامغانی، ملیکا میرزایی</t>
  </si>
  <si>
    <t>محمدکاظم دامغانی</t>
  </si>
  <si>
    <t>غلامرضا حسینشاهی، سعید مصطفوی، فاطمه رفیع زاده، ارمغان رمضانی، سروش فضل آبادی</t>
  </si>
  <si>
    <t>اصغر همت، ناهید مسلمی، غلامرضا فرج زاده، ایمان اشراقی، مسیح کاظمی، منصور صوفی، گاتا عابدی، نیما سید موسوی</t>
  </si>
  <si>
    <t>فرشید ادهم، نسیم کاظمی نیک</t>
  </si>
  <si>
    <t>کیوان نخعی</t>
  </si>
  <si>
    <t>فرشید ادهم، نرگس اسدی، امیر ابراهیمی، باران پویا، حدیث ترابی، فاطمه ترابی نژاد، محمدمهدی ترابی نژاد، مهدیار جام سحر، میلاد درویشی، مائده سیری، هانیه سید احمدی، مریم بانو عبداللهی، مهدی قبادیان، پیمان لطفی، سجاد وردی زاده</t>
  </si>
  <si>
    <t>علی زیستی</t>
  </si>
  <si>
    <t>لیلا مهدی آبادی</t>
  </si>
  <si>
    <t>1401-06-07</t>
  </si>
  <si>
    <t>نیما سیدموسوی، حمید ذوالجلالی باهوش، هدیه یکتا</t>
  </si>
  <si>
    <t>بهناز متولی باشی نایینی</t>
  </si>
  <si>
    <t>علی سلیمان زاده، حمید اسپرهم، بهناز متولی باشی نایینی، بهناز شریفی، سپیده دشتی، فاطمه نایب، ماهور قدیری، ماهان شکیبازاده</t>
  </si>
  <si>
    <t>1401-04-17</t>
  </si>
  <si>
    <t>آرمین خاصی، علی اکبر فتحی، سودا بابایان، پدرام ولی زاده، الهه کرمی، هستی حسینیان، علیرضا طلائی، سما دبیری، سجاد فیضی، ملینا محمدپور، کیمیا زمانی، حدیثه حیدری</t>
  </si>
  <si>
    <t>کانون پرورش فکری کودک و نوجوان جوین</t>
  </si>
  <si>
    <t>هادی آریانا</t>
  </si>
  <si>
    <t>علی قنبرآبادی، حامد بهشتی نژاد، هادی کلاته آقامحمدی، هادی آریانا، کوثر ثنایی مقدم، سمیرا قنبرآبادی، مهدیه آریانا، یسنا قنبرابادی، محمد کلاته آقا محمدی</t>
  </si>
  <si>
    <t>فرهنگسرای اشراق - سالن گلبانگ</t>
  </si>
  <si>
    <t>1401-08-27</t>
  </si>
  <si>
    <t>کیوان ظهرابی</t>
  </si>
  <si>
    <t>کیوان ظهرابی، فریبا فاتحی نیکو</t>
  </si>
  <si>
    <t>محمد عینی، حمید محمدی پور (سپهر)، ایمان درخشان فرد، مریم طالب لو، رعنا آقابزرگی، نفیسه یوسفی، مصطفی نجفی، زهره محمودی، بهاره بدلی، عیرضا کشوری، مهدی خسروی، طاهره قاسمی، محمد محمدقاسمی، فائزه آبزن، رویا مشکانی، سانیا خورشیدوند، هست فکراندام، ثناحجاریان، ملینا کامه ای، رها فرزانه، مهسا سعیدی</t>
  </si>
  <si>
    <t>1400-10-29</t>
  </si>
  <si>
    <t>پژمان پهلوانی</t>
  </si>
  <si>
    <t>مهدی جاوید</t>
  </si>
  <si>
    <t>(به ترتیب ورود به صحنه) هلنا متنجم، مهدی جاوید، پژمان پهلوانی، مریم سلامت پور، شیدا متنجم و ارسلان رنجبر</t>
  </si>
  <si>
    <t>کار گروهی</t>
  </si>
  <si>
    <t>(اجراگران) ایمان صیاد برهانی، معصومه بیگی، محسن اعتماد سعید، مصطفی هرآئینی</t>
  </si>
  <si>
    <t>شهرام گیلآبادی، محمد چرمشیر</t>
  </si>
  <si>
    <t>سیما تیرانداز، امیر عظیمی، حمیدرضا ترکاشوند، _x000D_
(بازیگران مواجه) فرانک جواهری، طاها بسطامی، هلیا عمرانی، سحر رضاقلی، سینا صفری، محمدمهدی قاسمی، محمد سنجری، محمدحسین ابراهیمی، سیدمهدی علوی، محمدرضا سبحانی نسب، محمدمهدی غفاری، ایمان همایی منش، حسین شیدایی، امیرحسین دین پرور، مهدیه سادات حسینی</t>
  </si>
  <si>
    <t>پژمان پهلوانی، مهدی جاوید، مهران نعیمی اقدم، بردیا سراج، مهدی آذخ</t>
  </si>
  <si>
    <t>سمیه آباده</t>
  </si>
  <si>
    <t>مزدک صالحی پامناری</t>
  </si>
  <si>
    <t>سمیه آباده، سارا جمالی، فاطمه صفری، زهرا توکلی، باران رفیعی، معصومه اسدی، شمیم نوری، فاطمه غفاری، حدیث ارمغان، آرام رفیعی، سوگل قیصر، هستیا درخشانی، آیسودا عابدی، مهدیس زارعی، کژال ربیعی، مبینا جلال</t>
  </si>
  <si>
    <t>داریو نیکودمی</t>
  </si>
  <si>
    <t>بهمن هراتی، شقایق سیدین، مرجان رزم آزما، پریسا محمدی، احسان قلی زاده، کامران عبدالهی، امین نانگیر، مصطفی مهری، احسان رحمتی، دلارام زرگر، محمد سلیمانی، محمدرضا لایقی، سعید پارسا</t>
  </si>
  <si>
    <t>1401-10-08</t>
  </si>
  <si>
    <t>(به ترتیب حروف الفبا) اشکان اردستانی، سیروس اسنقی، مرتضی اصغری، مسعود اصغری، محسن افشار، مهدی بیابانی، مهدی جواهر پور، پیمان خراسانی، سید علی زاهدی، سید امیرحسین سکاکی، علیرضا شمائی، رضا طهماسبی، علیرضا عمرانی، امیرحسین نیک پنجه، محمدامین نیک پنجه، سید محمدمهدی هاشمی دانا</t>
  </si>
  <si>
    <t>محمد اسماعیلی</t>
  </si>
  <si>
    <t>کریستوفر دورنگ، تر الگزاندر والنزا</t>
  </si>
  <si>
    <t>مهران آتش زای، علیرضا دهنوی، فاطمه دیبا، پدرام آزموده، فاطمه یونسی، محمدرضا حسنی، فاطمه جعفرخواه، وحید همراز</t>
  </si>
  <si>
    <t>پریسا مشرقی نیا، امیر مهدی تقوی، محمدرضا رجبی ارهانی، پیام طیبی، محسن سیل سپور، پرهام نوائی</t>
  </si>
  <si>
    <t>1400-04-28</t>
  </si>
  <si>
    <t>(به ترتیب ورود) علیرضا زرگوشیان، حسین کرمی، طاهره بهرامی نهادفر، مجتبی عراقی، عاطفه چوپانی، میترا طره، بهزاد حبیبی، ماهان خاتمی، سیما کیخا مقدم، محمود پاکزاد، داود معینی کیا</t>
  </si>
  <si>
    <t>1400-09-04</t>
  </si>
  <si>
    <t>غریب منوچهری</t>
  </si>
  <si>
    <t>عارف مهتاب</t>
  </si>
  <si>
    <t>عباس جاهد، نسترن اکبرزاده</t>
  </si>
  <si>
    <t>مکتب خانه تئاتر آن - بابل</t>
  </si>
  <si>
    <t>مهوانه آقاجانی</t>
  </si>
  <si>
    <t>الن گرا</t>
  </si>
  <si>
    <t>مریم میراب زاده، مجتبی مرتضوی</t>
  </si>
  <si>
    <t>22:45:00</t>
  </si>
  <si>
    <t>نگار چگنی</t>
  </si>
  <si>
    <t>پوریا آژند</t>
  </si>
  <si>
    <t>بهراد خرازی، کسری ذولفقاری، فرشته ترابی، مرتضی یعقوب پور، مژگان اخلاقی، حمید دلسوزی، صدف صفری، سمیرا سعادت، روح الله عقدایی، نگار چگنی</t>
  </si>
  <si>
    <t>1400-07-02</t>
  </si>
  <si>
    <t>شاهرخ دریانورد</t>
  </si>
  <si>
    <t>فیروزه اصفهانی زاده (بر اساس نمایشنامه مارتین مک دونا)</t>
  </si>
  <si>
    <t>شایان فصیح زاده، فهیمه شایان فر، شاهرخ دریانورد، عسل کلهور، شایان معماری، رضا شریف کاظمی، ماهان ترابی، سام عبادی، ساحل شفیعی مهریار، ارمغان سلطانی</t>
  </si>
  <si>
    <t>مجید صد خسروی</t>
  </si>
  <si>
    <t>رضا آرامش، شهاب ذوقی، ملیکا حسینی، پیام صفری، سحر سبزی، ساجده سادات چناقچی، مجید صد خسروی</t>
  </si>
  <si>
    <t>1400-04-03</t>
  </si>
  <si>
    <t>هیلا رضائیان</t>
  </si>
  <si>
    <t>پویا ابراهیمی، کامران نوروزی، مونا حسن زاده، مهسا نوروزی، هیلا رضائیان، سبا ایروانی، ترگل شایسته، ملیکا طوسی، سارا عابدی، فاطمه فرزانه</t>
  </si>
  <si>
    <t>پیمان چراغی</t>
  </si>
  <si>
    <t>(به ترتیب ورود) فریماه قاسمی، سحر قلباربند، زهرا یوسفی، شیرین منجمی، کیمیا نصیری، مهیار ذوالنوری، عیسی محمدی، باران یاسی، محمد امین مدنی، تیما قاسمیان، بهی جدیدی، محمدمهدی غروی، علیرضا محمدی، محمد رضایی، مرضیه دهقانپور، محمدرضا حسنی، مرضیه ابراهیمی، مهدی رشیدی، نازنین هدایتی نیک فرد، امیرعباس بابایی، پریسا روستایی، مهتاب امیرکافی، پوریا خرم</t>
  </si>
  <si>
    <t>1399-12-01</t>
  </si>
  <si>
    <t>محمد شعبانپور، احمد بیستونی، سارینا رزاق، ساشا کشوادی، محمد اسماعیلی، امیر نجفی، پگاه الله وردی، مبینا کلاته، رونیکا مولایی پور، نازنین تقوی، یاسمن عیسی زاده، حانیه نجفی، مهدی رشیدی، علی شاهمرادی ایچ، علی نوریوسفی، محمدرضا حسنی، فاطمه نوروزی، فاطمه قربانی، مریم بهادر، امیر محمد احمدی، سهند کرجالیان، سپهر عطایی، محسن برزه، محبوبه آرمون، نیلا قبادی، علی نیکیار، پرستو جلیلی، غزل سلامی زاده، رضوان عباسی، نازنین تنهایی، مستانه ایثار، نیما ثبوتی، رضا مردی، پارسا فرجادمنش، فاطمه طاهری، مهدیس فتحی، پویا صفری، کارن رضایی معین، سهند توکلی، عرشیا عقیلی، سید محمد امین صادقیان</t>
  </si>
  <si>
    <t>سعید فرخی کجور</t>
  </si>
  <si>
    <t>سعید فرخی کجور، رضا حیدری، سارینا علیزاده، ماهان غریب سامی، عطیه سادات اسدی</t>
  </si>
  <si>
    <t>1400-04-18</t>
  </si>
  <si>
    <t>حسین اناری</t>
  </si>
  <si>
    <t>علیرضا افشار نادری</t>
  </si>
  <si>
    <t>(به ترتیب ورود به صحنه) کمند کلبادی، محمد تاجیک، پوریا هلالی، احسان صاحبدادی و هلیا هامرز</t>
  </si>
  <si>
    <t>1398-12-21</t>
  </si>
  <si>
    <t>حسین بنیاد</t>
  </si>
  <si>
    <t>مسعود هدایت پور، دریا قاسمی، نازنین طلوعی</t>
  </si>
  <si>
    <t>محمدنجاریان</t>
  </si>
  <si>
    <t>فائزه قاضی، محمد نجاریان، آرمیا روحانی، فاطمه تیمورپور</t>
  </si>
  <si>
    <t>1401-05-03</t>
  </si>
  <si>
    <t>نرگس هاشمپور</t>
  </si>
  <si>
    <t>کیوان سررشته، زهرا محسنی (براساس ایدهای از نرگس هاشمپور و رمان "Ab jetzt ist Ruhe" اثر ماریون براش)</t>
  </si>
  <si>
    <t>اصغر پیران، فربد فرهنگ، سینا بالاهنگ، ندا جبراییلی</t>
  </si>
  <si>
    <t>خانه موزه استاد عزت الله انتظامی (قیطریه)</t>
  </si>
  <si>
    <t>پارسا پولادوند</t>
  </si>
  <si>
    <t>پیمان دانشمند</t>
  </si>
  <si>
    <t>گلشید بحرایی، مجتبی رهشناس، پرویز حاجی زاده، علیرضا عباسی، پارسا پولادوند</t>
  </si>
  <si>
    <t>فرید اسلام زاده، بلقیس بیک زاده، سهیلا مفیدی، سحر محسنی، سارا حدادی، سهیل خبازی نژاد، ستایش امینی، محمد رضایی، ساناز خدایی</t>
  </si>
  <si>
    <t>آیدا رضایی، نسیم مقدم، شادی دهقان، ارغوان راستی، تیام کریمایی</t>
  </si>
  <si>
    <t>1402-11-12</t>
  </si>
  <si>
    <t>باربد هنرمند</t>
  </si>
  <si>
    <t>سجاد شفیعی فر، رها امامی، باربد هنرمند</t>
  </si>
  <si>
    <t>(به ترتیب ورود به صحنه) احسان صاحبدادی، علی فراستی، نیلوفر پناهی، حسام نورمحمدی، نازنین جعفری، پوریا هلالی</t>
  </si>
  <si>
    <t>امیر شفیعی</t>
  </si>
  <si>
    <t>سپیده کردیان</t>
  </si>
  <si>
    <t>(به ترتیب ورود به صحنه) سیدامیر حسینی، مریم حاجی زاده، لیلا مقصودی، امید رحیمی، امیرحسین بازگیر، مهرآفاق جودکی، مهران ماروسی، عارفه نظامی، وحید کمالی اصل</t>
  </si>
  <si>
    <t>1401-10-14</t>
  </si>
  <si>
    <t>سپیده توکلی</t>
  </si>
  <si>
    <t>رهام عسگر پور، سپیده توکلی</t>
  </si>
  <si>
    <t>رضا آقا حسینی</t>
  </si>
  <si>
    <t>(به ترتیب حروف الفبا) رضا آقا حسینی، روژینا اسدی، لعیا حسینی</t>
  </si>
  <si>
    <t>رضا بیات</t>
  </si>
  <si>
    <t>(به ترتیب حروف الفبا)</t>
  </si>
  <si>
    <t>(خالقِنمایش) رضا کنگازیان</t>
  </si>
  <si>
    <t>(خالقِمتن) آریا شیراسماعیلی</t>
  </si>
  <si>
    <t>(خالقینِنقش) آریا شیراسماعیلی، محدثه رضایی، ماریان مؤید، سعید کریم زاده</t>
  </si>
  <si>
    <t>حانیه صالحی</t>
  </si>
  <si>
    <t>زهرا درخشان</t>
  </si>
  <si>
    <t>عرشیا کرمی، مهشید نوشاد، محمدرضا مومنی، پرهام خراسانی، عسل قالوجه</t>
  </si>
  <si>
    <t>1401-11-18</t>
  </si>
  <si>
    <t>گابور راسوو</t>
  </si>
  <si>
    <t>امیرحسین بابااکبری، رضا صالحی خراجی، صدف صمدیان، فاطمه گندمکار</t>
  </si>
  <si>
    <t>1401-02-10</t>
  </si>
  <si>
    <t>امیر احمدی آریان</t>
  </si>
  <si>
    <t>1400-03-22</t>
  </si>
  <si>
    <t>متن نمایش به صورت گروهی با بازیگران نگارش شده است.</t>
  </si>
  <si>
    <t>بهار زندی، بهار رضی زاده، شیده غفاریان، محمد شعبانپور، مهرداد طهماسبی، شکوفه حیدریان، حنانه خضرائی، زینب مجدمی، حسین یوسفی، اِروین گالستیان، فرنوش مرواری، شیوا سرمست، آروین محتشمی، هدی کاویانی نسب</t>
  </si>
  <si>
    <t>مرتضی گلچین</t>
  </si>
  <si>
    <t>مرتضی گلچین، میلاد صوفی، امین شیبانی، سمیرا امانزداه، هانیه سیدی، سجاد پارسیانی، ملینا علیمحمدی، رضاموسوی، نورا راد، نیما رضائی فراز، مهتاب پرویز، احسان مهدیزاده</t>
  </si>
  <si>
    <t>میترا ثاراللهی، محمد سلطان پور، صدرا محمدی، فاطمه کاظمی رزوه، امیرحسین صارمیان، اشکان کاظمی، نگین خدابخشی، شارمین افتخار، نیکو مجیدی</t>
  </si>
  <si>
    <t>ندا تسلیمیان</t>
  </si>
  <si>
    <t>امیرحسین ناظری کنزق</t>
  </si>
  <si>
    <t>سعید آهنگری، فاطمه شمسی، ریحانه هاشمی، مبینا مطاعی، یعقوب هاشمی، مهدی فتحی، محمدیاسین طاهری</t>
  </si>
  <si>
    <t>اسلاومیر مروژک</t>
  </si>
  <si>
    <t>سیروس همتی، شهرام مسعودی، شقایق فتحی، مجتبی گوهرخای، مژده (لیلا) ارجمند پیوند، احمد خیر آبادی، حمیدرضا زغم، حمیدرضا حسینعلی، آساره هداوند، ستایش خوش طینت، امیر مهدی میرزایی، آرتین عربی، محمدعلی شهریاری</t>
  </si>
  <si>
    <t>1401-04-04</t>
  </si>
  <si>
    <t>بهنام شرفی، معصومه رحمانی</t>
  </si>
  <si>
    <t>محمد رفیعی</t>
  </si>
  <si>
    <t>محمد رفیعی، سارا جمالی، داوود بالانی، فردین رحیمی، سپیده نجفی، درسا علی آبادی</t>
  </si>
  <si>
    <t>(بازیگران درحال اجرا) آروین ساسلی، فرناز نجفی، میثم رجائی زاده، کوثر افتخاری، آیناز فتحی، مبینا گروسی، محمد ایمان راعی، حسام شیزری، پریسا شریفی، ناهید قنبری، دنیز میرزائی، بهار مددزاده هاوتیی، فردین راکی، محمد مصطفی نژاد، بهناز شریفی، نفیسه نگهداری، اشکان بیک، ایمان سلیمانی، فاطمه هاشمی، زهرا رضامحمدی، پردیس خراسانی، فاطمه علیزاده، عسل حمیدیان، آیلار (آتنا) صدرخواه، نگین زینی وند، دینا میرزائی، امیر مرسلی، علی صفری، علی قراربخش، سمیه قدیمی، محمد متین داودی، مهیار صادق زاده، بنیامین اسماعیلی</t>
  </si>
  <si>
    <t>حنانه دلفانی</t>
  </si>
  <si>
    <t>داریوفو</t>
  </si>
  <si>
    <t>(به ترتیب حروف الفبا) ابوالفضل اخوان، پانته آ امین، حنانه دلفانی، آرمین میر، کیمیا نجاری، حمیدرضا میرزایی</t>
  </si>
  <si>
    <t>احسان امانی، کامیار احمدی، شاهین نمدچی، پرستو ایزدی پناه، گلاره شیرازی، متین نجاری، علیرضا عزیزی و امیررضا کوشانی</t>
  </si>
  <si>
    <t>علیرضای نجفی</t>
  </si>
  <si>
    <t>سعید هاشم زاده</t>
  </si>
  <si>
    <t>غزال غلامی، مهراد اکبرآبادی، شیوا زارعی</t>
  </si>
  <si>
    <t>1401-08-06</t>
  </si>
  <si>
    <t>غزل سلامی زاده، علیرضا یونسی</t>
  </si>
  <si>
    <t>شکیبا علیزاده، هانیه رحیمی، بهناز شریفی، مائده جزی، آیلار (آتنا) صدرخواه، بهادر پالای، امیرحسین سیداسماعیل</t>
  </si>
  <si>
    <t>محمدرضا بزرگزاد ارباب</t>
  </si>
  <si>
    <t>حسن جویره، جهانگیر نکویی، محمدرضا بزرگزاد ارباب، احمدرضا سلیمانی، محمد رادمهر، مسعود یزدانبخش، ریحانه مظاهری مهر، آرمان بکا، سپهرام سلیمانی، فرهاد شمس، سعید نصیری، جواد مدنی</t>
  </si>
  <si>
    <t>1401-05-02</t>
  </si>
  <si>
    <t>مسعود قاسمی</t>
  </si>
  <si>
    <t>سجاد ابراهیمی، هانیه احمدی، مجید ولی کمال، نسا آریانی، محمدمهدی یحیوی، مهدیه رجبی فکور، حلما نصیربیگلو، امیر سعادت، محمد احمدزاده، یاسین فاطمی، نسترن هاشمی، قاسم سلمانی</t>
  </si>
  <si>
    <t>شیرین فرخنده نژاد</t>
  </si>
  <si>
    <t>الهام رضایی، علی کشوری، شیما زادپور (شبهای زوج)، دلارام زرگر (شبهای فرد)، میثم نیکخواه</t>
  </si>
  <si>
    <t>مرتضی درویش</t>
  </si>
  <si>
    <t>فرناندو آرابال</t>
  </si>
  <si>
    <t>(به ترتیب ورود به صحنه) اشکان اطمینان، مصطفی دهقانی اشک، شیرین میرمهدی، محمدرضا حسنی، امیر شیرخانی، امیر قیاسی</t>
  </si>
  <si>
    <t>پلاتو همایون صنعتی کرمان</t>
  </si>
  <si>
    <t>آرزو جعفری</t>
  </si>
  <si>
    <t>سید مهرداد کاووسی</t>
  </si>
  <si>
    <t>مسعود محبی در نقش سهند (جسمی حرکتی شدید)، سید مصطفی حسینی در نقش علی (جسمی حرکتی شدید)، حدیث فروغی در نقش نسیم (جسمی حرکتی شدید)، محبوبه امیرتیموری در نقش فریده (بینایی و جسمی حرکتی)، مسلم خلیفه در نقش اسماعیل (جسمی حرکتی شدید)، پونه لنگری در نقش رویا(جسمی حرکتی شدید)، اسماءسلطانی نژاد در نقش ربات زن (جسمی حرکتی متوسط)، جبار درانی در نقش ربات مرد (جسمی حرکتی متوسط)، کیان سعیدی کیا در نقش فرهاد (بازیگر همراه)</t>
  </si>
  <si>
    <t>1400-06-11</t>
  </si>
  <si>
    <t>ارشیا اعتمادی، مهرانا فیروزی</t>
  </si>
  <si>
    <t>طاهر علیدادی</t>
  </si>
  <si>
    <t>مهدی افتخاری، امیر حسین سیدی، محمد رضا عارفی، محمد حسین سیفی، مهدی حق جو، ساجده عارفی، نادیا علیزاده، مسیحا برکستان</t>
  </si>
  <si>
    <t>علی جهانجونیا</t>
  </si>
  <si>
    <t>رضا رشیدی اقدم، نشاط رازانی، علی جهانجونیا</t>
  </si>
  <si>
    <t>1402-03-29</t>
  </si>
  <si>
    <t>علی فرزانه پور</t>
  </si>
  <si>
    <t>رها مزرعه، فرشته بداغ آبادی، عسل باقرآبادی، هستی حاجی علی، ویانا یوسف زاده، دلوین لطفی پور، رزینا مقدم، آنیسا توزنجانی، محمد پارسا دارابی</t>
  </si>
  <si>
    <t>شهروز دل افکار، سحر عبدالملکی، 
رضا جهانگیری، سعید اعتمادی، هومان زمانی، علیرضا نوحه، فرحان شجاعی، محمدحسین بیات، عرشیا چاکرالحسینی، علیرضا خراسانی، سودا باآبرو،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</si>
  <si>
    <t>1401-02-27</t>
  </si>
  <si>
    <t>امین بهروزی</t>
  </si>
  <si>
    <t>(به ترتیب ورود) سهیلا گلستانی، محسن حسنزاده، پردیس شیروانی، محمدرضا نجفی، ایمان دبیری</t>
  </si>
  <si>
    <t>سناتور حسینی</t>
  </si>
  <si>
    <t>(به ترتیب ورود) فیض احمد رضایی، سارا رضایی، محمد قاسمی، بهار مولایی، سناتور حسینی، محمد ناظریه</t>
  </si>
  <si>
    <t>مهنوش شاهباز</t>
  </si>
  <si>
    <t>(به ترتیب ورود) آویشن دودانگه، نگار فلاحتی، مهنوش شاهباز، داوود بیاتی، فرزین ناصری، فائزه آقاجان، فاطمه میری، محمد رضیئی</t>
  </si>
  <si>
    <t>1398-11-29</t>
  </si>
  <si>
    <t>امیرحسین ودادی</t>
  </si>
  <si>
    <t>سهیل کشفی، امیرحسین ودادی، سارینا برزمهری، درسا پنجه بند</t>
  </si>
  <si>
    <t>مازیار سیدی</t>
  </si>
  <si>
    <t>آلن بنت</t>
  </si>
  <si>
    <t>(بهترتیب حروف الفبا) مژده دایی، نغمه فاطمی، نغمه قوانلو، عارفه معماریان</t>
  </si>
  <si>
    <t>جم سنتر - سالن سینما سین</t>
  </si>
  <si>
    <t>محمد حاتمی</t>
  </si>
  <si>
    <t>مریم تاجیک</t>
  </si>
  <si>
    <t>محمد حاتمی، آشا محرابی</t>
  </si>
  <si>
    <t>محسن غلام نژاد</t>
  </si>
  <si>
    <t>اعظم نوروزی، حسین احدی، محسن برزه، رخساره بداغی، امیر یاری، محمد فیض آبادی، محسن غلام نژاد</t>
  </si>
  <si>
    <t>1400-12-18</t>
  </si>
  <si>
    <t>گروه آنآن</t>
  </si>
  <si>
    <t>(به ترتیب ورود به صحنه) فرانک افتاده حال، محمد سعادت، پیمان محمدی، یلدا میرزاخانی، سلمان ذنوبی، سیدحمید سیدصادقی</t>
  </si>
  <si>
    <t>1398-11-10</t>
  </si>
  <si>
    <t>امیر بهاور اکبرپور دهکردی.</t>
  </si>
  <si>
    <t>فراز مهدیان دهکردی</t>
  </si>
  <si>
    <t>مهدی حسام الذاکرین، آرزو عبدالهی، مائده رفیعی</t>
  </si>
  <si>
    <t>1402-05-02</t>
  </si>
  <si>
    <t>هامون سیدی، یوسف محوی، صادق جباری، سیده عاطفه آزموده، محمد اسماعیلی، ملیکا پریشانی، حسین دارابی، موژان ریحانی، حسین قاسمی معبود، نسیم قلهکی، علیرضا کرمی، مهدی معزی، ثمین مقدسی، ریحانه ملارضا، پرهام نوائی و نیما مظاهری</t>
  </si>
  <si>
    <t>مهدی فرهمند</t>
  </si>
  <si>
    <t>پریسا الوندی، امیر محمدی، محسن دیگاری، صبا پیمان، عرفان سیدان، پرنیا مقدم، نسترن بحری، محسن خراسانی، فاطمه ذبیحی، مهدی فرهمند و آرزو افشار</t>
  </si>
  <si>
    <t>1401-07-25</t>
  </si>
  <si>
    <t>عهدیه صالحی</t>
  </si>
  <si>
    <t>ابوالفضل حاجی زاده، نیایش خشایار، فاطمه شریفیان</t>
  </si>
  <si>
    <t>1402-02-01</t>
  </si>
  <si>
    <t>زری ماه طیوری، دانیال محبی</t>
  </si>
  <si>
    <t>امیرحسین حیاتی، ترنج ارشادی</t>
  </si>
  <si>
    <t>امیرحسین حیاتی، فاطمه منصوری، صبا عربی، باهوز خزلزاده</t>
  </si>
  <si>
    <t>امید خاکدان</t>
  </si>
  <si>
    <t>حامد اسلامی</t>
  </si>
  <si>
    <t>بهنام بدیع، انسیه بیاتیان، علیرضا حدادنژاد، امید خاکدان، محمد زارعی، ریحانه صفایی فر، محمدرضا طالبی، اکرم فرجی</t>
  </si>
  <si>
    <t>1398-12-09</t>
  </si>
  <si>
    <t>سپیده دشتی، نیما مهدی اوغلی، سید هادی هاشمی، احمد استیری، عباس محمدی، حدیث عباسی، سونیا نکویی، محمد عرفان عطایی</t>
  </si>
  <si>
    <t>غزاله مهربان یکتا</t>
  </si>
  <si>
    <t>اصغر نوری، غزاله مهربان یکتا</t>
  </si>
  <si>
    <t>(به ترتیب حروف الفبا) رسول احمدی، سحر آخان، حمید باهوش، سپهر جاویدیان، لیلا شاهی، فائقه شلالوند، لیدا وعیدی</t>
  </si>
  <si>
    <t>تینا تابان</t>
  </si>
  <si>
    <t>فدریکو گارسیالورکا</t>
  </si>
  <si>
    <t>(به ترتیب حروف الفبا) علیرضا پاشا، تینا تابان، تانیا حیدری، امیرعطا رامی مقدم، علی زمانی، کمند شیبانی، مرضیه کاهانی، یاسمن کریمی</t>
  </si>
  <si>
    <t>سالن کتابخانه شهید مطهری - شاندرمن</t>
  </si>
  <si>
    <t>مهدی رمضانی</t>
  </si>
  <si>
    <t>سجاد یعقوبی، نوید بی نیاز، رامین خانی</t>
  </si>
  <si>
    <t>1401-12-06</t>
  </si>
  <si>
    <t>حنیف مظفری، احسان شیخی، فاطمه زمانی، نازنین بیوک، رسول احمدی، لاله ذوالفقاری</t>
  </si>
  <si>
    <t>الکساندر دولاپتولیر، ماتیو دولاپورت</t>
  </si>
  <si>
    <t>(به ترتیب ورود) بهادر باستان حق، الهام رضایی، محمد سلیمانی، مهدی ارجمند، شیما زادپور</t>
  </si>
  <si>
    <t>شیما اسدی</t>
  </si>
  <si>
    <t>(به ترتیب  معرفی) مهدی کاسه ساز، فاطیما درستکار، رضا زنده جاه، امیرعلی تقی زاده، سپیده موسوی، امید اولیایی، پگاه الله وردی، محمدرضا (مهرگان) بذرافشان، شهاب درافشدار، سمیه قدیمی، فریبا موسوی، نازنین چهره نگار، ترمه توللی، یلدا دهقانی، محمدرضا اکبری، زهرا بازرگانی، محسن غلامی، محمد امین پارسا، محمدحسین قدیری، هانا رشیدی، سالار قدیمی</t>
  </si>
  <si>
    <t>ژان ژنه</t>
  </si>
  <si>
    <t>(به ترتیب ورود) نگار افراشته، یگانه ملکمحمدی، محمد جوادی، ناهید محبی، فرهاد شریفی، ماهان عبادتی</t>
  </si>
  <si>
    <t>1401-05-13</t>
  </si>
  <si>
    <t>(به ترتیب ورود به صحنه) امیرکاوه آهنین جان، محمدهادی عطایی، ندا مقصودی، سیروس همتی، ناصر علی پاشا (عاشوری)، رضا علوی، امید رهبر، الهه حسینی، رضا دادویی</t>
  </si>
  <si>
    <t>علیرضا ترامشلو</t>
  </si>
  <si>
    <t>عاطفه جدیدالاسلام، الهام فردوسی، سما فردوسی، سحر جویا، مهدیه مقیسه، مینا امامی و سوگند زیدی</t>
  </si>
  <si>
    <t>1401-06-19</t>
  </si>
  <si>
    <t>امید عزیزی</t>
  </si>
  <si>
    <t>برنارد پامرنس</t>
  </si>
  <si>
    <t>علی برقبانی، آرش باغانی، مجید تیزرو، امیر عبادی، فاطمه آزادی، آرش همتی، افشین میرزاخانی، معصومه ابراهیم زاده، صدیقه رئیسی، مریم هاشم زاده، مهرداد صفایی، امیرحسین محمدپور و امید درویش زاده</t>
  </si>
  <si>
    <t>علی اسفندیاری</t>
  </si>
  <si>
    <t>علی اسفندیاری، طاها مهرپور، منصوره عبداللهی، علیرضا عنصری، حمیدرضا طایفه، پردیس باغبانی شهاب، محمد فیروزی، دانیال دانش پرور، علیرضا نعمتی، سمین اسدالله زاده گورابی، شایسته توحیدی راد، رادین قدم شاه</t>
  </si>
  <si>
    <t>(به ترتیب ورود) رامین پرچمی، حامد شیخی، میرنادر مظلومی، علیرضا حاتمی، تینا حاج محمدرضا، شیوا جوانمرد، حمید رضا نقره دوست، محمدرضا دینکو، جلال شهسواری، حسن سیف اللهی نوشهر، امیرحسین ویژگی، فرهاد باقری، حسین شینی جعفری، فاطمه آقائی کیاسرایی، فاطمه سیفی، محمد رسولی، طاها محمدی</t>
  </si>
  <si>
    <t>مارین ون هولک</t>
  </si>
  <si>
    <t>صحرا رمضانیان</t>
  </si>
  <si>
    <t>(به ترتیب حروف الفبا) آوا آکویی، ساناز باقری، پریسا درخشنده، محمد رجبی، الهام سرشت، نجوا صاحب الزمانی، بهزاد کریمی، مرصاد میرغفاری، مجیر معینی</t>
  </si>
  <si>
    <t>محبوبه نورنقدی</t>
  </si>
  <si>
    <t>اندیشه یدی، حمیدرضا کرد، حسین ابراهیمی، مانیا بابایی، متین گروسی، پارسا بهاری، علیرضا محمدی، محبوبه پورنقدی</t>
  </si>
  <si>
    <t>1400-11-24</t>
  </si>
  <si>
    <t>رامین ابوالفتحی</t>
  </si>
  <si>
    <t>مهران اصلانی، مرضیه رسولی، حمیدرضا آقایی، پگاه مشتاقی، مونا حسن زاده، نانت تومه</t>
  </si>
  <si>
    <t>آزاده احمدآبادیها، علی فرجی، علی جهانجونیا</t>
  </si>
  <si>
    <t>جاناتان سیر، هنری شیلدز، هنری لوئیس</t>
  </si>
  <si>
    <t>(به ترتیب حروف الفبا) پرستو الماس، نیکو پشوتن، ایمان حسینی، حسین حسینی، مسعود رمضانی، محمد غلامی مایانی، علی قنبر، محمد واحدی</t>
  </si>
  <si>
    <t>پوریا رضایی</t>
  </si>
  <si>
    <t>محسن رحمانی</t>
  </si>
  <si>
    <t>نفیسه مهری</t>
  </si>
  <si>
    <t>افشین زمانی</t>
  </si>
  <si>
    <t>(به ترتیب ورود)محمدرضا خادمی، هانا کامکار، مهسا ظهیری، نریمان عابدی، آریا تحویلدار، حامد مهدی نژاد، سحر دیده ور، شادی ضیایی، مهسان خدا کرمی، سحرلطفی، امیرحسین نعیمی، افشین زمانی</t>
  </si>
  <si>
    <t>محمدحسین ناصر بخت</t>
  </si>
  <si>
    <t>امین اکبری نسب، خدایار کاشانه، پیمان یاقوتی، فاطمه نصرتی، امیررضا جلالی، کوروش رخشنده پی، امیر حسین حجتی</t>
  </si>
  <si>
    <t>آمفی تئاتر باقرالعلوم - شهرقدس</t>
  </si>
  <si>
    <t>1401-02-25</t>
  </si>
  <si>
    <t>علیرضا رجبی</t>
  </si>
  <si>
    <t>سجاد یزدانی، بهزاد صالحی، مبینا اینانلو، حمیده دمیرچی، نیکا فلاح، متین فلاح، امیرحسین جعفر قلی زاده، سمانه بهرامی، مهدی آرشی، امیر علی حمیدی، حدیث فریدونی، مهدی براری، و علیرضا رجبی</t>
  </si>
  <si>
    <t>مهدی صلاحی</t>
  </si>
  <si>
    <t>(به ترتیب اپیزود) فرشید رحیمی و رومینا ایران پناه، وحید نیکراد و زهرا حسینی، محمدرضا بنکار، زهرانامور، احمدرضا اشراقی و  میثم حشمتی و یاسمن گرکانی</t>
  </si>
  <si>
    <t>لبخند بدیعی</t>
  </si>
  <si>
    <t>ارسطو خوش رزم، علی عامل هاشمی، شیما ملکی</t>
  </si>
  <si>
    <t>1401-05-24</t>
  </si>
  <si>
    <t>نادر فلاح</t>
  </si>
  <si>
    <t>1400-10-05</t>
  </si>
  <si>
    <t>حسام الدین شریفی</t>
  </si>
  <si>
    <t>عباس عبدالله زاده</t>
  </si>
  <si>
    <t>دکتر میثم شمسیان، حسین شهبازی، فرهاد داوریکیا، علی یعقوبی، مرتضی یعقوب پور، ایمان قادری، علی افضلی، مریم حیدرزاده، فاطمه گوشه، ندا اصغرپور، آیناز شجری، آیلار شجری، مانی خضری پور، نسیم داداشی، شقایق زارعی، امیدعلی رحمانی، مجتبی بحران، سارا جواد زاده، بهنام فرزام، الهام خضراییمنش، مرتضی عبدالهی، علیرضا حیدری، فرزانه قاسمی، حنانه سادات میرشاه ولد، الهه اهدائی، آتنا رییس زاده، جهانگیر رمضانی، سیاوش اسدپور، امیر کامرانی، فاطیما حسین پور، باران محمدی، فوژان محمدی، علی تقی پور، رعنا محمدی، امیرحسین امیری، پانیذ صادقی مقدم</t>
  </si>
  <si>
    <t>(به ترتیب ورود) سمیه قاسمی، محمدرضا میرحسینی، کاوه احمدی، آراد نویزی، محمد عبداللهی، بیتا کریمخانی، پوریا دادفر، آرهان اصغری، پریا دادفر، ستاره بوکایی</t>
  </si>
  <si>
    <t>انستیتو تخصصی هنرهای دراماتیک پادمآرت</t>
  </si>
  <si>
    <t>فرید میرطاهری</t>
  </si>
  <si>
    <t>مریم طاهری، سامان سیوس، پوریا خلیلی، مرجان زاغریان</t>
  </si>
  <si>
    <t>فاطمه امینی</t>
  </si>
  <si>
    <t>(به ترتیب الفبا) الینا ابراهیمی، هستی افروز، حلما توحیدی، فاطیما حسین قلی زاده، هستی حسین قلی زاده، نیکا روشن ضمیر، نورا زمانی، آیناز قاسمی، نازنین قزل سفلی، سیاوش گلریز، آوا لطیفی، درسا محمدی نیا، رسپینا محمدزاده، امیرعلی مقیمی</t>
  </si>
  <si>
    <t>1400-08-18</t>
  </si>
  <si>
    <t>(اجراگر) نازنین صنعت کار</t>
  </si>
  <si>
    <t>ریحانه چزانی، امیر برزنجه، شهرزاد حقی، ظفر سهرابی نیا، امیرحسین پوراحمد</t>
  </si>
  <si>
    <t>سیاووش مهندسی</t>
  </si>
  <si>
    <t>فاطیما برازنده، مهدی مهریار</t>
  </si>
  <si>
    <t>حسن اسدی، شقایق فتحی، سیاووش مهندسی، حمید دمیرچی و حامد رحیمی نصر</t>
  </si>
  <si>
    <t>1401-08-19</t>
  </si>
  <si>
    <t>حامی علیزاده</t>
  </si>
  <si>
    <t>امیرحسین عباس زاده، محمدحسین مصلحتی، سمانه همدانی، سارا قاسمی صابر، حسام یگانه، سعید رستمی، محمدرضا فرشاد، فرناز رستمی، شهرزاد هاشمی، صبا تقی پور، معراج سامان لو، ترانه گلشن ایرانپور، بهاره سلیمانی</t>
  </si>
  <si>
    <t>1401-06-09</t>
  </si>
  <si>
    <t>علی طاوسیان</t>
  </si>
  <si>
    <t>علی طاوسیان، امینه محمودی، پریسا کدخدایی</t>
  </si>
  <si>
    <t>میلاد اردوبادی</t>
  </si>
  <si>
    <t>مرجان خاکساری، بهراد سلاح ورزی</t>
  </si>
  <si>
    <t>شایان تارخ</t>
  </si>
  <si>
    <t>شهرام سلطانی</t>
  </si>
  <si>
    <t>مهدی خلیلی نیک، هانیه ثقفی، ثمین رنجبر، دینا جبلی، شایان تارخ</t>
  </si>
  <si>
    <t>1401-06-21</t>
  </si>
  <si>
    <t>شهرزاد پورغلام</t>
  </si>
  <si>
    <t>(به ترتیب ورود) آلفرد تهامی، سمیه احدزاده، نازنین محمدی، محمدجوادمحمدی، حسین مرادی، مرضیه بهاری، یاسمین طباطبائی، سارینا کیان</t>
  </si>
  <si>
    <t>محمدرضا آگاه</t>
  </si>
  <si>
    <t>محمدرضا آگاه (با اقتباسی از متن گئورگ بوشنر)</t>
  </si>
  <si>
    <t>یگانه ماموریان، سعید جاودان، پدرام زمانی، محمد اشکان، میلاد صالح وند، سجاد میر</t>
  </si>
  <si>
    <t>پردیس تئاتر تهران - سالن علی نصیریان</t>
  </si>
  <si>
    <t>آرش رضایی</t>
  </si>
  <si>
    <t>فروزان حسینی، روژدا فرهومند، بهار پوزش پور، حمید محمدی، مهدی روزبهانی</t>
  </si>
  <si>
    <t>یاسمین بنیادی (ریتم چهار چهارم)، پانیذ اسماعیلی (فایقه)، مائده قهرمانی (خون بس)، ریحانه ناجی (دستهای سرطانی، بر اساس نمایشنامه مرده ریگ اثر تهمینه محمدی)</t>
  </si>
  <si>
    <t>یاسمین بنیادی (ریتم چهار چهارم)، محمدرضا غریب زاده (فایقه)، مائده قهرمانی (خون بس)، ریحانه ناجی (دستهای سرطانی، بر اساس نمایشنامه مرده ریگ اثر تهمینه محمدی)</t>
  </si>
  <si>
    <t>یاسمین بنیادی (ریتم چهار چهارم)، پانیذ اسماعیلی (مونودرام فایقه)، سارا یزدانی (خونبس)، ریحانه ناجی (دستهای سرطانی، بر اساس نمایشنامه مرده ریگ اثر تهمینه محمدی)</t>
  </si>
  <si>
    <t>محمد (کوروش) علیزاده، احسان داوودی، علی محمدنژاد، شبنم احدی، ادیب احمدی، ریحانه گودینی، خاطره امینی، علی تیمورفامیان اصل، فواد داوودی، امیرعلی ابراهیمی، نرگس صراف، محمد صدیق، مهدی یاراحمدی، هانیه بهاری، سیاوش مشتاقی، یلدا عباس زاده، گندم محمدی، نیلوفر زینلی، الهه کوه بر</t>
  </si>
  <si>
    <t>زهرا کتیرایی</t>
  </si>
  <si>
    <t>علی پیله ور، یاشار خمسه، آرمین افتخار زاده، نوشین سرکوبی، مرتضی حفار، امیرحسین صفاپور، احمدرضا نورالهی، زهرا کتیرایی، تیرداد حاتمی، شبنم برجی، مرتضی فرجی، امیرحسین سیداسماعیل</t>
  </si>
  <si>
    <t>نرگس محمدی، امین زندگانی، مهران رنجبر، مجید رحمتی، سیدجواد یحیوی، جواد مولانیا، مریم ندایی، آتنا تندرو، سهیل ملکی، فربد غفاری و اکرم محمدی</t>
  </si>
  <si>
    <t>1402-04-28</t>
  </si>
  <si>
    <t>محمود ملک</t>
  </si>
  <si>
    <t>(به ترتیب ورود) محمود ملک، نگین ستاینده، مهریار عیدی، سیمین سخایی، پیام حق نژاد، نرگس غلامی، سارینا کیان، محمود هاشمی</t>
  </si>
  <si>
    <t>جعفر شکرپور</t>
  </si>
  <si>
    <t>حمید قاسم زادگان</t>
  </si>
  <si>
    <t>فرهاد بقائی نیا، فرهاد خلیل نژاد، آرزو مجیدی</t>
  </si>
  <si>
    <t>محمد اسماعیلبیگی</t>
  </si>
  <si>
    <t>(به ترتیب ورود) حسام صلاحی نژاد، یاسمن عیسی زاده، صادق چناری، فاطمه محمدیان، سامان شکیبا، شیرین رضایی، رضا سلیمی، دانیال عزیزی</t>
  </si>
  <si>
    <t>1401-08-09</t>
  </si>
  <si>
    <t>آراز دانش</t>
  </si>
  <si>
    <t>محمد یغمایی</t>
  </si>
  <si>
    <t>عابد روستا، سید مرتضی موسوی، حلما قربانی، سپیده خاک پرور، روناک ارجمند، سماء زارع، شقایق ولدخانی، مریم سعیدا، تداعی سعیدی فر، محیا صبحی، نوید کهریزی، علیرضا صادقی، محمد یغمایی</t>
  </si>
  <si>
    <t>دانشگاه کاشان – تالار آزادی</t>
  </si>
  <si>
    <t>1401-09-29</t>
  </si>
  <si>
    <t>1401-09-11</t>
  </si>
  <si>
    <t>علی فتحعلی، علی خازنی، حمیدرضا لازمی، نگار مقدسی، حمیدرضا جهانگیری، دانیال تفرشی، محمد حاج محمدی، رضا حماطی</t>
  </si>
  <si>
    <t>محمد مهدی قائم پناه</t>
  </si>
  <si>
    <t>حنانه آجرلو، پرنیان اسلامی، ارغوان رشیدی، مهدیار مرصعی، محمدمهدی ایرانی، هلنا پوراسمعیل، نیلوفر عبدالله پور، حنانه حسن آقاخانی، محمد مهدی قائم پناه، مهدی بازیار، رها تیربندی، هستی قائم پناه، سید محمدرضا موسوی، فریما صادقی، فاطمه عیوضی، حنانه ملکوتی خواه، مبینا اهوار، سما سلطانی، مبینا حمزه پور، امیر مهری</t>
  </si>
  <si>
    <t>پارسا گلدار</t>
  </si>
  <si>
    <t>هاینر مولر</t>
  </si>
  <si>
    <t>بردیا رحمتی، نازنین ذوالفقاری، آیت بی غم، هامون خان محمدی، محمدرضا خانگلی، میلاد بهاری، علیرضا دهقانی، یوسف مقدم، علی ایزدی، محمدحسن خرم</t>
  </si>
  <si>
    <t>بندر امام خمینی، سالن مهر</t>
  </si>
  <si>
    <t>مهدی حیدری</t>
  </si>
  <si>
    <t>مهرداد کورش نیا</t>
  </si>
  <si>
    <t>فاطمه یزدانی، علیرضا مساعد نژاد، محمد امین کریمی، رضا عبادی</t>
  </si>
  <si>
    <t>مرتضی فروزان فر</t>
  </si>
  <si>
    <t>مرتضی فروزان فر، سهیل سلمانی، فاطمه نصرتی، سعید عسگرزاده، رضا جلایری، بهرنگ زهره وند، بهاره همایونفر، سحر باقرآبادی، بهار احمدی، ابوالفضل خسروجردی، سارا بهرامی، بردیا باقری، فاطمه اکبری، ریحانه قانع، فرناز طیبی، مهدیس سعیدی، رسول بابایی، نسیم حقیقت، مبینا شادمانی، سمیرا محبوب، بیتا رفیع زاده، مریم خیری، مهناز جلالی، یوسف مقدم، زهرا محسنی، شکوفه مختاری، امیرحسین ابوطالبی، فرهاد مرادی نژاد، تیام مولوی، رها مقدم، امیرکیان امین، باران عینی</t>
  </si>
  <si>
    <t>علی دل پیشه، فاطمه الطافی</t>
  </si>
  <si>
    <t>حامد دلیریان</t>
  </si>
  <si>
    <t>آن وولر</t>
  </si>
  <si>
    <t>مارکا بهرامی</t>
  </si>
  <si>
    <t>1399-05-10</t>
  </si>
  <si>
    <t>بهنود خان قائم مقام خاندان محمدی پور</t>
  </si>
  <si>
    <t>علی خان بهروز نسب</t>
  </si>
  <si>
    <t>فهیمه خانوم صبیه حاج آقا معین، مهیار خان احمدی الممالک، مجید الدوله اقبال السلطنه، شروین برکت، یاسمن بانو حسینی شیرازی، وحید از طایفه ممیزی های مقیم تهران، امیر الوزرا رئیسیان الرعایا، سروین سیف، مرمر بانو معتمدی اصل دانا، غزال الملوک ابوذری</t>
  </si>
  <si>
    <t>1398-11-20</t>
  </si>
  <si>
    <t>سیما شیبانی</t>
  </si>
  <si>
    <t>پویا پیرحسینلو</t>
  </si>
  <si>
    <t>(به ترتیب ورود) یحیی گلنسایی، مهدخت مولایی، نفیسه زارع، کیوان ساکت اف، داود پژمانفر، معصومه بیگی</t>
  </si>
  <si>
    <t>(به ترتیب الفبا) بهروز پناهنده، کهبد تاراج، ساناز روشنی، الهه شهپرست، حسام الدین مختاری، هدا ناصح، مریم ندایی</t>
  </si>
  <si>
    <t>1399-06-03</t>
  </si>
  <si>
    <t>1401-02-18</t>
  </si>
  <si>
    <t>سجاد رضایی</t>
  </si>
  <si>
    <t>(به ترتیب ورود) مرجان قمری، لبخند بدیعی، مازیار سیدی</t>
  </si>
  <si>
    <t>مهدی ارجمند</t>
  </si>
  <si>
    <t>(به ترتیب کلام) مهدی ارجمند، علیرضا اخوان، منصور رضایی، الهام رضایی، سعید پارسا</t>
  </si>
  <si>
    <t>محسن افشار، مانلی حسین پور، سروش طاهری، شهرام مسعودی، اتابک نادری، نسرین نکیسا</t>
  </si>
  <si>
    <t>امیر کامران</t>
  </si>
  <si>
    <t>معین شاه چراغی</t>
  </si>
  <si>
    <t>(به ترتیب ورود) نوید نصرتی، وحید خوش اقبال، نجلا نظریان، مریم ظروفیان</t>
  </si>
  <si>
    <t>حمیدرضاباباخانی، پاربی زاریانس، نسترن خزایی، رامین صبوری، نگاراسرافیلی، آرمان کرشیوز قاضیانی، حمیدرضاحیدری، رضاامیری، یاسمن ملکی</t>
  </si>
  <si>
    <t>1399-12-20</t>
  </si>
  <si>
    <t>آوا کوچکی، ارغوان رشیدی، امیر علی کبودوند، مهشاد اخلاقی، حنانه آقاخانی، مهدی بازیار، علیرضا نامینی، فاطمه عیوضی، مهسا مهدیپناه، امیرحسین داودی، زهرا امید، هستی قائم پناه، ثریا حسینی، فریما صادقی، مریم عزتی، حسین سلطان محمدی، محمد مهدی قائم پناه</t>
  </si>
  <si>
    <t>(به ترتیب حروف الفبا) پویا اردشیری، زهره افتخاریان، ستایش امینی، شادی حیرت پور، علی پناهی، میلاد رستمی، امیررضا شاویسی، زینب فاطمی نژاد، امین فرمانیان، صادق گلریز، نازنین محمدی، ملیکا معماری، سهیلا مفیدی، امیرعلی محمدزاده</t>
  </si>
  <si>
    <t>1401-01-15</t>
  </si>
  <si>
    <t>علی قاجاری، محمدرضا شریفی علیایی، علیرضا شریفی، مجید رمضان نسب، پونه قدیری، محمدامین پازوکی، هانیه بذرافشان، فاطمه موسوی، آرزو صرّاف رضائی، امیرحسین اسفندیاری، لیلا بروفه، المیرا حسنلو، فروغ درویش­زاد، سوزان عمران، پارساجوهری فرد، شکیبا رنجبر، مریم موسوی، کوثر نعمتی، محمد محنانی، آوا مهماندوست، رحمان اسماعیلی، پریسا حسین زاده، مبینا رحیمی، دالیا خندانی، فاطمه زهرا آقایی، شایان میرحسینی، مهران عبدی، پیام­ زمانی، پریناز بور، نرگس میرفتاح، ابوالفضل شاکری، افسانه زنگنه، فاطمه شیخلر، امیررضا محمدزاده، لیلا روشن فکر، فاطمه کریمی، عارف سپاس دار، شمیم محمدی و علی نعمتی</t>
  </si>
  <si>
    <t>الهام صحت</t>
  </si>
  <si>
    <t>تام لانوی</t>
  </si>
  <si>
    <t>(به ترتیب ورود به صحنه) علی امیر خلیلی، تیام موسوی، حامد عابدی، سپهر گندمی، آذین فولادوند، هلیا رضوی، دلسا کریم زاده، کیانوش جواداسلامی، مارال عبدالحسین پور، برهان عراقی، عرفان توانا</t>
  </si>
  <si>
    <t>1400-08-27</t>
  </si>
  <si>
    <t>سینا ستوده، مهدی کیا</t>
  </si>
  <si>
    <t>(بازیگران به ترتیب ورود) علیرضا رشوند، فاطمه قربانزاده، فاطمه موسوی، هدیه سارمه، سینا ستوده، مهدی کیا، آرتین سلطانلو، محدثه قلعه</t>
  </si>
  <si>
    <t>تینا بخشی</t>
  </si>
  <si>
    <t>سارا سیبی، ساغر طاهرپور، رضا امانلو</t>
  </si>
  <si>
    <t>1400-09-03</t>
  </si>
  <si>
    <t>ملیکا زاهدی</t>
  </si>
  <si>
    <t>پرنیا سراج، بهرام مصطفایی، ملیکا زاهدی، مهوش زهدی، محمد مرادی، امیرحسین محمدی</t>
  </si>
  <si>
    <t>محمد گرجی، امیر طایفه، مازیار زحمتکش، آویشن صدقی، آرش امیری، نازنین نادری، علیرضا گل زاده، یگانه میلابی، مهشید آبیار، علیرضا مهابادی</t>
  </si>
  <si>
    <t>کوروش شاهونه</t>
  </si>
  <si>
    <t>کوروش شاهونه، حمیدرضا اسدزاده</t>
  </si>
  <si>
    <t>ابراهیم نائیج، علی حسین زاده، علیرضا کرمی و ریحانه رضی</t>
  </si>
  <si>
    <t>1398-10-13</t>
  </si>
  <si>
    <t>علیرضا همتیان</t>
  </si>
  <si>
    <t>پریسا دوستی، نازنین حسنی، پارسا فریدونی، رضا یاوری</t>
  </si>
  <si>
    <t>حسین الیاسی</t>
  </si>
  <si>
    <t>سمن شعرباف، مسعود هزارخانی، بهار احمدی، علی شیرپی، نگین رشیدی</t>
  </si>
  <si>
    <t>1401-11-17</t>
  </si>
  <si>
    <t>رضا صابری</t>
  </si>
  <si>
    <t>حامد یزدی، علیرضا ضیا چمنی، مرتضی ملتجی، زهره مرادی، کریم جشنی، سعید ملک نژاد، محمد طهانی، محمد علوی، مجتبی غفوری، نرگس نوروزی، عطیه سجادی، علی صدایی، محمد مهدی حسینی، ایمان سیدی، علی ضابطیان، صالح غلامی، مهدی باقری، حبیب جوانبخت، صادق نظامی</t>
  </si>
  <si>
    <t>کیانوش جواداسلامی</t>
  </si>
  <si>
    <t>(به ترتیب ورود به صحنه) امیر حسن بیک، کیانوش جواداسلامی، آرمیتا قبادی، محمد امیر حسنگانی، نیما تبریزی، مسعود خانی، حنانه جعفری نژاد، مریم قحطانیان</t>
  </si>
  <si>
    <t>(به ترتیب الفبا) مهدی اذعانی، مریم تولائی، هانیه رحیمی، پوریا فرجی، نگار عزیزی، مروارید کفائی، علی مربی</t>
  </si>
  <si>
    <t>1402-02-13</t>
  </si>
  <si>
    <t>احسان جانمی</t>
  </si>
  <si>
    <t>رسول هنرمند، الهام رضایی، مائده وحید، رزیتا کروندی، امین پناهی، محسن احمدی نیک، حسین نصر اصفهانی، محمدجواد پاک نژاد</t>
  </si>
  <si>
    <t>(به ترتیب حروف الفبا) فرزاد تجلی، دلارام ترکی، محسن حسنزاده، نازنین حشمدار، امیررضا حشمی پور، مهدی رحیمی سده، ایمان سلگی، حسین عارف، خاطره فاتح، صالح لواسانی، محمد نیازی، علی هیهاوند</t>
  </si>
  <si>
    <t>توحید معصومی</t>
  </si>
  <si>
    <t>(به ترتیب ورود) شکوفه حیدریان، فهیمه معین، بهار زندی، سعید نبوی</t>
  </si>
  <si>
    <t>مجید اقبالی</t>
  </si>
  <si>
    <t>ژان کلود کری یر</t>
  </si>
  <si>
    <t>(به ترتیب حروف الفبا) امیر آقاجان، رضا حجتی، شاهین زرگر، نیوشا شهریوری، میلاد صفوی، تیماه کلاته</t>
  </si>
  <si>
    <t>جواد صداقت، الهام ابنی</t>
  </si>
  <si>
    <t>1401-07-22</t>
  </si>
  <si>
    <t>محسن میرزاخانی (با الهام از نمایشنامه هنر اثر یاسمینا رضا ترجمه علیرضا کوشک جلالی)</t>
  </si>
  <si>
    <t>(به ترتیب حروف الفبا) فرید رحمتی، محسن رضوی نیا، میلاد کرباسی</t>
  </si>
  <si>
    <t>رضا رشادت</t>
  </si>
  <si>
    <t>الهه مجلسی</t>
  </si>
  <si>
    <t>گلنوش قهرمانی، کیوان محمدی</t>
  </si>
  <si>
    <t>سالن شهید عربیان شهرستان آران و بیدگل</t>
  </si>
  <si>
    <t>دانیال رحیمی کاشانی، مصطفی ملتیان</t>
  </si>
  <si>
    <t>رقیه بصیر</t>
  </si>
  <si>
    <t>رقیه بصیر، علی اکبر صمدیان، سمیرا خصافی، سینا توان، امیرمحمد احمدجو</t>
  </si>
  <si>
    <t>سیدرضا حسینی</t>
  </si>
  <si>
    <t>(به ترتیب ورود) امیر عبادی، مجید تیزرو، مصطفی احدی، محمدرضا دینکو، منزه زارع، شکیبا آدینه، تینا صلاحی نژاد، حمیده دهقان نیری</t>
  </si>
  <si>
    <t>احسان ناجی</t>
  </si>
  <si>
    <t>فردریک دورنمات</t>
  </si>
  <si>
    <t>شهرام عبدلی، حمید مهیندوست، رامین پرچمی، پوریا عبدی، علی عطایی حور، سارا مداح</t>
  </si>
  <si>
    <t>1402-08-21</t>
  </si>
  <si>
    <t>محمد صدیق، امیرعلی ابراهیمی، هانیه بهاری، خاطره امینی، علی تیمورفامیان اصل، نرگس صراف، محمد (کوروش) علیزاده، ادیب احمدی، علی محمدنژاد، مهرزاد شربتخواری، ریحانه گودینی، شبنم احدی</t>
  </si>
  <si>
    <t>فرهنگسرای بهمن، سالن شهید آوینی</t>
  </si>
  <si>
    <t>مسعود اسماعیلی</t>
  </si>
  <si>
    <t>محمد علوی نهاد</t>
  </si>
  <si>
    <t>محسن تقی زاده، امیرحسین آلادپوش</t>
  </si>
  <si>
    <t>محمد نادری دره کتی</t>
  </si>
  <si>
    <t>پریسا کد خدایی، علی قربانی، سهیلا اسماعیلی، مصطفی فرهادی، سما جهاندار، نازنین امینی، زهرا رهبری، افسانه غوغایی، رزا راستی، سارا عسگری، رهاورد عسکری، روژان کیانی و مجید بدیع زاده</t>
  </si>
  <si>
    <t>1401-02-13</t>
  </si>
  <si>
    <t>(بازینویس) باقر سروش</t>
  </si>
  <si>
    <t>(به ترتیب الفبا) مهران امام بخش، شهروز دل افکار، احسان رضوانی، سونیا سرلک، رامین سیاردشتی، کوروش شاهونه، الهه شهپرست، یعقوب صباحی، حمید عاشوری، ایمان عبدی، محمد قلندری، محمد نادری، وحید نفر</t>
  </si>
  <si>
    <t>نیکا ملک مطیعی</t>
  </si>
  <si>
    <t>(به ترتیب حروف الفبا) سهیل پرهیزکار، حامد سنجرانی، علیرضا عباسی مقدم طرقبه، محمد عبداللهی، فاطمه محمدی (فمل)، امیرپوریا مسعودنیا، نیکا ملک مطیعی، محمدرضا میرحسینی، ابوالفضل نوری</t>
  </si>
  <si>
    <t>(به ترتیب ورود) محمدرضا خادمی، هانا کامکار، مهسا ظهیری، نریمان عابدی، آریا تحویلدار، حامد مهدی نژاد، سحر دیده ور، حمیدرضا محمدی، شادی ضیایی، نیلوفر شیخ، نسیم شجاعی، افشین زمانی</t>
  </si>
  <si>
    <t>حسین میرزاییان، سپیده صباغ، میثم اکبری، فایضه کامیاب، هیوا سیفی زاده، صدف بهشتی، بیتا بیگی، امیرکوروش اعرابی، علیرضا شفایی، ملینا فرجی، کیارش بیات، طراح پوستر</t>
  </si>
  <si>
    <t>سحر اسدی، حسام حسینی، حامد صالح پور، مسعود خطیبی، مینا حسنی، ابوالفضل خسروجردی، سجاد اکبرزاده، محمد چیت سازی (نادر دلشاه) (نادر دلشاه)</t>
  </si>
  <si>
    <t>بورژین عبدالرزاقی</t>
  </si>
  <si>
    <t>(به ترتیب ورود) رضا مولایی، الیکا عبدالرزاقی، احمد ساعتچیان، فرنوش مرواری، علی جدیدی</t>
  </si>
  <si>
    <t>افشین هاشمی</t>
  </si>
  <si>
    <t>حمید غیاث، رضا پارسا</t>
  </si>
  <si>
    <t>(به ترتیب حروف الفبا) فرهاد اتقیایی، نوشین اعتماد، سحر خطیبی، علی خوانساری، راحیل زمانی، محمود زهرهوند، المیرا صارمی، پریسا صباغ، آناوا صدرهاشمی، نیما طیبی، آفرین فاضلی، فرید فرمانبرداری، فائزه قاسمی، کسرا کندری، گلنسا محمدحسنی، سامان مظلومی</t>
  </si>
  <si>
    <t>مانی محمدی دنگلانی</t>
  </si>
  <si>
    <t>نازنین شهسواری، یگانه سادات جوادزاده، امیرمحمد مفرد، ارمیا محسنی مفیدی، سیدامیرحسین حسینی، عرشیا درزی، علیرضا لطفی، اهورا برات زاده، رویا خانقلی، یگانه رستم زاده، شایان ندیم کار، غزال پاسبانی، کارین سادات ضیایی موسوی، الهام ورنیک، مهرانه تمسکنی، کوثر حسین نژاد، پانیذ اسلامی</t>
  </si>
  <si>
    <t>یوسف محمدی</t>
  </si>
  <si>
    <t>یوسف محمدی، علی ایزدی، امیرحسین سیداسماعیل، مریم جمالی، امین ظریف نگر، پریسا غیاثوند، نازنین امیری</t>
  </si>
  <si>
    <t>علی کرسی زر</t>
  </si>
  <si>
    <t>علی کرسی زر، امیر ابراهیم زاده</t>
  </si>
  <si>
    <t>سپهر طهرانچی، مریم زارعی، مهرنوش حاجی خانی، احسان قره داغی، مازیار سیدین، سپیده کاشی ها، سعید کرمی، غزاله توده زعیم</t>
  </si>
  <si>
    <t>زریبار کریمی</t>
  </si>
  <si>
    <t>علیرضا اسمی، زریبارکریمی، روشنک خسروی، محبوبه کبیر، شهلا نسیمی</t>
  </si>
  <si>
    <t>احسان رضوانی، سحر سالک</t>
  </si>
  <si>
    <t>1400-08-25</t>
  </si>
  <si>
    <t>بهنام نوروزی</t>
  </si>
  <si>
    <t>(بر اساس اپیزود) (اپیزود یک) اسماعیل کیان، فاطمه زمانی، الناز غیاثی، تایماز بختیاری، حسانه رحیمی، (اپیزود دو) علیرضا نیک خواه، نگار لطفی، ملیکا خسروی، امین علی اکبر، دانیال سوری، (اپیزود سه) محمدرضا حسینی، مریم  فرجاد، کیوان کاظمی خواه، حدیثه حیدری</t>
  </si>
  <si>
    <t>فرناز معطری</t>
  </si>
  <si>
    <t>1402-02-12</t>
  </si>
  <si>
    <t>مجتبی لاله زاری</t>
  </si>
  <si>
    <t>سیدمرتضی فخرموسوی، سعید خبیری، امین دلپذیر، طاهره هنزایی، مجتبی لاله زاری</t>
  </si>
  <si>
    <t>اکبر سبیلان</t>
  </si>
  <si>
    <t>ابراهیم عادل نیا</t>
  </si>
  <si>
    <t>هرمینه بارسنجی، مجتبی غفاری، محمد خیرخواه، مهدی امیر ارسلانی، اکبر سبیلان</t>
  </si>
  <si>
    <t>پیمان میناوند</t>
  </si>
  <si>
    <t>(به ترتیب ورود به صحنه) روناک برخوردار، آرمینا عباس زاده، هومن بنایی، علیرضا داوری، عاطفه رحمانپور، متین اوجانی، دنیا مستعلمی، یوسف فروتن</t>
  </si>
  <si>
    <t>رسول صوری</t>
  </si>
  <si>
    <t>(به ترتیب ورود به صحنه) مهسا برخوردار، سبحان بابائی، حسین کرمی، زهره پناهی، محمد جوادی، علیرضا نیکخواه</t>
  </si>
  <si>
    <t>محمود ناظری</t>
  </si>
  <si>
    <t>مجتبی گوهرخای، حمیدرضا حسینعلی</t>
  </si>
  <si>
    <t>نگین خلیل زاده</t>
  </si>
  <si>
    <t>(به ترتیب حروف الفبا) حدیث بیابانگرد، نگین خلیل زاده، فرهنگ روشنی، محمد شعبانپور، نیوشا شهیدیان، عطیه علوی، شیده غفاریان، نگین فیروز منش، سارینا لواسانی، فرنوش مرواری، پرستو مهاجر، علیرضا نجفی</t>
  </si>
  <si>
    <t>رضا محمدخانی، نیکان راست قلم، علیرضا حقپرست، سمیرا نجاری، علی چاقوچی، یگانه رجبی، برسام نوری اسکویی، مرتضی یوسفی</t>
  </si>
  <si>
    <t>سودابه فضایلی</t>
  </si>
  <si>
    <t>(به ترتیب الفبا) نازنینزهرا برومند، محمد پسندیدهکار، ژاله رازبان صفا، آزیتا رحیمی، میلاد صفوی، مونا کریمی، شاهین عبدیان، غزل منعمی، یاسمن مومنی، مهناز میرجلیلی، ماهان هدایت</t>
  </si>
  <si>
    <t>سالن شمس آرا - سبزوار</t>
  </si>
  <si>
    <t>1402-02-28</t>
  </si>
  <si>
    <t>مصطفی لعلیان</t>
  </si>
  <si>
    <t>اکبر بروجردی، احسان افچنگی، زهره علوی، سارا قلعه نویی، فائزه گوهری پور، صبا شمسایی</t>
  </si>
  <si>
    <t>محمود حیدری</t>
  </si>
  <si>
    <t>سها پورمهدی، محمد موسی خانی، سبحان صفری، نغمه رهگذر، صبا نظرآهاری، نینا صدیقی</t>
  </si>
  <si>
    <t>مهدی وزوایی</t>
  </si>
  <si>
    <t>امیر عبادی، مهدی وزوایی، محمدعلی شانه ای، فرزاد سهرابی، هادی فلاح، مهدی لوئیا، سعید سخندانی، مرجان دانشور، فاطمه محمدزاده، مهدی رضایی</t>
  </si>
  <si>
    <t>حامد شیخی، تینا سلاسل، مهدیه رضایی، الهام اصغری، نیکی میرصادقی، پیمان رجبی و امیررضا باباولیان</t>
  </si>
  <si>
    <t>01:29:00</t>
  </si>
  <si>
    <t>سهند برادران، آیدا آقاخانی، شیده غفاریان، نازنین دلشادیان، حسین حیاتی، فرتاش دوراندیش، شبنم جعفرپیشه، سلاله ارغوان، امیرحسین دانشجو، نوید محسنیان، مهدی افراسته، علی قندالی، کاوه اکبری، مهدی اشرافی</t>
  </si>
  <si>
    <t>1401-10-30</t>
  </si>
  <si>
    <t>اکبر قهرمانی</t>
  </si>
  <si>
    <t>علیرضا سعیدی کیاسری</t>
  </si>
  <si>
    <t>فریده دریامج (به یاد صدیقه کیانفر)</t>
  </si>
  <si>
    <t>ارشیا نجیمی</t>
  </si>
  <si>
    <t>ارشیا نجیمی، شادمهر محمدی، محمدرضا خلج، سپیده فضل یاب، رضا شاهی، نوشین مینایی فرد، میلاد شریف، رها خورسندیان، حامد خوشحال</t>
  </si>
  <si>
    <t>1401-10-25</t>
  </si>
  <si>
    <t>مژگان جودکی</t>
  </si>
  <si>
    <t>سیدسعید صفری</t>
  </si>
  <si>
    <t>فریبا ترکاشوند، سعید رضایی، سمیه نوروز رجبی، زهرا میرزایی، میثم واحدی، آنیتا قجری (نرسسیان)، علی دلاوری، سید مجید حسینی</t>
  </si>
  <si>
    <t>سیدمهدی رضویان</t>
  </si>
  <si>
    <t>مبین آذربایجانی، علیرضا آبکار، آلا شکری، مینا اینانلو، فاطمه بشارت، سما امینی، سجاد باقری نژاد، لیدا حسین زاده، کیمیا جولای، سینا حسامی فر، مهدیه جامی، امیر خدابنده، محمد حسینی بای، آوا زیب، محدثه رضایی، نسرین سزاوار، نرگس صفری، زهرا شهرکی، آرمیتا مخدومی مقدم، زهرا شکریانی، پرستو نصیری، فاطمه یازرلو، پریسا غیاثوند، آرزو موسوی، هانیه یوسفی، امیرحسین فولادساز</t>
  </si>
  <si>
    <t>میثم کیان</t>
  </si>
  <si>
    <t>ریچارد تاش</t>
  </si>
  <si>
    <t>عبدالرضا آژ، دلاور خسرونیا، میلاد ترابی، رها شیرانی، سعید افشار و علی همدانی رجاء</t>
  </si>
  <si>
    <t>شل سیلورستاین</t>
  </si>
  <si>
    <t>بهادر باستان حق، نسترن ابراهیم زاده، الناز شاهوردی، رابعه نیک طلب</t>
  </si>
  <si>
    <t>مهسا حکیمی، آرین ایمانی، آرتمیز مشایخی</t>
  </si>
  <si>
    <t>1402-01-31</t>
  </si>
  <si>
    <t>محمدحسن جباری</t>
  </si>
  <si>
    <t>علیرضا استادی، میرنادر مظلومی، احسان شیخی کتایون سلطانی، نیلوفر داوری، خدیجه رنجکش، امین کاشفی، نازنین نادری، شادی شکیبا، محمدرضا حبیبی، نفیسه نگهداری، فرناز نجفی، آترینا زرکانی، دیانا نوروزی</t>
  </si>
  <si>
    <t>1400-04-10</t>
  </si>
  <si>
    <t>جمال رنجبرزاده</t>
  </si>
  <si>
    <t>جمال رنجبرزاده، مجید کوچکی، جواد رنجبرزاده، حامد نساج بخارایی، سیدعلی پرپنچی، زهرا محمدی، محسن محمدی، مائده کریمی، رویا یکه فلاح، شیوا سلیمی، مصطفی صادقی، متین نوروستا</t>
  </si>
  <si>
    <t>سیدامیر حسینی</t>
  </si>
  <si>
    <t>سعید آلبوعبادی</t>
  </si>
  <si>
    <t>محمدرضالوانی و نسیم باقریان</t>
  </si>
  <si>
    <t>محمود جامه بزرگ</t>
  </si>
  <si>
    <t>حامد خسروی، امیرحسین اسکندری، المیرا حاجوی، سیروس معصومی، حسین تاجیک، مهدی شاهی، کامکار گرگانی، زینب ایزدپناه، شیما اسفندیاری</t>
  </si>
  <si>
    <t>حامد شیخی، سمیرا کریمی</t>
  </si>
  <si>
    <t>1401-04-25</t>
  </si>
  <si>
    <t>امیر گرجی، امیرحسین پشتواره</t>
  </si>
  <si>
    <t>(به ترتیب ورود) فریبرز جوادی، سارا یوسفی، علیرضا شکری، شبنم شهبازی، مهتاب مرادی، سماء عباسی</t>
  </si>
  <si>
    <t>بوتیک تئاتر ایران - سالن شماره ۴</t>
  </si>
  <si>
    <t>سپیده شعبان</t>
  </si>
  <si>
    <t>امید اله کوهی، رضا احدی، مریم کاظمی، مسعود کیان، فراز شیرانی، نازنین مسکنی، کوثر خان، محیا بیگ زاده، علیرضا شیخ دارانی، روزبه جعفری، مرتضی اسدی، سپیده شعبان</t>
  </si>
  <si>
    <t>غزل سلامی زاده</t>
  </si>
  <si>
    <t>رضا محمدی، ملیکا هاشمی، مبینا علیزاده، امیرپوریا مسعودنیا، امیرحسین سیداسماعیل، امین علی اکبر، احمد شاهوار، مهدی دهقانی، امیر نسیم دوست، مهسا معدن پیشه، ایمان نیکخو، علی ایزدی، صدف علی نژاد، باران حسین پور، آیدا مازندرانی، آیدا پورموسی.</t>
  </si>
  <si>
    <t>هادی ملکیان</t>
  </si>
  <si>
    <t>اصغر خلیلی</t>
  </si>
  <si>
    <t>هادی ملکیان، المیرا حسینی، میکائیل دارابی، سپهر ادوایی، دانیال نجفی، محمد علیایی</t>
  </si>
  <si>
    <t>1401-11-24</t>
  </si>
  <si>
    <t>سیاوش مهندسی</t>
  </si>
  <si>
    <t>آرزو حاتمی، مهدیه محمدی، طاها شادفر، سیاوش مهندسی</t>
  </si>
  <si>
    <t>علی شوقیان</t>
  </si>
  <si>
    <t>مریم محمد خانی و حسنا میرایی</t>
  </si>
  <si>
    <t>سالن آمفی تئاتر اداره ارشاد منوجان</t>
  </si>
  <si>
    <t>سرای محله سعادت آباد</t>
  </si>
  <si>
    <t>1399-08-02</t>
  </si>
  <si>
    <t>امیر احسان پایدار</t>
  </si>
  <si>
    <t>صبا ملکی</t>
  </si>
  <si>
    <t>امیر احسان پایدار، سحر زنجانی، آرش شهبازی، محمدرضا شجاع، مارال محمدی، شکیبا خلج، محمد ملایی</t>
  </si>
  <si>
    <t>مریم باقری</t>
  </si>
  <si>
    <t>نیاز اسماعیل پور</t>
  </si>
  <si>
    <t>(به ترتیب حروف الفبا) وحید آقاپور، الهه پورجمشید، نادیا فرجی، بهداد قادری، آیلار نوشهری، شهناز نوروزی</t>
  </si>
  <si>
    <t>ابوالفضل قادری</t>
  </si>
  <si>
    <t>علیرضا خوشنویس راد، کامیار شریفیان، الیاس چناقچی، متین یزدان مهر، فرنازحقی، احمد تات، حسین کوهی</t>
  </si>
  <si>
    <t>1400-07-21</t>
  </si>
  <si>
    <t>تیری مونیه</t>
  </si>
  <si>
    <t>طاهر رجبی، کژال شاهی، آیدا سرمست، فرنگیس وزیری، امیر محمدی، حمیدرضا دولتآبادی، جابر حسینی</t>
  </si>
  <si>
    <t>مسعود صدیقی</t>
  </si>
  <si>
    <t>حسین شهرابی، امیرحسین سوری، یونس نیکو، احمدرضا هیبتی، حدیث هاشمی، فائزه منعمیپور، مهران ایمانی پور</t>
  </si>
  <si>
    <t>محمد درزی کاسمانی</t>
  </si>
  <si>
    <t>پیمان ابراهیمی، مریم گیلانی، احد شکری، نیما محمدی، شهربانو حسینی، زینب جورسرائی</t>
  </si>
  <si>
    <t>(به ترتیب حروف الفبا) شهرزاد احمدی، تینا اسدی، سودا باآبرو، مینا باوقار، محمدامین پهلوان، اسحاق ثبوت، مریم حسنلو، پیام حق نژاد، حمیدرضا دادار، فرخنده دریایی، میلاد دوران، سمانه رستمی، صابر رضایی، امیرحسین ریحانی، ماهان زارعی، سیمین سخایی، فرحان شجاعی، مهدیه شکوری، علیرضا عباسی مقدم طرقبه، سحر عبدالملکی، فرانک عبدی، مسعود عرب خزائلی، حنانه علیپور، نرگس غلامی، پرستو غلامی، مجید قادری، امیرحسین قلی پور، فهیمه موسوی نیارکی، ابوذر موسوی بیدلی، غزاله مهرابی، حدیثه محموداف، نیکا ملک مطیعی، ایمان نجفی، محمود هاشمی، امید هاشمی، محمدحسین معتمدی</t>
  </si>
  <si>
    <t>1398-10-22</t>
  </si>
  <si>
    <t>احمد بیستونی</t>
  </si>
  <si>
    <t>محمدرسول حسینخانی، احمد بیستونی، محدثه مرادی، سجاد قادریان همت</t>
  </si>
  <si>
    <t>امین باقری</t>
  </si>
  <si>
    <t>سپیده خمسه نژاد</t>
  </si>
  <si>
    <t>محمدرضا مهدیان، علی رضا فکوریان، حسین روحی، جلال ذبیحی، علی نیک رفتار، مصطفی جعفری، سوده رستمی، زهرا خطیر، محنا مدانلو، معصومه برزگر، زینب رضایی، رقیه آروبی، مریم علیزاده، نرجس قدبنان، هانیه بابایی، سارا مسلمی، نرجس ساداتی، نیایش بادله، فاطیما اکبرزاده، یاسین شوپای، فاطمه سرپرست، هادی سراب</t>
  </si>
  <si>
    <t>فریاد جودی، نازنین دیده ور، علی طاوسیان</t>
  </si>
  <si>
    <t>آرمان شهبازی</t>
  </si>
  <si>
    <t>ایمان صدیق</t>
  </si>
  <si>
    <t>سعید چنگیزیان، مهدی صناعتی (در سانسهایی که سعید چنگیزیان بازی ندارد)، صبا گرگین پور، دلسا کریم زاده، امیر شاه علی، ابوالفضل وزیری، سیدعماد حسینی، پرسا مقدس، دیبا دهقانی</t>
  </si>
  <si>
    <t>1402-01-18</t>
  </si>
  <si>
    <t>محمد جواد عباسی، مهدی پولادی، محمود چربدست، محمد رسول رسولی، نیما حسینی نژاد، حسان صدیقی، مهدی رضایی قیری، بهنام مرادی قیری، محمدرضا حیدری، نیما عسکری مقدم، هادی محیط قیری</t>
  </si>
  <si>
    <t>میلاد رخش بهار</t>
  </si>
  <si>
    <t>احسان نوروزی</t>
  </si>
  <si>
    <t>فرانک حسینی، محمدرضا آبانگاه، حامد مقدسی، پویا ارام، علیرضا داوودوندی، علیرضا زیوری</t>
  </si>
  <si>
    <t>فرشاد جعفری</t>
  </si>
  <si>
    <t>مهدی شاهدی</t>
  </si>
  <si>
    <t>قاسم عبداللهی</t>
  </si>
  <si>
    <t>ژان میشل ریب</t>
  </si>
  <si>
    <t>الهه ذوالقدر، طاها جولائی، فریده داداشی، رضا ملازاده، مهدی هاشم آبادی، آراز خلجی، مصطفی اعتدادی، مهدیه محمودیان کرامت، علیرضا تاجیک، عارف صیدلی، امیرحسین محمدیاری، هانیه رمضانی</t>
  </si>
  <si>
    <t>1402-02-26</t>
  </si>
  <si>
    <t>(به ترتیب ورود) مریم محمدوند، فرزان برومند، حمیدرضا محمدحسینی، علی اصغری، سهیل قسیمی، فرهان عزیزی، احمد خان محمدزاده، فران جوادی، مجتبی ترکمان، پرنیا عسکری، اصغر نجف پور، عسل حمیدیان، پریسا قربانی، مصطفی امانی گرمی، ریحانه تقوی، یگانه تقوی، فردین سالاروند، حامد سام خانیانی، فاطمه مطیعی، شهلا حسینقلی زاده، علی زنورزاده، امیرعلی نوروزی، امیرحسین قاجاردامغانی</t>
  </si>
  <si>
    <t>1400-12-15</t>
  </si>
  <si>
    <t>محمد مقیمی</t>
  </si>
  <si>
    <t>ابوالفضل بیات و پرهام ولیزاده</t>
  </si>
  <si>
    <t>پلاتو آفتاب - بندرعباس</t>
  </si>
  <si>
    <t>مهدی عطایی دریایی، مجید کشاورز، گاتا عابدی، افسانه برزکار، یاسمن صیاددقت کار، غزل لوری، سعید سلیمی و محمد جامه شورانی</t>
  </si>
  <si>
    <t>حمیدرضا رحیمی</t>
  </si>
  <si>
    <t>مهرداد طهماسبی، هلن نقی لو، فاطمه یونسی، ساینا رضا نژاد، عماد آلبوشوکه، سودا همرنگ، احسان راد، میچکا خدابنده لو، زهرا سزاوار، شادی سعید خو، درسا مهری، الیاس بهرامی، محمدرضا شجاعی</t>
  </si>
  <si>
    <t>1401-02-26</t>
  </si>
  <si>
    <t>طاها خانجانی</t>
  </si>
  <si>
    <t>(به ترتیب ورود به صحنه) آزاده شیر محمدپور، شهریار کامکار، سوگند روستایی، سپیده اسلامی، علیرضا داوودوندی، علی مهرنیا، حامد مقدسی، شاهین سبزی، نیلوفر محمدی، پریا خداکرمی، آرمیتا قبادی</t>
  </si>
  <si>
    <t>محمد علیدادی</t>
  </si>
  <si>
    <t>مهدیه قره باغی، پرند کانطوری، نگار سلطانی، مریم معصومی، علی دولتی، ابولفضل یوسفی، احمد زارع، حسام قهوه چی، امیر حسین رستمی اصل، آریو امیری</t>
  </si>
  <si>
    <t>1399-05-03</t>
  </si>
  <si>
    <t>(به ترتیب حروف الفبا) مهدی بازدار، نازنین زهرا برومند، محمد پسندیده، سروش حائری، آزیتا رحیمی، فرزانه فرجی، نیلوفر فولادی، مونا کریمی، کیانا کریم پور، مهربان کشاورزی، رضا میرجلیلی</t>
  </si>
  <si>
    <t>امجد زمانی</t>
  </si>
  <si>
    <t>مهدی ملک محمدی، مژگان آرون، پرستو فرزامی پویا، هستی مهدوی، سمیه پرویزی، صالح ذوالفقاری، محدثه موسوی، محمدمهدی نثاری، امیرمحمد نثاری، زینب شیرزایی، امیررضا شیرمحمدی</t>
  </si>
  <si>
    <t>(به ترتیب حروف الفبا) صبا ایزدپناه، سهیل بابایی، پردیس زارع، علی زندی، نازنین صلح جو، بهزاد عبدی، نادر فلاح، پریسا محسنی، هانیه مقدم</t>
  </si>
  <si>
    <t>علی سهیلی</t>
  </si>
  <si>
    <t>شان اوکیسی</t>
  </si>
  <si>
    <t>علی سهیلی، علیرضا شایانی، سپیده دهقان، حسین قاسم پور اقدم، پریسا تاکی، بردیا قادریان دهکردی، نفیسه ترحم جو، سهراب کرمی، ابوالفضل عبدالی، آرمان سهیلی (بازیگر نوجوان)</t>
  </si>
  <si>
    <t>تالار نیایش- پلاتو استاد حسینی- شوش دانیال</t>
  </si>
  <si>
    <t>1401-06-06</t>
  </si>
  <si>
    <t>بهرام آریان فر</t>
  </si>
  <si>
    <t>(به ترتیب ورود) اسماء الیاسی، حسین فرخی، بردیا آریان فر، بهرام آریان فر</t>
  </si>
  <si>
    <t>کیهان پرچمی</t>
  </si>
  <si>
    <t>کیهان پرچمی، حسام مقتدائی</t>
  </si>
  <si>
    <t>(به ترتیب حروف الفبا) عرفان امین، سلمان صالحی، طاهره هزاوه</t>
  </si>
  <si>
    <t>علی سعیدی، آرمین احمدوند، علی درزی، مهدی مارزی، مصطفی دستجردی، رزا محمدی</t>
  </si>
  <si>
    <t>علی سرابی</t>
  </si>
  <si>
    <t>ریما رامین فر، الناز حبیبی، مارال بنی آدم، پژمان جمشیدی، علی سرابی</t>
  </si>
  <si>
    <t>محمدرضا شاهمردی</t>
  </si>
  <si>
    <t>منصور صوفی، مهناز رودساز</t>
  </si>
  <si>
    <t>پژمان کاشفی</t>
  </si>
  <si>
    <t>محمدرضا لوانی، رضا خمسه، سوران قادری، آناهید رضایی، روشنا مثنوی، سیده ساره حسینی، ریحانه سکاکی، پژمان کاشفی</t>
  </si>
  <si>
    <t>احمد ارجمندی</t>
  </si>
  <si>
    <t>علی اصغر حبیبی</t>
  </si>
  <si>
    <t>(به ترتیب ورود) طاها محمدی، علی اصغر حبیبی، علیرضا محمدخدایی، مهدی جعفری پور، واروژان فرهادیان، حمیدرضا بهروزی، علی مربی، محمدعلی مرتضوی صفت، رضا حسین نژاد، هیوا پورشفیقی، عسل میرزایی، هادی رضایی، علی رسولی، مهدی عبادی، فاطمه قهرمانی، باران محمدی، عرفان اکبرزاده، رضا مزینانی، میلاد مرتضوی، سید امیر نقیبی، میلاد بیگدلو، حسین بنی تباء، ابوالفضل صحت، علی اصغر صادقی، شاهین خیراندیش و محمد رشید ارجمندی</t>
  </si>
  <si>
    <t>1400-03-26</t>
  </si>
  <si>
    <t>اردشیر صالح پور</t>
  </si>
  <si>
    <t>(به ترتیب حروف الفبا) سمیه آباده، مائده آشوری، زاهد برزگر، آناهیتا بزرگمهری، حدیث تسلی، محمدحاجی محمدی، نازنین حلاج فر، مبین خرمی مقدم، حمید دمرچلو، آرمین رضایی نیا، سیدعلی شریف زاویه، آیلین شیخی، مبینا صبوری، یاسمن عبدلله زاده، فاطمه غفاری حویدنی، امین فرمانیان، یاس قاسم آبادی، الناز قاسمی، سارینا کربلایی علی گل، سوگند کربلایی علی گل، پری ناز لنگرودی، سارا محمد زاده، صبا مینویی، حمید هاشمی سیاوشانی</t>
  </si>
  <si>
    <t>مسعود طیبی، حسین ابراهیم نیا، روژین پناهی، کیوان بهرامی، دیاکو افسر</t>
  </si>
  <si>
    <t>1401-05-10</t>
  </si>
  <si>
    <t>محمد خانحسینی</t>
  </si>
  <si>
    <t>احسان یزدان پناه</t>
  </si>
  <si>
    <t>کامران تفتی، مونا کرمی، دُنا تارفی، دریا مقبلی</t>
  </si>
  <si>
    <t>فرهنگسرای ابن سینا</t>
  </si>
  <si>
    <t>1399-05-30</t>
  </si>
  <si>
    <t>حمید رضا مرادی، امیر زمانی، طهمورث ایرانشاهی، حمید عبادی، ناهید صاحبی، شادی بهداد، سوفیا امانی، صدیقه معصومعلی، هیلدا رضایی، مهرداد هاشمی</t>
  </si>
  <si>
    <t>حمید رحیمی</t>
  </si>
  <si>
    <t>جعفر غلامپور</t>
  </si>
  <si>
    <t>مرضیه موسوی، ملکوم آرتسرونی</t>
  </si>
  <si>
    <t>وودی آلن (قتباسی از این نمایشنامه)</t>
  </si>
  <si>
    <t>وصال امینی، محمدرضا فرشاد، فرناز رستمی، سارا قاسمی صابر، امیرمسعود قاسمی، امیرحسین بلوچی، ملیسا قربانی، یاسین یوسفی، حنا زنگنه، علی کاظمی، غزل رضایی، محمد سلطانی فیروز، شقایق دهقان زاده، اشکان لطفعلی پور، سهیل قادری، محمد مومنی، محمد سعادت زاده، علیرضا قنبری، دانیال زاده کفاش، سحاب قاسمی، امیرحسین سرادار، امیر حسنی</t>
  </si>
  <si>
    <t>1400-03-13</t>
  </si>
  <si>
    <t>کامبیز نیک آمیز</t>
  </si>
  <si>
    <t>(به ترتیب حضور) الناز زاهدی، کامبیز نیک آمیز، سحر آژیر، مریم زارعی، ملیکا شاگردی، حسین صفدری، رضا لک، مهدی راستی، درسا علی آبادی و زهرا عسگری، فاطمه آزادخواه، فاطمه آقاپور، اشکان دهقانی، بهار صادقی، متیناسادات میرکمالی، هانیه امامی، بهار شعربافی، احمدرضا طاهری، محمدعرفان باقری، مانی محمدی، متین وکیلی، متین نیکنام</t>
  </si>
  <si>
    <t>مسعود شامی، میلاد خرم</t>
  </si>
  <si>
    <t>مسعود شامی</t>
  </si>
  <si>
    <t>مهناز میرزایی، سایه کبیری، مائده جلالی</t>
  </si>
  <si>
    <t>1401-09-15</t>
  </si>
  <si>
    <t>نسیم تاجی</t>
  </si>
  <si>
    <t>(به ترتیب ورود) مهرداد باقری، بهرام سروری نژاد، لیلا ارجمند پیوند، علی یازرلو، شاهین گل کار، ماهی طاهری، رضا نعمتیان، میثم عباسی، طاهره بهرامی، حامد سوری، مبین آذربایجانی، امیر مهدی میرزایی، حسن فتحعلی بیگی، میترا جوکار</t>
  </si>
  <si>
    <t>1401-06-08</t>
  </si>
  <si>
    <t>محمد برهمنی</t>
  </si>
  <si>
    <t>محمد صادق گلچین عارفی</t>
  </si>
  <si>
    <t>اسماعیل گرجی، آزاده صمدی، علیرضا ثانی فر، علی محمودی، سهیل سهیلی سرشت، دنیا نصر، سیامک اخوان</t>
  </si>
  <si>
    <t>علی کربلائی حسین</t>
  </si>
  <si>
    <t>صادق صادقیان، ابراهیم کشوری</t>
  </si>
  <si>
    <t>(به ترتیب حروف الفبا) ستایش پرستار، بیتا جمالی، پارمیدا شایان، محمد پوریا کفاشیان، زهره نجار، آرین وکیلی، ملیکا وکیلی</t>
  </si>
  <si>
    <t>17:17:00</t>
  </si>
  <si>
    <t>علی میرزاعمادی</t>
  </si>
  <si>
    <t>(به ترتیب حروف الفبا) رها آویژه، فرنیا احمدوند، زهرا خسروشاهی، محمد ذوالفقاری، مرضیه راه چمنی، مهدی عبدی، مهسا کاهه، محمدجواد کهن، امیر گل محمدی، امیر میرزائی، حسین مومنیان، نادیا ناصری، ایمان نجفی</t>
  </si>
  <si>
    <t>مهرداد طهماسبی، غزاله صفایی، پارسا امینایی، زهرا ابایی، پوریا خدابخش، وجیهه لاریجانی</t>
  </si>
  <si>
    <t>امیر دژاکام</t>
  </si>
  <si>
    <t>(به ترتیب ورود به صحنه) الهام خضرائی منش، حسام شهیدی، نسیم داداشی، طاها عابدی، ماهان عابدی، الناز ملک پور، نیوشا امینی، غزل جمشید آبادی، مهدی حوریه، ندا حسینی، زینب تحقیقی، آرمین خزائلی، شایان انجمنیان، مژده عنایتی، سمانه شعاعی</t>
  </si>
  <si>
    <t>محمد سعید فرازمند</t>
  </si>
  <si>
    <t>زری ماه طیوری، بیژن رضایی، امیرحسین حیاتی، کیمیا غلامی، غزل شاه آبادی، زهرا یدی، ستایش ویسی</t>
  </si>
  <si>
    <t>(به ترتیب ورود به صحنه) ابوالفضل جمشیدی (بکمان)، محسن جلالی راد (سرباز)، امیر عباسی (گورکن)، آیدا سرمست (اگنس)، ناصر عزتی (بائر)، اشکان دلاوری (هانریش)، عارف عباسی(سرهنگ)، فرشته آلوسی (بودیت)، نصیر ساکی (مرگ)، علی یعقوبی (پدر روحانی)، نیلوفر حسنی (کرامر)، حامد پورمحمد (پدر بکمان)، محمود صفری (سرباز )، حسین شهبازی (سرباز)</t>
  </si>
  <si>
    <t>پلاتو تئاتر مجتمع فرهنگی سینمایی دزفول</t>
  </si>
  <si>
    <t>اسماء الیاسی، متین محمودخانی، بردیا آریان فر، بهرام آریان فر</t>
  </si>
  <si>
    <t>مهران مکاری</t>
  </si>
  <si>
    <t>امیر جاسمیان آزاد، رامیار محمودی</t>
  </si>
  <si>
    <t>(به ترتیب ورود) مهراوه طالبی، رامیار محمودی، حمید آغه ویسی، محمدهادی درخشنده، سارا سیبی، شهاب الدین احدی، پریسا بخشی، امین سنجربیگی، علیرضا یزدان پناه</t>
  </si>
  <si>
    <t>نیما ذاکر، مرجان رضائی، کیمیا نوری، شیرین زمانی، مریم ذکاوتی، سهیلا پرهیزگار، امید اله کوهی، آرمین افتخارزاده، علیرضا شیخ دارانی، روح الله فرهنگ دوست.مهدی بیگدلیا، عباس احمدی، حسین آقازاده، شریف عطاری، میثم مرادیان، معین کیانی مقدم، امیر حسنی، حسام قهوه چی، مرتضی اسدی</t>
  </si>
  <si>
    <t>1399-07-25</t>
  </si>
  <si>
    <t>هومن حسین نژاد</t>
  </si>
  <si>
    <t>ساناز سماواتی، امیر زریوند، نیما فاضلی، برس اکلائی، هومن حسین نژاد کلایی</t>
  </si>
  <si>
    <t>1400-12-09</t>
  </si>
  <si>
    <t>آتنا اسدی</t>
  </si>
  <si>
    <t>مهدی کوچک، مجید بهجت، سحر سلگی، آتنا اسدی</t>
  </si>
  <si>
    <t>سعید شیرمحمدی</t>
  </si>
  <si>
    <t>اِروین گالستیان، شکوفه حیدریان، محمد اسدی، ترانه پرهیزگار، پژواک دیانی</t>
  </si>
  <si>
    <t>توران عبادی</t>
  </si>
  <si>
    <t>داوود محمدی</t>
  </si>
  <si>
    <t>محمدعلی محبوبی، علی محمد کثیری، علی شورابی، امیرمحمد صادقی، سیاووش ترده، محمدطاها فرزانه، مبینا معظمی، المیرا صدقی، ملینا صدقی</t>
  </si>
  <si>
    <t>پرهام دلدار، ویدا لقمانی، حامد شیخی، علی اسدیان، مجتبی جعفری پور</t>
  </si>
  <si>
    <t>الهه خوش قامت</t>
  </si>
  <si>
    <t>موسسه فرهنگی هنری دارالفنون - کاشان</t>
  </si>
  <si>
    <t>مارتین کریمپ</t>
  </si>
  <si>
    <t>(به ترتیب حروف الفبا) فائزه ازناویان، زهره استادی، زهرا سادات جدی، مریم دهقانی، وحید رزاقی، رویا فخاری، آرزو قربان پور، ملیحه گیاهی</t>
  </si>
  <si>
    <t>علیرضاحنیفی، مینا ترکمن، فاطمه زمانی، آرام سلیمانی، محمد قائم مقامی، علی پیله ور</t>
  </si>
  <si>
    <t>محمد علایی</t>
  </si>
  <si>
    <t>کیانا اطهری نژاد، صفورا کاظم پور، طاهره قهرمانی، سیمین عزیزی، وحیده بخشی، مرجان مشاط زادگان، فروغ کاظمی، فاطمه سلطانی</t>
  </si>
  <si>
    <t>نیما سپهرار، یاسمن خلیلی، حسن محمدیان، محمد پسندیده، سارینا آزاد میلانی، فرخ مهر کیوان مهر، نابت شفائی</t>
  </si>
  <si>
    <t>علیرضا اخوان</t>
  </si>
  <si>
    <t>اداره فرهنگ و ارشاد اسلامی تالش</t>
  </si>
  <si>
    <t>00:15:00</t>
  </si>
  <si>
    <t>طاها صمدی</t>
  </si>
  <si>
    <t>آرینا امن اللهی</t>
  </si>
  <si>
    <t>1401-03-29</t>
  </si>
  <si>
    <t>جعفر صالحی</t>
  </si>
  <si>
    <t>مهرداد مسنن نژاد، جعفر صالحی، محمدحسین دمنه</t>
  </si>
  <si>
    <t>مهدی اسدی، آرین خزائی، امیرحسین زورمند، علی شایقی، پرنیان محمدیان، شیوا مهرجو، سارا ویسی</t>
  </si>
  <si>
    <t>1400-11-02</t>
  </si>
  <si>
    <t>علیرضا شیخی</t>
  </si>
  <si>
    <t>بهنام نوذری</t>
  </si>
  <si>
    <t>سارینا رزاق</t>
  </si>
  <si>
    <t>ستاره مبینی، نگار ربیعی، سمانه شعبانی، بهار باقری</t>
  </si>
  <si>
    <t>شقایق فتحی</t>
  </si>
  <si>
    <t>ابولفضل حاجی علی خانی</t>
  </si>
  <si>
    <t>اشکان صیاد محلی، امیر حسین رضاپور، یاسر ساغری، روژان ساعدی، آیسان یعقوبی، آیشین دولتدار</t>
  </si>
  <si>
    <t>(به ترتیب سن) میثم غنی زاده، مهدی سقا، مژده قربانی، فاطمه نوروزی، تینا یونس تبار</t>
  </si>
  <si>
    <t>فرهاد باقری، آزاده رفعتی، شاهین رمضانی، سدنا محبی</t>
  </si>
  <si>
    <t>رضا علوی</t>
  </si>
  <si>
    <t>احمد محرابی، کوروش رخشنده پی، رضا علوی، ارغوان رهین، مجید ستایش، علیرضا قربان نژاد، شاهین رمضانی، پریا زندی</t>
  </si>
  <si>
    <t>1401-01-26</t>
  </si>
  <si>
    <t>سهراب حسینی</t>
  </si>
  <si>
    <t>نسیم ادبی</t>
  </si>
  <si>
    <t>(به ترتیب حرف زدن) گلناز گرجی پور، پگاه نوربخش، عباس نورمحمدی، حمیدرضا مرادی، آتوسا زرین پور، اریک قاراسمیان</t>
  </si>
  <si>
    <t>علی ژکان</t>
  </si>
  <si>
    <t>مهدی معبودی</t>
  </si>
  <si>
    <t>(به ترتیب ورود) افشین زارعی، حسن همتی، شاپور کلهر، ژاکلین آواره، مریم قنبری، الهه یکتا، محمد پویا، علی برجی</t>
  </si>
  <si>
    <t>معین زینالی</t>
  </si>
  <si>
    <t>سجاد باقری، سارا دغاغله، امیرپوریا مسعودنیا، سارا جمالپور، مونا حسن زاده، سروین مظاهری</t>
  </si>
  <si>
    <t>مژده ناظمی، محمدرضا حیدری، فرزاد باقری، آسیه سلطانی، محمودشاهی، زهرا محرابی، رضا طالبی زاده</t>
  </si>
  <si>
    <t>سهراب سلیمی</t>
  </si>
  <si>
    <t>سباستین تِیری</t>
  </si>
  <si>
    <t>ایرج راد، شهره رعایتی، میثم رازفر، محمد کرمی</t>
  </si>
  <si>
    <t>1399-07-30</t>
  </si>
  <si>
    <t>سودا بختیاری، نفیسه مهری، میلاد مرتضوی، خشایار فراهانی</t>
  </si>
  <si>
    <t>1401-09-14</t>
  </si>
  <si>
    <t>کامران فریدی، حامد نباتی، مریم برومند، سونیا معبودی، سینا نداف، محمد شاهی، سجاد ایران دوست آذر</t>
  </si>
  <si>
    <t>(به ترتیب قد) مهدی سقا، میثم غنی زاده، مژده قربانی، زهرا بهروزمنش، الناز اسمعیل زادگان</t>
  </si>
  <si>
    <t>محمد عبدالهادی</t>
  </si>
  <si>
    <t>محسن علی نژاد، حجت حسن پور، مژده فرجی، مهدیه حسینی، آیلار یزدانی</t>
  </si>
  <si>
    <t>کسری کاریان</t>
  </si>
  <si>
    <t>سحر حسامی، متین شهبازی</t>
  </si>
  <si>
    <t>حسن حسامی</t>
  </si>
  <si>
    <t>حامد خسروی، سحر باقرآبادی، مجتبی مجیدی، هدی فلاح، شکیلا مودت پور، محسن نوذرپور (بهشاد)، ژالیا شاکری، فلور فغانی، پژال مرادی لاکه، فاطمه بیات، هلیا اصل، علی نیکیار</t>
  </si>
  <si>
    <t>سیدمحمدصادق سیادت</t>
  </si>
  <si>
    <t>بهنام سرلک</t>
  </si>
  <si>
    <t>(به ترتیب حروف الفبا) فرنیا احمدوند، مژگان حامدی، سوگند حسینی، مهسا خلیل زاده، بهنام سرلک، سحر قلباربند، سوگل نواب صفوی</t>
  </si>
  <si>
    <t>منیژه محامدی</t>
  </si>
  <si>
    <t>(به ترتیب نقش) محمد نادری، آیلار نوشهری، مهوش افشارپناه، نسترن پیکانو، فرناز رهنما، محمد اسکندری، نسترن باقرزاده</t>
  </si>
  <si>
    <t>سپهر حیدری نژاد</t>
  </si>
  <si>
    <t>بهار رضی زاده، سپهر حیدری نژاد</t>
  </si>
  <si>
    <t>1399-06-04</t>
  </si>
  <si>
    <t>علیرضا حافظی، آرمین جباره اصل</t>
  </si>
  <si>
    <t>پویا یگانه دوست، پارسا دانشمند، زهرا حسینی، صابر ریاحی، مینا دادرس، صالح سخاوت، محمد عظیمی، وانیا کاظمی، سهیل نگهدارزاده</t>
  </si>
  <si>
    <t>امیرعلی نوری</t>
  </si>
  <si>
    <t>(به ترتیب ورود به صحنه) محمدرضا حاج نوروزی، ندا قهرمانپور، نیلوفر آقاپور، نیایش امینیان، امیرعلی نوری، فاطمه ولندیاری، محراب عبدالهی،</t>
  </si>
  <si>
    <t>1401-11-28</t>
  </si>
  <si>
    <t>فرشاد کنعانی سادات، تداعی سعیدی فر، سید مرتضی موسوی، سپیده خاک پرور، عابد روستا، المیرا نقی نژاد، روناک ارجمند، سماء زارع، مریم سعیدا، ملیکا منصوری، نوید کهریزی، علیرضا صادقی، علینقی محمدی، محمد یغمایی</t>
  </si>
  <si>
    <t>الهه شیدایی، نیلوفر روغنی</t>
  </si>
  <si>
    <t>1401-12-10</t>
  </si>
  <si>
    <t>(به ترتیب حروف الفبا) داود اصغرنژاد، علیرضا بهجتی، پارسا پیراسته، بهار پوزش پور، علیرضا ثابتی، رضا ریحانی، میلاد رحیم زاده، ابولفضل ذوالفقاری، محمدحسین زالی، علی علیزاده، فرشاد قره داغی، نیره قریب، محمود کامشگران، هلیا کسایی، رویا کریمی، بهار گل آور، محسن محمودیان، نازنین مفیدی</t>
  </si>
  <si>
    <t>حسین جمالی</t>
  </si>
  <si>
    <t>(به ترتیب ورود) محسن قصری، پیمان یاقوتی، صفورا کاظم پور، حمیدرضا حسینعلی، سانیا اقایی، یگانه عطار علیایی، کیمیا جهانگیری</t>
  </si>
  <si>
    <t>مهدی مهری، سحر حق شناس، حمید باهوش، رکسانا نوربخش</t>
  </si>
  <si>
    <t>امیرحسین علیپور</t>
  </si>
  <si>
    <t>(به ترتیب حروف الفبا) یوسف محوی، محمد امین فرجخواه، رکسانا جعفری، سها پور مهدی</t>
  </si>
  <si>
    <t>سید صالح حسینی، هانیه رحیمی</t>
  </si>
  <si>
    <t>دیوید ممت</t>
  </si>
  <si>
    <t>(به ترتیب ورود به صحنه) هانیه رحیمی، امیر مهدی انصاری، سید صالح حسینی، سید میثم رجائی زاده</t>
  </si>
  <si>
    <t>سعید نجفیان</t>
  </si>
  <si>
    <t>محمد غدیرزاده</t>
  </si>
  <si>
    <t>یعقوب صباحی، علی یعقوب زاده، بهارکریم زاده، سپیده پهلوان زاده، سالار نجفیان، ملیکا اسلافی و حلما یعقوب زاده</t>
  </si>
  <si>
    <t>مصطفی کزازی</t>
  </si>
  <si>
    <t>آیدین آقازاده</t>
  </si>
  <si>
    <t>رضا پهلوان، سعید خدادوست، آتنا دولت آبادی، حسین عارفی کیا، مریم محمدوند</t>
  </si>
  <si>
    <t>مجید رحمتی</t>
  </si>
  <si>
    <t>1402-02-08</t>
  </si>
  <si>
    <t>حنیف مظفری، توفیق حیدری، علی علیایی، علی کریمی، کیارش عسگری، مرتضی رضائی، علی کاظم پور، احسان مقدم</t>
  </si>
  <si>
    <t>داوود معینی کیا</t>
  </si>
  <si>
    <t>سید محسن میرهاشمی، مریم حمیدی جو، محمد طحانی، علی سلیمانی، حسین عباسپور و داوود معینی کیا</t>
  </si>
  <si>
    <t>مهدی کردی</t>
  </si>
  <si>
    <t>مهدی کردی، امیرحسین شمالی</t>
  </si>
  <si>
    <t>مهدی کردی، مهدیه کاویان، سیده فاطمه میرکریمی، مهدی وزواری</t>
  </si>
  <si>
    <t>دانشگاه دامغان - دانشکده هنر</t>
  </si>
  <si>
    <t>1401-08-25</t>
  </si>
  <si>
    <t>ویلی راسل (بازنویسی گروه)</t>
  </si>
  <si>
    <t>شقایق نادری، هادی محرابی</t>
  </si>
  <si>
    <t>پریسا بینات</t>
  </si>
  <si>
    <t>محمدرضا فصیحی نیا، امین فرهمند، مازیار زحمتکش، مجید خوبان، پارسا فرجادمنش، شهاب اشرفی، جواد امیرپور، بهمن وثوقی، حسین داودی، امیرحسین سرخیان، رسول خلج، محمد نیرومند، امین کنعان، فراز غلامی، مبینا ملاحسینی، محمدرضا نداف</t>
  </si>
  <si>
    <t>حنانه جعفری نژاد</t>
  </si>
  <si>
    <t>محمد مروج</t>
  </si>
  <si>
    <t>بهنام شرفی، امیرحسین شفیعی، نسترن ابراهیم زاده، امیر عباس خراسانی، صدف برجسته، امیر امرائی</t>
  </si>
  <si>
    <t>(به ترتیب حروف الفبا) مهدی اسدی، مهشاد اسلامزاده، کیانا حسینپور، مهدی خلیلی، درسا درخشان، علی شایقی، امیر کردی، سمانه کمالی، هلیا کوشکی</t>
  </si>
  <si>
    <t>(به ترتیب ورود) فواد امینی نیا، محمد وثوقی، میثم عزیزی، مهسا چیذری، آرمین احمدوند، هدیه ایرانیان</t>
  </si>
  <si>
    <t>مبینا نبی پور</t>
  </si>
  <si>
    <t>اقتباس از فیلم Der voranme</t>
  </si>
  <si>
    <t>(به ترتیب ورود به صحنه) میلاد شیخلر، مهرناز محمودی، سعید بابائی، امیرحسین منوچهری، ستاره شهبازی</t>
  </si>
  <si>
    <t>مجتبی بیات، سیامک صفری</t>
  </si>
  <si>
    <t>سیامک صفری، مهدی رضایی، مجتبی بیات</t>
  </si>
  <si>
    <t>1400-04-12</t>
  </si>
  <si>
    <t>حمید عبدالحسینی، علیرضا زارع</t>
  </si>
  <si>
    <t>امیر عبادی، آرام طالشی و فرهاد ملوندی</t>
  </si>
  <si>
    <t>نازنین تامرادی، حسین آقاکثیری، عاطفه عاطفه، محمد دهملایی، امیرحسین توکلی و فرزانه بهنیا</t>
  </si>
  <si>
    <t>پدرام بناها</t>
  </si>
  <si>
    <t>پدرام بناها، امیر ارسلان طارم وند، فرزان پورخانی</t>
  </si>
  <si>
    <t>امیرارسلان طارم وند، مینا اخشابی، کیاناز خان محمدی، اشکان آگاهی، ساحل باغبانی، کیانا نخعی، فائزه احمدی، ملیکا هنرور، پدرام بناها</t>
  </si>
  <si>
    <t>نیما صمدی، امیرحسین سیداسماعیل، شهاب شیرین کلام، طنین بابایی، رضا محمدی، مهتاب باقری، غزل سلامی زاده، ابوالفضل محمد کاشی امیرحسین بهرامی، آیسان قنبر زاده، مهسا معدن پیشه، ایمان نیکخو، ، باران حسین پور، ملیکا هاشمی</t>
  </si>
  <si>
    <t>تالار شهید آوینی (خرم آباد)</t>
  </si>
  <si>
    <t>1402-02-17</t>
  </si>
  <si>
    <t>عزت درگاهی</t>
  </si>
  <si>
    <t>احمد شاملو</t>
  </si>
  <si>
    <t>فاطمه مرادی، سید علی حسینی، زینب صدوقیان، امیررضا بهزادی نیا، آتنا درویش، سیده لیلا موسوی، سارینا اسکینی، محمد مهدی مقدم، اهورا درگاهی</t>
  </si>
  <si>
    <t>(به ترتیب ورود) امین کعبی، امیررضا عبادتی فرد، سحر لبیکی، علی روزگار، نادیا عبدلی، علی درزی، امیرحسین لاری، رزیتا صالحی، آرمین احمدوند، رزا محمدی، مالک خادمی، محمدامین مومیوند</t>
  </si>
  <si>
    <t>صبا نجاتی، مصطفا امیری</t>
  </si>
  <si>
    <t>مصطفا امیری، سارا شاهرودیان، کیوان محمدی، صبا نجاتی</t>
  </si>
  <si>
    <t>حامد رحیمی نصر</t>
  </si>
  <si>
    <t>(به ترتیب حروف الفبا) سعید ابک، نگین ابراهیمی، روناک برخوردار، سامان خلیلیان، حامد رحیمی نصر، محسن زرآبادی پور، حمید عرب، میرنادر مظلومی، وحید نفر، نساء یوسفی</t>
  </si>
  <si>
    <t>1400-12-10</t>
  </si>
  <si>
    <t>کیمیا امینی</t>
  </si>
  <si>
    <t>مبینا کریمی</t>
  </si>
  <si>
    <t>امیرعباس میرحسینی، حانیه صالحی، عرشیا زنجانی</t>
  </si>
  <si>
    <t>هانیه یوسفی</t>
  </si>
  <si>
    <t>آتنا دولت آبادی، سپهرداد منشی، فریبا نیروئی و هانیه یوسفی</t>
  </si>
  <si>
    <t>سهند جعفری</t>
  </si>
  <si>
    <t>میلاد رضایی</t>
  </si>
  <si>
    <t>(به ترتیب ورود) میلاد رضایی، مدیا دشوارپسند، سپیده خاک پرور</t>
  </si>
  <si>
    <t>فریبا نیروئی، مهشید میزانی، فاطمه زمانی، داوود معیننی کیا، احمدرضا نورالهی، سعید فرخی کجور، رهی افتخاری، شاهو تخت فیروزه</t>
  </si>
  <si>
    <t>الناز شهبازی</t>
  </si>
  <si>
    <t>شیوا دیناروند</t>
  </si>
  <si>
    <t>(به ترتیب ورود) نسترن ابراهیم زاده، شهرزاد کیانی، نازنین میهن، فهیمه معین، سحر آقاسی، مهناز رودساز</t>
  </si>
  <si>
    <t>(به ترتیب حروف الفبا) نیوشا آقابیگی، حمیدرضا شاهپسند، فاطمه کشاورز، محمدصالح مزینانی، مانیا مقدم، رضا منصوری</t>
  </si>
  <si>
    <t>هانیه کاراندیش</t>
  </si>
  <si>
    <t>مهدی ضامنی، همایون ظفرپور، مریم بهمن پور، ساهره حسینی و محمد رونقی</t>
  </si>
  <si>
    <t>مرضیه مهاجر</t>
  </si>
  <si>
    <t>(به ترتیب ورود) مرضیه مهاجر، محمدرسول جعفری، زهرا (ساغر) روشنایی، هدا تورنگ، امیر ستاری، سارا فری پور، فاطمه هاشمی</t>
  </si>
  <si>
    <t>1399-07-14</t>
  </si>
  <si>
    <t>(به ترتیب ورود)صبا سرور، سپهر زمانی، نغمه طوسی، علی پوراحمدیان، الهه فرازمند، رضا مرشد</t>
  </si>
  <si>
    <t>تالار شمس اصطهباناتی - استهبان</t>
  </si>
  <si>
    <t>سانیا عاجلی</t>
  </si>
  <si>
    <t>جواد عاجلی</t>
  </si>
  <si>
    <t>محمدرضاصنعتی، ابوالفضل عرب زاده، لیلایارمحمدی، سینا عاجلی، شبنم صمدی، فاطمه کشاورز، غزل عرب زاده، سانیا عاجلی</t>
  </si>
  <si>
    <t>سارا داروفروش</t>
  </si>
  <si>
    <t>(به ترتیب حروف الفبا) علی پیله ور، بهاره جهانبانی، رضا حسین نژاد، بهار حسینی، هستی راد، آرمین رضایی نیا، الناز زاهدی، درسا علی آبادی، مهدی علینژاد، محمدرضا فتحی، آرش نایبی، صدف نظری، نرگس هاشمی</t>
  </si>
  <si>
    <t>حامد آقایی، بیتا خردمند، پژمان کاشفی، ندا قاسمی، فیروز حیدر زاده، اهورا ابراهیمی، محمدعلی سحرخیز، رضا روستا</t>
  </si>
  <si>
    <t>لادن قناد</t>
  </si>
  <si>
    <t>سعید بحرالعلومی، سپیده جعفری، افشین قدیمی، سمیراکریمی، فرناز خاکباز، مهسا فرجی، ملیکا فرجی، نازنین فراهانی و لادن قناد</t>
  </si>
  <si>
    <t>1400-09-23</t>
  </si>
  <si>
    <t>امید ابراهیمی</t>
  </si>
  <si>
    <t>امیرحسین صیدآبادی</t>
  </si>
  <si>
    <t>مهدی صمدی، ابوالفضل مقصودلوراد، امید ابراهیمی، علی اصغر کیانی، شهریار مکاری، محدثه شیرعلی، مهدیه مهرانی، مهدیه محمدی، سروین سیدانلو</t>
  </si>
  <si>
    <t>1399-12-07</t>
  </si>
  <si>
    <t>(به ترتیب حضور در صحنه) دلارام زرگر، ناهید شکری، ثمین موسوی، رویا نوذری، رویا آذر، وحید کبیر، امین نانگیر، عسل عرب، لیلا فیروزمند، اعظم کولیوند، پریسا محمدی، بهداد روزگار، رامین ارغند، مژگان فتحی، محمدرضا لایقی، علی شجره، مونا نیک گو، سارینا امیدوار، نسترن مهربانی، سوگند قریشی، مسعود آشوری، علی حسینی، مهیار جواهری</t>
  </si>
  <si>
    <t>حسین تفنگدار</t>
  </si>
  <si>
    <t>(به ترتیب ورود به صحنه) سپیده سپهری، شیرین کاشفی، میترا شجاعی، الهام هادیان، سید محسن میرهاشمی، حامد پیراسته، شهرام نجاتی، دانیال تفرشی، داوود معینی کیا</t>
  </si>
  <si>
    <t>فرشید شعبانزاده بصیر</t>
  </si>
  <si>
    <t>علیرضا مقدم، بیتا طلوع، سروش حسینی، نسترن محبوبی، عاطفه آروین فر، مژگان جاویدمهر، گلبهار مجاور احمدی، نیلوفر بادی الهی، اسحاق شجاعی</t>
  </si>
  <si>
    <t>ساقی عطایی، علی اصغری</t>
  </si>
  <si>
    <t>(به ترتیب ورود به صحنه) امیر غفارمنش، مهدی یغمایی، فرزاد حسنی، حسین پورکریمی، فرنوش نیک اندیش، آذین ریوف و  (با صدای) محمدرضا علیمردانی، هومن حاجی عبدالهی</t>
  </si>
  <si>
    <t>رضا سعیدی ورنوسفادرانی</t>
  </si>
  <si>
    <t>مینا زمان، رضا سعیدی ورنوسفادرانی، ماگنولیا مظفری گیلانی</t>
  </si>
  <si>
    <t>عرفان مقصودی</t>
  </si>
  <si>
    <t>عرفان مقصودی، شادی روزبهانی، سما ستایش، آرمان ماهرخ، فرشاد گودرزی، بهار زرین، دادمهر بادپروا، آرین طلایی</t>
  </si>
  <si>
    <t>(به ترتیب ورود به صحنه) حامد شریفپور، عارفه احمدپور، کامران هوشمندیان، رومینا قاسمی، محمد نیازی، میلاد شریف، یاسمن جعفری، اشکان اسدی، عارف علوی، مازیار مهرگان، پناه باقریان، عباس خداوردیان، محسن شفیعی، اودین روشن</t>
  </si>
  <si>
    <t>داود داداشی، امیرحسین انصافی، محمدهادی عطایی، مریم باقری، ایلار نوشهری، محسن بهرام، الهه پورجمشید</t>
  </si>
  <si>
    <t>1402-12-26</t>
  </si>
  <si>
    <t>محمد حسن شاهی</t>
  </si>
  <si>
    <t>محمد تات</t>
  </si>
  <si>
    <t>میثم تات، امیرحسین قاجاردامغانی، علی عباسی، فاطمه (هلنا) موگوئی، سپیده نوری، سپیده لالانی، محمد حسن شاهی، زهرا یوسفی، امیر حسام بنائی، حامد فاضلی، سیده پریسا ماهباز، مهدی فلاح، علی عبدالحسینی</t>
  </si>
  <si>
    <t>1401-07-13</t>
  </si>
  <si>
    <t>احمد حامدی</t>
  </si>
  <si>
    <t>(به ترتیب ایفای نقش) رها مقدم، مهدی علیپور، احمد حامدی، تکتم رسول زاده، سیدشایان موسوی، رسول قادری، امیررضا کوشانی، محمدرضا باقری نژاد، فرناز فاتحی، علیرضا تاجیک، فرناز نجفی، الهام پرویزی، آرزو صدری، ملیکا جباری، مصطفی عامری، امیرمهدی جعفری، هانا نصرآبادی (بازیگر خردسال)</t>
  </si>
  <si>
    <t>سیما تیرانداز</t>
  </si>
  <si>
    <t>سیما تیرانداز، الهام شعبانی، پژمان عبدی، مهرزاد جعفری، آیدا آرتین مهر، علیرضا اسفندیار، مرضیه امیراحمدی، ساغر چنگیزی، رها خادمی، حدیثه حسینی، سپیده حسینی، میلاد حکمت، بهار دهقان، محمد امین رحیمی، مهدی رزاقی، مهرناز رودگرنژاد، روژینا شهابی، حسن صادقی، سارا ضابطی راد، رضا طاهریان، سالار غفاری، مرتضی فروزان فر، فائزه قربان نژاد، شادان قوامی، بیتا کریمی، محدثه منصور، امیرحسین منوچهری</t>
  </si>
  <si>
    <t>تالار حافظ - کرج</t>
  </si>
  <si>
    <t>علی رضا فرج نیا</t>
  </si>
  <si>
    <t>محمدمهدی پریزاد</t>
  </si>
  <si>
    <t>(بازیگران اصلی) رضا بخشایش، محمد صبوروند، علیرضا کاظمی، یاشار خمسه، (کردستان) مهتاب عسکری، الیا مقدم، (یادمان میدان مین) امیرحسین صفاپور، (یادمان کانال کمیل) حمیدرضا رکنی، حامد سوری، بهروز حسین نژاد، نیما قاسمی، دانیال حسین پور، (یادمان هور) عرفان موسوی، حسن شفیعی، (یادمان بیمارستان صحرایی) الهه تنهایی، حمیدرضا محمدی پور، امید رهبر، احسان سرخی، پیمان میلادی، گلاره فرشچیان، (فرماندهان همراه گروه) محمدحسین توپچی، محمدصادق وجودی، امیر نامنی، مهدی ابراهیم زاده، (بازیگران مکمل) مژگان حصاری، سپهر حاجی زاده، مهدی آسانی، عرفان محمدحسینی، محمد شیخی نژاد، خالد امیریان، مسیح فرخی نژاد، حسین شیخی نژاد، عطیه صمدی، وحید سیبی، تیمور احمدی، نیوشا هاشم خانی، مهیا سلطانی، مینا ابراهیم خانی، سید محمدطاها رضایی، علیرضا حسین پور، بهروز حسین نژاد، پویا ناصری، پویا پیشیان، محمدحسن شاهی، امیرحسین اکبری</t>
  </si>
  <si>
    <t>پژمان دادخواه</t>
  </si>
  <si>
    <t>ابراهیم عبدی، محمدرضا آریان، سپیده اسلامی، شیدا مقصودلوراد</t>
  </si>
  <si>
    <t>1401-12-25</t>
  </si>
  <si>
    <t>(به ترتیب الفبا) فرزانه آیافت، مسعود چنگی، علی علیزاده، امید فلاح، فائزه کلبری، علیرضا مدنی، بهاءالدین مرشدی، علیرضا نامنی</t>
  </si>
  <si>
    <t>1399-02-28</t>
  </si>
  <si>
    <t>آریان رضایی</t>
  </si>
  <si>
    <t>1401-11-05</t>
  </si>
  <si>
    <t>هال ورثی هال، رابرت میدل مس</t>
  </si>
  <si>
    <t>امیر غفارمنش، مهشید جوادی، محمود موسوی، علیرضا آژیده، مهدی حسن پور</t>
  </si>
  <si>
    <t>مسعود زندی</t>
  </si>
  <si>
    <t>بابک داور، یاسمین جعفری</t>
  </si>
  <si>
    <t>کیمیا یعقوبی</t>
  </si>
  <si>
    <t>آویشن دودانگه</t>
  </si>
  <si>
    <t>آویشن دودانگه، مهنوش شاهباز، مروارید معصومی، هادی استادعلی، فرزین ناصری، باران جلال زاده، فاطمه دارهل</t>
  </si>
  <si>
    <t>میلاد افشارمهر</t>
  </si>
  <si>
    <t>آیدا ناطقی، زهرا مدبر، فواد امینی نیا، مالک خادمی، محمد وثوقی، مهسا چیذری، علیرضا امانی، سیده دیانا جاوید موسوی، میثم عزیزی شربیانی</t>
  </si>
  <si>
    <t>(به ترتیب حروف الفبا) مه لقا باقری، کهبد تاراج، شهروز دل افکار، آبتین رحمتی، سیدصدرا سبحانیان، شهاب عباسیان، امیر عدل پرور، سیدجواد یحیوی</t>
  </si>
  <si>
    <t>میثم عبدی</t>
  </si>
  <si>
    <t>منوچهر رمضانی</t>
  </si>
  <si>
    <t>(به ترتیب ورود) حافظ آهی، منوچهر رمضانی، مینا شجاعیان، هورا سلیمانی، امین نبیالهی، آیدا رضائی، میثم عبدی، مهرناز بختیاری، محمدرضا محبی، مهناز حسینی، رومینا کوهزاد، دلیار رسائل، مبینا شادمانی، پگاه امیرآبادی، نسیم حقیقت، مرتضی خدمتلو، امیرمحمد رفیعخواه</t>
  </si>
  <si>
    <t>متین فرهنگ، محمدعلی کاظمی، وحید امیدزاده، فاطمه طاهری، پرواز نجفیان، محمدعلی آقاخانی، سمیرا لطفی، ترانه اسفهبد، امیرحسین دوّلی، پارسا فرجادمنش، بهار قزل ایاق، محمدرضا پناهی، محمد امین صادقیان، امید قاسمی، فرهاد ملوندی، نیما ثبوتی، احمد بیستونی</t>
  </si>
  <si>
    <t>رسول نقوی</t>
  </si>
  <si>
    <t>سعید بحرالعلومی، یوسف طاهریان، افشین قدیمی، فریبا رسولی، مروارید معصومی، ماهان جعفری، مهرنوش حسینی، سیدمحمد حسینی، شهرام طهماسبی، زهرا بهاری</t>
  </si>
  <si>
    <t>1399-11-27</t>
  </si>
  <si>
    <t>علی پیله ور</t>
  </si>
  <si>
    <t>لیلی فرداد، فرهاد باقری، علی پیله ور، امیرحسین سیداسماعیل، زینب میرمحمدی، بهراد سالاری</t>
  </si>
  <si>
    <t>1400-12-03</t>
  </si>
  <si>
    <t>امیرحسین شیخان</t>
  </si>
  <si>
    <t>علی نیک افروز</t>
  </si>
  <si>
    <t>زهرا نیکبخت، نسیم نوروزی، پریا انصاردزفولی، مهتاب شهریاری</t>
  </si>
  <si>
    <t>کافه تریای خانه نمایش مهرگان - قدیم</t>
  </si>
  <si>
    <t>1402-12-29</t>
  </si>
  <si>
    <t>علی شعایی، محمد آزادفرد</t>
  </si>
  <si>
    <t>1401-04-07</t>
  </si>
  <si>
    <t>مهدی کاویان، محمدحسین صفائی، رعنا زیادلو</t>
  </si>
  <si>
    <t>1400-08-20</t>
  </si>
  <si>
    <t>مهدی اکبری، علی اصغری صفدر، سام خلیلی، لاله ذوالفقاری، علیرضا روزبهانی، زینب سمیعی راد، امیر شعاعی، عسل شلی، مهرناز طبسی، ندا محمدلو، علی اکبر کی پور، محمدرضا کی پور، سحر محقق</t>
  </si>
  <si>
    <t>روجا بهبهانی</t>
  </si>
  <si>
    <t>مجتبا قدم شاه</t>
  </si>
  <si>
    <t>روژین سلطانی، افرا نوایی، علی بختیاری زاده</t>
  </si>
  <si>
    <t>مهران عشریه</t>
  </si>
  <si>
    <t>سمیرا زائری، سونیا سرلک، پویا عربگری</t>
  </si>
  <si>
    <t>مجید حاتمی، محمدرضا شیرخانلو</t>
  </si>
  <si>
    <t>هومن اسدی، ژالین بیگدلو، مهدیس پریش برون، هلنا پیری آذر، احمدرضا جعفری، مانی حقگو، ثمین زنگنه، سما زنگنه، مهیار شایان فر، امیر محمد شیرخانلو، ابوالفضل عبدالحسینی، سید مهدی غفاری، ابوالفضل مرزبان یار، هلنا میرزاپور، علی مرزبان یار، عرفانه مددی، فاطمه گودرزی، ابوالفضل کرمی</t>
  </si>
  <si>
    <t>دیار دولتخواه</t>
  </si>
  <si>
    <t>باقر سروش_x000D_کارگردان</t>
  </si>
  <si>
    <t>نشاط میرمهدی</t>
  </si>
  <si>
    <t>سوتلانا الکساندرونا الکسیویچ</t>
  </si>
  <si>
    <t>(به ترتیب حروف الفبا)شقایق به دینیان، سورن بیات، منا چمنی، دانیال حسینی، نوید خدام عباسی، شیدا شلالوند، روژین فاطوری فر، فیروزه فقری، ندا قهرمانپور، کوثر کاردان، رابیه میرزاد، آتنا نیکنام، فاطمه ولندیاری، هلنا یزدان مهر، و سروناز نانکلی، آزاده سدیری</t>
  </si>
  <si>
    <t>سالن راحمی - نوشآباد</t>
  </si>
  <si>
    <t>حسین چرخی</t>
  </si>
  <si>
    <t>حسن خاری</t>
  </si>
  <si>
    <t>علیرضا حیدری، مصطفی بقال، منیژه احمدی</t>
  </si>
  <si>
    <t>1400-09-17</t>
  </si>
  <si>
    <t>شایان قنادزاده</t>
  </si>
  <si>
    <t>شایان قنادزاده، امیر آزاد، نازنین دیده ور، مهدی قاسمی خاتونی، هادی شاکری، مصطفی یگانه، پژمان شبگرد، حسین فتاحی، جواد دارایی، سیدعبدالله حسینی، مجتبی امیرعسکری، امین سخنور، رضا امیررضایی، محمدرضا رضائی، پویا ترکمندی، ندا محمدلو، سحر باقرآبادی، آناهیتا امیرعسکری، فاطمه یزدانی، فاطمه سلطانی، معصومه پورنورام، صادق سعادت</t>
  </si>
  <si>
    <t>میترا زاهدی</t>
  </si>
  <si>
    <t>کولین سررو</t>
  </si>
  <si>
    <t>(به ترتیب ورود به صحنه) مصطفی مهربان، علی رشوند، محمد پویا، فرزانه سکوتی، کامران چنگیزیان، کسری پرتوی، امیرحسین عادلی، محمد خداوردی، سارا لاهوت، ساناز مصباح، سالار خمسه، انسیه رمضانی، بهمن علاقبندان، رحمان عباسی سیاوش</t>
  </si>
  <si>
    <t>مرتضی نورپور، پریسا کاظمی</t>
  </si>
  <si>
    <t>(به ترتیب ورود به صحنه) مریم افشاری، مرتضی نورپور، جواد ابوطالبی، پریسا کاظمی، محمد کاظمی، مهدی امیر ارسلانی، عطا مددی، علی سلمانی، رزیتاپورحسن، زاهد فیضی</t>
  </si>
  <si>
    <t>یاسمن نصرتی</t>
  </si>
  <si>
    <t>(به ترتیب حروف الفبا) تارا ارژنگی، مصطفی ایزدی، رها حاجی زینل، علیرضا حنیفی، تنان ساعد، کامران ساعد، شیرین عطاالهی، سارا غفاری، پیمان محسنی</t>
  </si>
  <si>
    <t>01:12:00</t>
  </si>
  <si>
    <t>1400-05-23</t>
  </si>
  <si>
    <t>راد پورجبار</t>
  </si>
  <si>
    <t>راد پورجبار، حمیدرضا هدایتی</t>
  </si>
  <si>
    <t>مهناز افتاده نیا، مهیار قزل سوفلو، هانیه مقدم، نعیمه دوستی، آوا طلوعی، جلال محبی، حامد مهدی نژاد، فرشید شایسته، مجید عراقی، محمدجواد شفیعی، توحید لواسانی، نازنین ذوالفقاری، فرتاش دوراندیش</t>
  </si>
  <si>
    <t>مرتضی گلچین، نیلوفر بابایی، کیمیا محمدی، رضاموسوی، ملینا علیمحمدی، فائزه صاحبی، میلاد صوفی، اویان براتی فر</t>
  </si>
  <si>
    <t>نیما هاشمی سرشت، کیمیا خلج، هدیه هاشمی، علی ریاحی، دنیا مدنی، آناهید ادبی، سعید حشمتی، میلاد کفایی، نیلوفر مرآت، سیاوش معمارزاده، علی گیلوری، مریم بهمن پور، محمد سعادت، سجاد باقری، بهناز تاجیک</t>
  </si>
  <si>
    <t>پریسا نوروزی</t>
  </si>
  <si>
    <t>سمیرا زائری</t>
  </si>
  <si>
    <t>امیرمحمد شهنی دشتگلی</t>
  </si>
  <si>
    <t>امیرحسین سرداریان، یاشار بیک زاده، مهتاب وجدانی، مریم کیا، البرز احمدخانی، دریا سادات رضوی زاده، غزل حسن زاده، مهتاب عسکری</t>
  </si>
  <si>
    <t>1402-04-14</t>
  </si>
  <si>
    <t>(به ترتیب حروف الفبا) آیدا آقاخانی، لیلا آقاسی، پریسا تشکری بهشتی، مژده خدابنده، سحر خیرالله، نیلوفر ذوالفقاری، پرنیا سراج، ساینا سماک، مینا محب زاده، پریسا منفرد، آتنا نورانی و کسری هدایت نیا</t>
  </si>
  <si>
    <t>رضا کرمی زاده</t>
  </si>
  <si>
    <t>اکبر آیین، نازنین نادرپور، اردلان فنی، وحید شفیعی، پوریا نیک اقبالیان</t>
  </si>
  <si>
    <t>تالار شهر شهرداری کاشان</t>
  </si>
  <si>
    <t>17:10:00</t>
  </si>
  <si>
    <t>وحیدرضا صادقپور</t>
  </si>
  <si>
    <t>محمد حمیدی شاد، سعید خسروی، سمیه اکبری، امیرحسین ستاری، آزاده شایسته، مریم حمیدی جو، وحیدرضا صادقپور</t>
  </si>
  <si>
    <t>سعیده آجربندیان</t>
  </si>
  <si>
    <t>سیدجواد یحیوی، فائقه شلالوند، فربد فرهنگ و سحر گلشیرازی</t>
  </si>
  <si>
    <t>1402-02-18</t>
  </si>
  <si>
    <t>سلاله تمکین وش</t>
  </si>
  <si>
    <t>امیر امجد</t>
  </si>
  <si>
    <t>الهه خلیلی، صوفیا جعفرپور، کوشا مجنونی، علیرضا حلمی، ترکان کلانتری، یلدا میرزائیپور</t>
  </si>
  <si>
    <t>مجتبی شجاعی زاده</t>
  </si>
  <si>
    <t>سجاد طهماسبی</t>
  </si>
  <si>
    <t>ملینا قدیمی</t>
  </si>
  <si>
    <t>محمد قربانی</t>
  </si>
  <si>
    <t>(به ترتیب حروف الفبا) آیناز ایقانی، امیر بابازاده، ثمین جدی، سحر حاجیلو، مهدیه خلج، علی شعفی، مونا صحراگرد، شهریار فعلی، مهرداد فاضلی، محمد قربانی، محمدامین محمدلو، ارسلان نصیرآبادی، حسین نیروفری، شکوفه نوشادی</t>
  </si>
  <si>
    <t>محمود مقامی، حامد شیخی، امیرحسین انصاری، مهدی هنرسازان، رویا شیخی، ساغر بهنام، لاله ذوالفقاری، بیتا زین الدینی، ساناز خدایی، مریم بابایی، سپیده سعیدی نیا، النا زنگنه، فرگل روشن ضمیر، نوید نوبخت، ماهان مقامی، علی پیله ور، محمدرضا محمدپور، علی کاظم پور، متین صفار، کیوان آزاد، محمد جبرائیلی، امیرحسین فهادان</t>
  </si>
  <si>
    <t>حمیدرضا محمدی پور، امید رهبر، بهروز حسین نژاد، سارا جودت، پایا پورهمدانی، فرشاد نجفی، محمد مغانی، علیرضا (نیما) قربان زاده، سمیه محدودی، ساناز علی نقی، احسان موذن، رسول محمدی، عرفان زارعی، مجتبی ترکمان، دانیال کریمی، مجید دریایی، مهسا سجادی پور، الهام بدری، مهدی رشیدی، ساحل رستمی، حامد شیرازی، متین انصاری، مبینا نوروزی، فرزان برومند، عاطفه رکرک، محدثه عطایی، رضا نیکخو، بهاره بدلی ورزقانی، توحید پاسبان، راحله بیطرفان، زهرا ضیائی، میثم میثمی، پارمیدا جمشیدی بهمبری، محمد جمشیدی بهمبری، نسترن فلاح، مهدی دشتی، طاهره جعفریان، ساجده لطفی خاتونی، پوریا کرمی، پرنیا صالحی، نگار شیرازی، فرزاد خالقی، محمد شکرالهی</t>
  </si>
  <si>
    <t>فاطیما سرلک</t>
  </si>
  <si>
    <t>سحر تراب احمدی، میریام مریم ذاکری، فاطمه فراهانی، سیمین میرشفیعیان، نغمه گرجیان منش (مهمان از گروه هوم)</t>
  </si>
  <si>
    <t>مرضیه ذاکری</t>
  </si>
  <si>
    <t>احسان فلاحیان</t>
  </si>
  <si>
    <t>شایان فلاحیان، نوید نوروزی، مرضیه ذاکری، نوید کشاورز، فاطمه فرخانی، مهیا جهانگیری، هستی امانی، کوثر قمی، نازنین شیخعلی، طناز عقبائی، رایکا کریمی، بهار ابهری، الین موسوی، مریم باقر پور، مائده محمد رضائی، فاطمه همتی، شینا شفیعی</t>
  </si>
  <si>
    <t>الهام رضایی، علی کشوری، شیما زادپور، میثم نیکخواه، دلارام زرگر، مهدی ارجمند</t>
  </si>
  <si>
    <t>امیر حسین سرداریان، پیمان محسنی، محمدرضا صولتی، امیرحسین شفیعی، مرجان شکوفکی، ماهان اسماعیل آبادی، عرفان هنربخش، آرش علیقلیان، امیر عباس خراسانی، امیر نوایی، هادی لطفی، پگاه کریم زاده، علی دواتگران، حامد شمسه، زهرا امیرانصاری، ستایش مهدوی ایزدی، عرفان قربانی سعادت، علیرضا دلیر، مبین غضنفری، مریم چمن دوست</t>
  </si>
  <si>
    <t>امین طباطبایی، عمار عاشوری، امیر رجبی، ندا حبیبی، الهام ابنی، آرش دادگر، آبان زارعی، سعید راستی، شیرین صفایی، مهراب رستمی، آیت بی غم، هانیه مهری، سید شهاب الدین خاضع حق، یونس افسری، مینا امامی، مهدی سلطانی، هانیه موسوی، محمد خدایی</t>
  </si>
  <si>
    <t>تئاتر شهر کرج - سالن حافظ</t>
  </si>
  <si>
    <t>کاظم سلمانی</t>
  </si>
  <si>
    <t>مصطفی خیرالهی، مهدی کرنافی نژاد، پویا مومنه، یلدا دهقانی، کاظم سلمانی</t>
  </si>
  <si>
    <t>1401-06-01</t>
  </si>
  <si>
    <t>فرزاد برهمن، علی افضل، مجتبا بتوندی، حسین احمدی قاجاری، آیدا رزاق زاده، سپیده محمدترشانی، آوا بهرامی، بارمان کاظمی، سارا فتحی، محمد فتح اللهی، محدثه محمدی، امیرحسین بازگیر، امیر ملکی، مبینا سلیمانفلاح، سرمه سلامیزاده، آرمیتا رهنما، پارمیدا شایان، سما سعادت</t>
  </si>
  <si>
    <t>حسین احمدخانی</t>
  </si>
  <si>
    <t>(حسین) مهراد احمدخانی</t>
  </si>
  <si>
    <t>(حسین) مهراد احمدخانی، فاطمه زمانی، شیوا اریایی</t>
  </si>
  <si>
    <t>محمدحسین کریمی</t>
  </si>
  <si>
    <t>(به ترتیب ورود به صحنه) محیا جوان، یگانه اصغری، محمدحسین کریمی، حمیدرضا نبی زاده، پیمان رادپور، حسین درخشان</t>
  </si>
  <si>
    <t>(به ترتیب الفبا) مهیار اسلامی، فرید رحمتی، فرشید قلیپور</t>
  </si>
  <si>
    <t>علی مولایی</t>
  </si>
  <si>
    <t>(به ترتیب حروف الفبا) سنا باسامی، پرستش پورمیرزا، علی جلولی، رضا حجتی، حامد خرم آبادی، محدثه دانش، مهوش زهدی، هلیا قاسمی جهان، تیماه کلاته، امیر کنجکاو، علیرضا محمدیان، بهرام مصطفایی، ترانه معتمد، علی مولایی، نازنین هدایتی نیک فرد</t>
  </si>
  <si>
    <t>(به ترتیب ورود) میثم عبدی، امیرمحمد رفیعخواه، مهتاب وجدانی، مرتضی علی دادی، سوگند قریشی، مریم اسدی، سجاد قربانی، زهرا مرادی، محمود روحبخش، مهرناز بختیاری، سپیده ضیایی، عارف عباسی، امیرحسین جوانی، رایحه وصالی، کوثر صمدی، بشیر اصلانیان</t>
  </si>
  <si>
    <t>1399-12-04</t>
  </si>
  <si>
    <t>محمد جعفری</t>
  </si>
  <si>
    <t>پریما مجتهدی، مهدیه رضایی، حمید مریخی پور</t>
  </si>
  <si>
    <t>مهدی یوسفیان</t>
  </si>
  <si>
    <t>محمد شایان طهماسب پور، اشکان هورسان، مرجان آقانوری، سحر بیرانوند، محمد عبداللهی، زهرا فدوی صامتی، رضا حسین نژاد، ، شاهکار هدایت، بامداد تاجیک، کیمیا فرنیا، عرشیا حسین، شهراد وکیلی.، سپهر اصلانی، حمید راستجو، لیلا مرادی، آرزو امیری، جواد یوسفیان، علیرضا گلکار، صدف تردست، محمدمتین بهرامی، کاترین کشکر، سنا باسامی، الهه دیبا، پرنیا حسین، محمدرضا زند، پرنیا سراج، مریم نبی زاده، امیرحسین مالمیر</t>
  </si>
  <si>
    <t>عباس ایمانی</t>
  </si>
  <si>
    <t>علی رافتی، آیسل امامی، حامد جبروتی، حسین غریبی، مریم فرهمند، درسا بابالویی، محمد بختیاری، امیرعلی کوندری، باران احمدی، زینب مرجان، سینا رهگذر، مهدی حسینی</t>
  </si>
  <si>
    <t>ویدا لقمانی</t>
  </si>
  <si>
    <t>سمن قناد، نازنین دیده ور، نریمان ماهد، علی فراهانی، فاطیما محمدی، رضا طاهری، مبینا سرلک، علی سلطانی، رها رحمانی</t>
  </si>
  <si>
    <t>مجید رحمتی، الهه شهپرست، میلاد رمضانی (ورجاوند)، فاطمه حیدری فر، مهدی ضیائیان پور، سیمین بهفر، حسن تدینی</t>
  </si>
  <si>
    <t>حامد شیخی، امین اکبری نسب، علی اسدیان، سارا محبی، ساغر بهنام، سپیده عباسی، مریم بابایی، محسن بهرام، محمد باقر عجملو، تداعی سعیدی فر، محمد منافی، رویا شیخی، علیرضا میرزایی، ساناز خدایی، محمد واحد پرست، ژیلا گنجه، علی پیله ور</t>
  </si>
  <si>
    <t>زهرا شفاف، یگانه جوادزاده، عرشیا درزی و محمدرضا مولودی</t>
  </si>
  <si>
    <t>1399-07-03</t>
  </si>
  <si>
    <t>(به ترتیب ورود به صحنه)علیرضا زنده دل، بهار ودادی، پوریا جلال وندی، آوا ولدیان، فاروق محمدی، الهام غریب، مجید اقبالی، مهسا انصاری، علی دبستانی، یاسمن حسینی</t>
  </si>
  <si>
    <t>سید محسن میرهاشمی</t>
  </si>
  <si>
    <t>حسین رفیعی، السا فیروز آذر، جمال فوادیان، مقداد کامیاب اسلامی، افشین قدیمی، سمیرا سلیمی، سپهر ملکوتی، محسن جلالی راد، نوشین نوروزی، محمدحسن کریم وند، سید محسن میرهاشمی</t>
  </si>
  <si>
    <t>علی باهری</t>
  </si>
  <si>
    <t>فرهاد ارشاد</t>
  </si>
  <si>
    <t>نازنین فراهانی، علی باهری، سامان توحیدی، سینا ساعتیان، محمد شه مرادی، امیرحسین اسفندیاری، دیبا پورعزیزی، رها میرمیثاقی، نگین صدر، شهربانو رخشان، مبینا زمانیان</t>
  </si>
  <si>
    <t>جواد تولمی</t>
  </si>
  <si>
    <t>آرزو صرّاف رضائی</t>
  </si>
  <si>
    <t>محمد تنها</t>
  </si>
  <si>
    <t>جلال تهرانی</t>
  </si>
  <si>
    <t>ایلا تهرانی، تارا یونس تبار</t>
  </si>
  <si>
    <t>1399-07-26</t>
  </si>
  <si>
    <t>فریبا نیروئی، محمدرضا اکبری، نگار رضایی، زهرا شاهسَون، علی ایزدی، شایان محمدی، محمد رضا رسولی، پویا آصفی، امیر دشتی، مهرداد قادری، میلاد صوفی، کامران ورزیده، اویان براتی فر</t>
  </si>
  <si>
    <t>پوریا رستمی</t>
  </si>
  <si>
    <t>(به ترتیب ورود) شقایق سرسختی، علیرضا مهران فر، دنا شهبازی، میلاد رفاقتی، سیدصدرا سبحانیان، مهسا جوادی، آرین علافچیان، شایان رزقی، رضا امانلو، احمد عباسی، سهیل محبی، دنیا صنوبری، هلن بهرامی، محمد رحمتی، نازنین شایان، سالار مسیب زاده</t>
  </si>
  <si>
    <t>تماشاخانه تتماج</t>
  </si>
  <si>
    <t>لیلا  ملک آرا، میلاد سرائی، فاطمه رهبری، امیرحسین زارع، هادی آبیاری، فرنود حاجی آخوندزاده، پارمیدا شایان</t>
  </si>
  <si>
    <t>سهیل حاتمی</t>
  </si>
  <si>
    <t>مهسا احمدپور، سجاد حسین پور، سحر دیده ور، عرفان سلیمی</t>
  </si>
  <si>
    <t>حسین زینالی</t>
  </si>
  <si>
    <t>سولماز تقی زاده، محمد سیفی دلی، مرتضی صفائی نائینی، غزاله آشوب، نگار اصغری، سارا نوین، پریا جزایری، شیرین کنعانیان، نگار صادقی کنجانی، زینب پور کشاورز، هانیه کاظمی</t>
  </si>
  <si>
    <t>1399-08-09</t>
  </si>
  <si>
    <t>پویا امینی</t>
  </si>
  <si>
    <t>امیر غفارمنش، پرهام امینی، دنیا مستعلمی، پریسا محسنی، نسترن پارساییان</t>
  </si>
  <si>
    <t>حوزه هنری - تالار اندیشه</t>
  </si>
  <si>
    <t>محمدرضا ارکان</t>
  </si>
  <si>
    <t>یاسین حجازی</t>
  </si>
  <si>
    <t>(به ترتیب حروف الفبا) محمدصالح ابراهیم زاد جهانبانی، علی برمکی، سید علیرضا حصوری، علیرضا خوشه گیر، محمد صالح سرلک، سید محمد حسن عرب عامری، محمد معین مرادی، محمدحسین محمد همدانی، محمد امین میرزائی، پارسا پورکمال</t>
  </si>
  <si>
    <t>صادق برقعی</t>
  </si>
  <si>
    <t>(به ترتیب ورود به صحنه) غزاله توده زعیم، زهرا مهرابی، ساناز آقایی، بیتا عزیز، صادق برقعی، سپهر طهرانچی</t>
  </si>
  <si>
    <t>محمد نژاد</t>
  </si>
  <si>
    <t>محمد نژاد، دلارام ترکی</t>
  </si>
  <si>
    <t>(به ترتیب ورود به صحنه) نرگس هزاره، حمید رضا کاظمی پور، مانی خلیلی، نازیلا احمدی، بهزاد محسنی</t>
  </si>
  <si>
    <t>23:00:00</t>
  </si>
  <si>
    <t>بهاره رهنما</t>
  </si>
  <si>
    <t>محمد جوانمردی</t>
  </si>
  <si>
    <t>پائولو کوستلا</t>
  </si>
  <si>
    <t>علی یغمائی، محمدعلی آقائی، ماهان ترابی، محمدحسین کیا، سحر ندایی، کیمیا زارعی، فریبا چگینی، پریسا شریفی</t>
  </si>
  <si>
    <t>محمد مطهری پور</t>
  </si>
  <si>
    <t>شراره منصور آبادی</t>
  </si>
  <si>
    <t>1401-10-07</t>
  </si>
  <si>
    <t>مجید علم بیگی</t>
  </si>
  <si>
    <t>ویکتور فون بیلو</t>
  </si>
  <si>
    <t>مریم عسگری، مهدی جواهری، فرید ملک محمدی، ناهید صاحبی، عماد مهدی زاده، کوروش محمدرضا، علیرضا محمدنژاد، رونیا میرشجاعی، هانیه رجایی، شادی رشیدی مقدم، آیلین خدابنده لو و مجید علم بیگی</t>
  </si>
  <si>
    <t>مهدی کیهان نژاد، فردین افشارفر</t>
  </si>
  <si>
    <t>اشکان بخشنده، فردین افشارفر</t>
  </si>
  <si>
    <t>ایمان اصفهانی، بنیامین میرزاپور، مینا حسنلو، بیتا اسکندرنژاد، علیرضا فتاحی، نگین سرتیپی</t>
  </si>
  <si>
    <t>1402-02-23</t>
  </si>
  <si>
    <t>مبینا معراجی</t>
  </si>
  <si>
    <t>(به ترتیب حروف الفبا) آرمان محمدی، مبینا معراجی، حنانه ملکوتی، محمدمهدی همتی</t>
  </si>
  <si>
    <t>ایمان اسکندری</t>
  </si>
  <si>
    <t>سمانه زارعی</t>
  </si>
  <si>
    <t>اسماعیل گرجی، سمانه زارعی، شبنم دادخواه، محمد برهمنی، امیراحمد قزوینی، آزاده صمدی</t>
  </si>
  <si>
    <t>محمدحسین رحیم</t>
  </si>
  <si>
    <t>(به ترتیب ورود به صحنه) سعیده رودبارکی، سعید عظیمی، شهاب بهرامی، ریحان غلامی، علیرضا شعاعی فر، حسین ابراهیمی، محمدحسین رحیم، عطیه حسینی، مهشید پروین، فاطمه اسدی، صادق راد، امیرحسین حبیبی علیشاه، نگار محمدی، جواد یوسفیان، محمدرضا مهاجر، مهدی دیده ور، هدیه رمضانی، علیرضا جولایی، آتوسا فرجادیان، سپهر اسدی</t>
  </si>
  <si>
    <t>آرام طالشی</t>
  </si>
  <si>
    <t>نازیار عمرانی</t>
  </si>
  <si>
    <t>عاطفه چوپانی، درسا خوالی، حمیده دهقان نیری، پرنیا سراج، آرام طالشی، سیما کیخامقدم، فریبا نیروئی</t>
  </si>
  <si>
    <t>علیرضا ثابتی، حمیده خراط پور، محمود کامشگران، پارسا پیراسته</t>
  </si>
  <si>
    <t>20:50:00</t>
  </si>
  <si>
    <t>کمال عبدی</t>
  </si>
  <si>
    <t>(به ترتیب ورود) دلنیا اسدی، معین حاجیلو، شادان مکوندی، سارا باقرزاده، عسل عبدالرزاق، صادق طالع، ویولت غفاری، الهام گلستانی فر، محمد حسین رمضانی، امیرعرفان خوشیاری، محمد نصراوی</t>
  </si>
  <si>
    <t>1402-12-03</t>
  </si>
  <si>
    <t>برکه بذری، برنادت تاتارو، عارفه احمدپور، داریوش احمدی، میلاد صفوی، سیما خالقی، امید داودوندی، فرزانه رضایی، بهار جوهری، پارسا رنجبر، حسین رضایی، محمد ملک نیا، مهشید رضازاده، گیز طاهایی، پویا فیاضی، سوگند انتظاری</t>
  </si>
  <si>
    <t>1401-06-12</t>
  </si>
  <si>
    <t>محمد امیر یار احمدی</t>
  </si>
  <si>
    <t>(به ترتیب ورود) علی سلیمان زاده، حمید اسپرهم، بهناز متولی باشی نایینی، بهناز شریفی، سپیده دشتی، فاطمه نایب</t>
  </si>
  <si>
    <t>حامد شیخی، علی پیله ور، مجتبی جعفری پور، مصطفی خسروجردی، امیرحسین انصاری، ساغر بهنام، تداعی سعیدی فر، علی اسدیان، شاهکار هدایت، ملیکا زاهدی، سارا محبی، سایناز نگاهی مقدم، صادق کاوانلویی، نازیلا عظیمی، نوید نوبخت، هانیه توانایی، رویا شیخی، مبینا محمدی، سارا عسگری، ملودی خلیل زاده، هستی زمان وزیری</t>
  </si>
  <si>
    <t>1400-08-26</t>
  </si>
  <si>
    <t>سعید پارسا</t>
  </si>
  <si>
    <t>ادواردو دفیلیپو</t>
  </si>
  <si>
    <t>(به ترتیب ورود به صحنه)فرشاد کوکبیان، آرین صفایی، امیرحسین شصتی، هاشم مرادمند، مجتبی مجیدی، فریبرز شاه کرمی، مهسا حسینی، علی دشتی، پگاه زارعی، بهناز دانش</t>
  </si>
  <si>
    <t>سعید حسنلو</t>
  </si>
  <si>
    <t>سعید حسنلو (با نگاهی به داستان گیرنده شناخته نشد ترجمه بهمن دارالشفایی)</t>
  </si>
  <si>
    <t>مجتبی پیرزاده، الهه افشاری، روژین صدرزاده، فاطیما بهارمست، پاشا رستمی، مهناز کرباسچیان، امیر نوروزی، فرانک کلانتر، مینا زرنانی، اشکان دلاوری، سهیل ساعی، توحید نوروزی، وحید منتظری</t>
  </si>
  <si>
    <t>رسول قادری</t>
  </si>
  <si>
    <t>نوید ترابی</t>
  </si>
  <si>
    <t>نسیم پورسلیم، الهه ناظری، فرشاد تمیمی فرد، نگین وکیلی، ارینا احیایی، رسول قادری</t>
  </si>
  <si>
    <t>فاطمه کاظمی</t>
  </si>
  <si>
    <t>ابولفضل صفوی، فاطمه کاظمی، ناصر سلیمانی، صحرا جهانگیری، کیمیا نجفی، روژان غزلگو، پارسا موسوی زاده، آناهیتا قدرتی پور</t>
  </si>
  <si>
    <t>میلاد نیک آبادی</t>
  </si>
  <si>
    <t>بهزاد آقاجمالی</t>
  </si>
  <si>
    <t>(به ترتیب الفبا) آوا تدین، مرتضی حسین زاده، سجاد حمیدیان، شبنم دادخواه، دنیز دانش، کورش دانشور، طاهره هزاوه</t>
  </si>
  <si>
    <t>سروش طاهری</t>
  </si>
  <si>
    <t>(به ترتیب حروف الفبا) پروا آقاجانی، سحر پیرعلی، نیلوفر پناهی، مانلی حسین پور، فرحان حقیقی، درسا درخشان، الهه زحمتی، مارال عبدالحسین پور، امیررضا کوشانی، سعید مصطفایی</t>
  </si>
  <si>
    <t>لیلی صبری، علیرضا (نیما) قربان زاده، فرید گلریز، لاله حشمت پسند، نیما نیکمنش، عرفان سیف الهی، الیکا تصدیقی و محمد سعوه</t>
  </si>
  <si>
    <t>مرتضی کوهی، فروزان هاشمی پور</t>
  </si>
  <si>
    <t>سالن سی نوول</t>
  </si>
  <si>
    <t>آزاده شمس</t>
  </si>
  <si>
    <t>مهسا دلداده، محمد امین قربانی، سینا توکلی، مریم علیزاده، یسنا افروزه، یاسمن رضایی، نادیا منصوری، سلاله بخشی پور، مریم یزدانی، دینا افروزه، تارا فتح الهی، ارغوان رجبی، آزاده شمس</t>
  </si>
  <si>
    <t>سعید هاشمیپور</t>
  </si>
  <si>
    <t>رضا بهرامی، علی تابع امام، هورا سلیمانی، سحر گلشیرازی، امین نبی الهی</t>
  </si>
  <si>
    <t>سیدمحمدجواد کبودرآهنگی</t>
  </si>
  <si>
    <t>سید مهرداد کاوسی حسینی، محمدعادل غلامی، محمد طالبی، امیرحسین فاطمی، رامین ارجمندی، مرضیه دهقانپور، مهدی بیابانی، مهدیه شهرام، سید محمد جوادکبودراهنگی</t>
  </si>
  <si>
    <t>پوریا هلالی، احسان صاحبدادی، یاشار دبیری، بهاره همایونفر، کمند کلبادی، شایان پورملایی لنگرودی</t>
  </si>
  <si>
    <t>1398-12-14</t>
  </si>
  <si>
    <t>علی رویگری</t>
  </si>
  <si>
    <t>سمیرا واثقی، الهام آزادی، حسین فرخیانی، الهام علیزاده، مونا مهری، امیر عبدالهی، مصطفی امانی، محمدحسین جراحی، احسان سید علیخانی، مجید بهجت</t>
  </si>
  <si>
    <t>امیرحسین طاهری</t>
  </si>
  <si>
    <t>بهزاد اقطاعی، فائزه آبزن، عرفان اجلی، علیرضا اخوان، تکتم اخجوانی، محمدحسین اسحاقی، نرگس اسفندیاری، نفس افضلی، افق ایرجی، بهادر باستان حق، متین بختی، امیر پاسبان، سعید پارسا، هادی تک زارع، ایرج حیدری، احمد خان محمدزاده، رضا خسروی، محمد درستکار، محمد سپهری، محسن شفیعی، امیر شربتی، علی شیرپی، احسان صاحب الزمانی، مهدی عابدی، عرفان فلاح، پرستو فلاحی، رها فرزانه، نگین فیروز منش، محمد کرمی، مهتاب مستور، احسان مهدی زاده، داود میرعلایی، امیرحسین نادری، سینا نداف، حامد نوبخت</t>
  </si>
  <si>
    <t>احمد دهقان، رعنا زرگرزاده</t>
  </si>
  <si>
    <t>رزا ماندنی، رعنا زرگرزاده، شیرین ریاضی، آرزو صدری، طناز کلانتریان، پریا پرنیان، نشاط رازانی، افرا جبارزارع  و شیدا باطنی</t>
  </si>
  <si>
    <t>مسعود طیبی، مسعود نیازی، روشنک رضایی مهر، بهار گل آور، پارسا پیراسته</t>
  </si>
  <si>
    <t>سجاد باقری</t>
  </si>
  <si>
    <t>مائده کریمیان</t>
  </si>
  <si>
    <t>حمیدرضا اسماعیلی</t>
  </si>
  <si>
    <t>علیرضا اسماعیلی، امیرخشایار امجدی، نرگس هاشمی، پرتو مهر، انیس سلامی، کیان طایفه، پوریا سعیدیان، عطیه ملکی، رعنا رحمانی، نفس حسینی</t>
  </si>
  <si>
    <t>میثم کرمی</t>
  </si>
  <si>
    <t>مرضیه شاه دادی</t>
  </si>
  <si>
    <t>میثم کرمی، پروانه عیسوند، عرفان مهدیزاده</t>
  </si>
  <si>
    <t>1398-11-05</t>
  </si>
  <si>
    <t>نوید معمار</t>
  </si>
  <si>
    <t>علی باقری، پریسا صبورنژاد، مهتاب ثروتی، بهار رضی زاده، آرمان خوزستانی، ماهنی مهرپور، نیوشا شهیدیان، نرگس هزار، سوزان عمران، فائزه ندایی، مهسا پوره، شیده غفاریان، نگین فیروز منش، دیبا فلاح، مائده جلالی، لیلا امانت، مهری کاظمی، برسام نوری اسکویی، سحر گلشیرازی، شیلان نانوازاده</t>
  </si>
  <si>
    <t>یوسف میرزایی</t>
  </si>
  <si>
    <t>محمد سعید فرازمند، بیژن رضایی، سعید امیری فرد، حمید قادری</t>
  </si>
  <si>
    <t>1400-05-05</t>
  </si>
  <si>
    <t>حنانه آجرلو، پرنیان اسلامی، محمد مهدی ایرانی، زهرا بابایی، ارغوان رشیدی، مهشاد اخلاقی، محمد رشیدی، هلنا پوراسمعیل، حنانه حسن آقاخانی، نیلوفر عبدالله پور، مهسا مهدی پناه، مهدیار مرصعی، امیرحسین خانلو، سید محمدرضا موسوی، مبینا اهوار، مهدی بازیار، امیرحسین داودی، فریما صادقی، حنانه ملکوتی خواه، فاطمه عیوضی، سما سلطانی، مبینا حمزه پور، امیر مهری</t>
  </si>
  <si>
    <t>مهدی تنگ عیش</t>
  </si>
  <si>
    <t>میرزا احمدخان کمال الوزاره محمودی</t>
  </si>
  <si>
    <t>مهدی ملکی، هادی شبانی، رامونا خانقایی، آوا گنجی، عمادالدین محبی، فاطمه عبدالهی، زینب عباسی، هانا صالحی راد، دانیال جلیلیان، ادریس امانی، مرتضی تندری، شیوا کوشکانی، حسن فتحعلی بیگی، امیرحسین حقیقی</t>
  </si>
  <si>
    <t>(روزهای زوج) علیرضا (نیما) قربان زاده، (روزهای فرد) علی ایزدی</t>
  </si>
  <si>
    <t>1401-06-16</t>
  </si>
  <si>
    <t>امیر بشیره نژاد، مرمر معتمدی دانا، کیمیا علی زاده، مریم حبیبی، رومینا قلعه وند، سارینا گودرزی، معصومه ملکی، حسین اکبری، باران فتحی، منصوره کاملی، غزاله رحیم، امید صیادی، حسین قاسمی، طناز امیری، حمید بهمنی، هلیا جولایی مقدم، سهیل میری</t>
  </si>
  <si>
    <t>نازنین نادرپور، سید محمد سعیدی، سجیه آشوری، صدف نظری، بهنام مهدی پور، پوریا ریحانی، سپاس رضایی، کمند شمس</t>
  </si>
  <si>
    <t>(به ترتیب ورود)رضا بهرامی، مجید رحمتی، سهیل ملکی، سامان کرمی، نجلا نظریان، حسین خجسته، آروین فلاح، کهبد تاراج، مسعود حکمت آرا</t>
  </si>
  <si>
    <t>آرام نیک بین، نادر نادرپور، حسین کرمی، الهه اصغری، آذین باقریان، حامد سوری، سمانه شعاعی، نگین وکیلی، تیما قاسمیان، محمدرضا فرهمند تبار، امیرحسین اسکندری، محمدرضا ابراهیمی، حسام قانونی، گندم ابراهیمی، عارفه حبیب زاده، سوفیا امانی، زینب جورسرائی، مهلا حسینی، سارا رحمان پور، پگاه امیرآبادی، یلدا علوی، پرنیا گنجی، لیدا معتمد، حدیث قاسمی، حمید عباسی، عرفان سررشته دار، شعله حاتمی، محمدجواد عارف اصیل، علیرضا علی یاری</t>
  </si>
  <si>
    <t>سامان شکیبا، آساره هداوند، علی حیدری</t>
  </si>
  <si>
    <t>سالن شهید انصاری - رشت</t>
  </si>
  <si>
    <t>1401-03-06</t>
  </si>
  <si>
    <t>نیما جهان بین</t>
  </si>
  <si>
    <t>مسعود منسومی، ستاره لعل، جعفر نظری، حمیدرضا عطایی، مازیار رشیدصالحی، علیرضا مقدم، امید امینی، پرهام کاظمی، شایان معینی</t>
  </si>
  <si>
    <t>مسعود فیروزان مهر</t>
  </si>
  <si>
    <t>مجید علم بیگی، مریم عسگری، مهدی جواهری، سارا فردوسی، مهرزاد نیکنام، علیرضا تکش، بهنام محمدزاده، مرتضی طهرانی، علیرضا محمدنژاد، محمد حسین کیا، پانته آ حسینی، مصطفی شویکلو، زینب حجه فروش</t>
  </si>
  <si>
    <t>آرمان طیران، آرش ابراهیمی</t>
  </si>
  <si>
    <t>(همیاران اجرا) علیرضا مجیدی، مهرداد امیری، هلیا حکیمی، محمد ابراهیم خلیلیان، هلیا کوشکی، رضا بیرانوند، مهشید فلک دین، نگار میرزایی، امیرحسین صارمیان، مهسا فرهادی، فاطمه پولادخای، نازنین ایرانی شاد، کیمیا مظفری، الهه نورانی، سحر صفریان، هدیه بختیاری، سید محمدپارسا رضوی، دنیز میرزائی، امیرحسین قربانی، بامداد تکمیلیان</t>
  </si>
  <si>
    <t>محسن برزگار، ملینا صدقی، مبینا معظمی، امیرمحمد صادقی، المیرا صدقی، محمد طاها فرزانه، علی محمد کثیری</t>
  </si>
  <si>
    <t>محمد رضایی مقدم، احمدرضا نورالهی، محمدجواد رضوانی، تامارا یکتا</t>
  </si>
  <si>
    <t>(به ترتیب حروف الفبا) معصومه افراسیابی، هیربد اولیایی، امیررضا باباولیان، عاطفه بداغ آبادی، تانیا بیات، هانا پیرصالح، مطهره حاجیان، ملیکا حیدری، هلیاخادم، محمدرضا رضایی نسب، امیرعلی زمانیان، محمدامیر شایگی، شایان طرقه، امیرمهدی فاطمی، نیکی میرصادقی، سامان ولی سلطانی</t>
  </si>
  <si>
    <t>نگین ضیایی</t>
  </si>
  <si>
    <t>سپیده ضیایی</t>
  </si>
  <si>
    <t>(به ترتیب حروف الفبا) حامد ادوای، نیما انصافیان، ساجده حمیدی منزه، شادی ضیایی، رضا مرشد، امین موحدی پور</t>
  </si>
  <si>
    <t>1402-05-25</t>
  </si>
  <si>
    <t>نادر فلاح، علیرضا اخوان، فرزانه ابوالهادی، عرفان اجلی، فائزه آبزن، محمدحسین اسحاقی، افق ایرجی، امیر پاسبان، فاطمه پاسبان، سعید پارسا، هادی تک زارع، ایرج حیدری، احمد خان محمدزاده، آناهیتا خسروی، محمد درستکار، محمد سپهری، امیر شربتی، علی شیرپی، محمد کرمی، احسان مهدی زاده، داود میرعلایی، امیرحسین نادری، سینا نداف، حامد نوبخت</t>
  </si>
  <si>
    <t>ناصر صوفی، علی گوران</t>
  </si>
  <si>
    <t>ارحام اسماعیل خانی</t>
  </si>
  <si>
    <t>محمد حسین رحیمی، محمدامین پهلوان، آرش جباروند، سینا آراسته پور، حمیدرضا دادار، امیرحسین سوری، کیارش رادمهر، حمید رضا یداللهی، سعید محمدی، حامی صالحی، ابوالفضل فرجی، ناصر صوفی، علی گوران</t>
  </si>
  <si>
    <t>(به ترتیب حروف الفبا)آوا تدین، مرتضی حسین زاده، سجاد حمیدیان، شبنم دادخواه، دنیز دانش، کورش دانشور، طاهره هزاوه</t>
  </si>
  <si>
    <t>علی مسرور</t>
  </si>
  <si>
    <t>امیرحسین مفیدی</t>
  </si>
  <si>
    <t>امیرحسین مفیدی، سبا نوروز مکاری، محمد رضوانی، پوریا سرلک، حمید ارکبان، امیر علی علوی، آرشا عاکف، نسرین نجفی، آوا مفیدی، تارا مفیدی</t>
  </si>
  <si>
    <t>1399-07-28</t>
  </si>
  <si>
    <t>محمد شعبانپور، سعید حسین خانی، مبینا کلاته، بهناز سبحانی، پگاه الله وردی، مسیحا یوسفی، شایان تارخ، محمد اسماعیلی، زینب نجفی، مهرناز حسینی، مهدی رشیدی، احسان کلابی، محمدرضا حسنی، پرستو بازیار، فاطمه نوروزی، احمد بیستونی، امیرمحمد احمدی، سپهر عطایی، علیرضا موسوی، سحر جوکار، مریم قلی نژاد، رومینا اطمینان، آروین فلاح، ایمان تارخ، یاسمن عیسی زاده، رضوان عباسی، نازنین تنهایی، نیما ثبوتی، مستانه ایثار، رضا مردی، پارسا فرجادمنش، سعید بداغی، کارن رضایی معین، امیرعلی مهذب، ترانه چهرازی، فاطمه طاهری، آروین صبوری</t>
  </si>
  <si>
    <t>1400-12-12</t>
  </si>
  <si>
    <t>بهنام زینعلی</t>
  </si>
  <si>
    <t>عادل دولتشاهی، فربد احمدی، نگین راک، زهره محمودی، ساهره حسینی، بهنام زینعلی</t>
  </si>
  <si>
    <t>(به ترتیب ورود به صحنه) مرضیه کردی، موسی الرضا (شهروز)مازندرانی، آرمین خزائلی، رایین شریفیان، ماهان مقامی، الهام خضراییمنش، مریم احمدیان، انسیه حیدری رامشه، علی وفاخواه</t>
  </si>
  <si>
    <t>باغ کتاب - پردیس تئاتر و موسیقی</t>
  </si>
  <si>
    <t>امیر حسین آلادپوش</t>
  </si>
  <si>
    <t>(به ترتیب ورود) محمد هانی دیانی، امید شفیعی، امیر رضا فرجی، امیرحسین سکاکی، محمدحسین ابراهیمی، امیرحسین چمن زاد، میثم کاشی، علیرضا شمائی، سیدعلی انوار، رضا آزادی، علیرضا مظفری، فواد حسینی، سینا شریفی، محمدعلی شهرستانی، حسن خوش نظری، محمد حسین نصیرایی، محمد جواد موحدی، مهدی محمدنوازی، علیرضا نمازی، حسنی پناهی (بازیگر کودک)</t>
  </si>
  <si>
    <t>امیر پیکاک</t>
  </si>
  <si>
    <t>محمدرضا بهزادی راد، سیدصدرا سبحانیان</t>
  </si>
  <si>
    <t>1399-08-23</t>
  </si>
  <si>
    <t>جعفر مهیاری</t>
  </si>
  <si>
    <t>سعید ابک</t>
  </si>
  <si>
    <t>شهروز دل افکار، گاتا عابدی، محمدهادی عطایی، یاشار نادری، سعید برجعلی، فهیمه موسوی نیارکی، رضا سلیمی، رضا جهانگیری، سحر عبدالملکی، صابر رضایی، متین مکاری مقدم، جواد امیرپور</t>
  </si>
  <si>
    <t>(به ترتیب ورود) مریم نجاری، محمد شایان طهماسب پور، مریم نبی زاده، محمدرضا زند، مهزاد کاری، رضا حسین نژاد</t>
  </si>
  <si>
    <t>18:40:00</t>
  </si>
  <si>
    <t>میلاد سلوکی</t>
  </si>
  <si>
    <t>(به ترتیب ورود) علی نوریوسفی، ابراهیم شیشه بران، امیرحسین رضازاده، فاطمه شوهانی، مژده عباسی، احسان محمدی</t>
  </si>
  <si>
    <t>ناصر علاقبندان</t>
  </si>
  <si>
    <t>سروش علاقبندان</t>
  </si>
  <si>
    <t>ابراهیم نائیج، علی حسین زاده و ریحانه رضی</t>
  </si>
  <si>
    <t>کاوه مرحمتی، آذین نظری، آیدین بهاری، کامیار دریاکناری، سحر خرمنژاد</t>
  </si>
  <si>
    <t>مجید یاراحمدی، نازنین پاشا</t>
  </si>
  <si>
    <t>عدالت فرزانه</t>
  </si>
  <si>
    <t>پریسا سلمانی، هادی رضایی، فاطمه زمانی، مرجان زاغریان</t>
  </si>
  <si>
    <t>فضل اله عمرانی، پژمان برزگر</t>
  </si>
  <si>
    <t>عمادالدین رجبلو</t>
  </si>
  <si>
    <t>تینا بخشی، ویدا آرایی، سارا سیبی، یگانه شمس آبادی، محدثه بالازاده، درسا کتال، ساقی صابریان، فاطمه رحمتی</t>
  </si>
  <si>
    <t>آرمین حمدی پور</t>
  </si>
  <si>
    <t>شراره منصور آبادی، محمد مطهری پور، پوریا احمدی، رعنا شبانکاره، شاداب مهدی یار</t>
  </si>
  <si>
    <t>سالن مجتمع فرهنگی هنری ارشاد - قائن</t>
  </si>
  <si>
    <t>معین قوی</t>
  </si>
  <si>
    <t>محسن رهنما</t>
  </si>
  <si>
    <t>(محمد) شهاب قوی، اسما ترابی، امیر پیشجو</t>
  </si>
  <si>
    <t>1401-11-12</t>
  </si>
  <si>
    <t>دانیال محبی</t>
  </si>
  <si>
    <t>جو پنهال</t>
  </si>
  <si>
    <t>مهدی نجاتی، کیمیا غلامی، منصور دائی چی</t>
  </si>
  <si>
    <t>علی صادقی زاده</t>
  </si>
  <si>
    <t>علی صادقی زاده، سجاد خان بابا، سحر سالاری، زهرا مهرابی، بهناز نمازیان، محمد امین صادقی زاده، اسرا قوام آبادی</t>
  </si>
  <si>
    <t>(به ترتیب ورود) علیرضا نامنی، پویا یگانه دوست، علیرضا حافظی، ساقی سلیقه دار، سهیل نگهدارزاده</t>
  </si>
  <si>
    <t>1401-10-27</t>
  </si>
  <si>
    <t>میثم شمسیان</t>
  </si>
  <si>
    <t>علی یعقوبی، عباس خداوردیان، الهام خضراییمنش، سمیه صباغی، مرضیه کردی، مانی خضری پور، جهانگیر رمضانی، امیدعلی رحمانی، بهنام فرزام، مجتبی بحران، فاطیما حسین پور، پریسا مقدم، الهه اهدائی، علیرضا یوسفی، متین کریمی، مهدی فراهانی، متین مکاری مقدم، ثریا نیازی، ریحانه تقوی، یگانه تقوی</t>
  </si>
  <si>
    <t>(به ترتیب ورود به صحنه) ایمان سلگی، میثاق آقامولایی، بهرام عباسی فرد، بهرام بهبهانی، رضا جهانی، علی قربانخانی، مهبد قناعت پیشه، فریده خزاعی، درسا علمی نژاد، فاطمه اشکانی، بهار احمدی، شهره فرخی، مبینا جمالی، میرا امیرنسب، زینب همتی</t>
  </si>
  <si>
    <t>(به ترتیب ورود به صحنه) ناصر کاظمی، آرزو عصاری، علی بوستانی، سیدحامد قریشی، رها خادمی</t>
  </si>
  <si>
    <t>فهیمه علی آبادی</t>
  </si>
  <si>
    <t>(به ترتیب ورود) پویا فراهانی، فاطمه حسینی، مهدی ملکی، رضوان قریشوندی، فرناز طالبیان، محمد کرمانی، زهرا مدبر، امیرحسین نجفی، شادن گلزار، عسل عبداللهی، فاطمه دارهل، محراب عامریان، علی جعفری، محمد پوراکبر، امیرپوریا مسعودنیا</t>
  </si>
  <si>
    <t>1400-03-25</t>
  </si>
  <si>
    <t>فرزاد اشرفی  ​</t>
  </si>
  <si>
    <t>سپهر دارابی زاده، مریم گودرزی، سامان برزگر و با معرفی علی زنگی آبادی</t>
  </si>
  <si>
    <t>(به ترتیب ورود) رامتین سلیمانی، مهشید دلاوری، شیما خوش اقبال، حسین کرمی، مروارید کفائی، نفیسه ترحم جو، مهسان فرخی، سید پارسا جعفری، پوریا رحمانی، ماهان خاتمی، شهاب کلانتری، فرهانه کلانتری، نوتاش نیک نژاد</t>
  </si>
  <si>
    <t>فرشید گویلیان</t>
  </si>
  <si>
    <t>(به ترتیب حروف الفبا) نگار افراشته، امیرحسین توانا، محمد رجبیان، مریم شیرازی، مریم محبی، محمد مرادی، علی مولایی</t>
  </si>
  <si>
    <t>بابک توسلی</t>
  </si>
  <si>
    <t>(به ترتیب حروف الفبا) بهنام تشکر، سیما تیرانداز، سینا رازانی، معصومه رحمانی</t>
  </si>
  <si>
    <t>هادی اصغر زاده</t>
  </si>
  <si>
    <t>هادی اصغرزاده، مسعود بیت الهی، نیلوفر عباسی، مریم نصرتی</t>
  </si>
  <si>
    <t>محمدصادق اسدی</t>
  </si>
  <si>
    <t>حامد سوری، فراز شیرانی، عرفان صمدیه، رضا بخشایش، مهدی اسدی، آرمین افتخارزاده، رضا بلبلوند، پارسا عبدالملکی، کیمیا جهانشاهی، نگار فتوره چی، حسین تقی ذوقی، عرشیا هواخواه، زهره صادقیان، پارسا ورچه، نگین صدر، کاوه قیصری، دانیال حسین پور</t>
  </si>
  <si>
    <t>1398-12-03</t>
  </si>
  <si>
    <t>عرفان حقیقت، کیمیا کرمعلی، حامد آرامی، نازنین دیده ور، طاهر رجبی، مریم پایمرد، مرجان دانشور، امیر عباسی</t>
  </si>
  <si>
    <t>(به ترتیب حروف الفبا) رسول احمدی، حمید باهوش، سپیده دهقان، فاطمه زارعی، حدیث سرچشمه پور، مائده شهوازیان، علی عباسی، سارا علاقمند</t>
  </si>
  <si>
    <t>رهام بحیرایی</t>
  </si>
  <si>
    <t>گراسیا مورالس</t>
  </si>
  <si>
    <t>مائده وحید. امیر مسعود میر مجربیان.الناز فرشاد. مصطفی شیرخانی</t>
  </si>
  <si>
    <t>سمیرا سرچاهی، محدثه شیر علی، رعنا زیادلو، نازنین شهسواری، اسما دهمرده، مارال روشنیان، فتانه شمس آبادی، پروا آقاجانی</t>
  </si>
  <si>
    <t>سیدعلی تدین صدوقی</t>
  </si>
  <si>
    <t>مسعود سمیعی</t>
  </si>
  <si>
    <t>اصغر صابری، مروارید افسری، لادن بنکدار، علیرضا نادی، بهار حسینی، افشین رضایی</t>
  </si>
  <si>
    <t>عزیزالله سرانجامی</t>
  </si>
  <si>
    <t>آنتون چخوف، انتشارات نشر جوانه توس</t>
  </si>
  <si>
    <t>مهدی خلیل زاده، سحر محسنی، میترا قلعه پور</t>
  </si>
  <si>
    <t>1401-02-20</t>
  </si>
  <si>
    <t>مبینا مجد</t>
  </si>
  <si>
    <t>(کارکنان هتل) پوریا فرجی، الهه فریاد، (مسافران هتل) بهرام مصطفایی، امیرارسلان طالبی، پارسا بختیاری، سام خلیلی، بهروز ناصری، علی فریدنی، مهشید قاصدی، عارف کنعانی، علیرضا نامنی</t>
  </si>
  <si>
    <t>امین شال باف</t>
  </si>
  <si>
    <t>سیدامیر رستگار</t>
  </si>
  <si>
    <t>حامد خسروی، محمد حداد کاشانی، امیرمهدی عقبایی، مبینا هادی، امین شال باف</t>
  </si>
  <si>
    <t>تالار هنر اصفهان - بام هنر</t>
  </si>
  <si>
    <t>دلاور خسرونیا</t>
  </si>
  <si>
    <t>ناهید یادگاری، مهدی تقی پور، علی آذرشین، هاجر عتیقی، هومن شمس، مهدی جوانمردی، آیدا سوادکوهی</t>
  </si>
  <si>
    <t>ارسلان شهبازبیگی، فرشاد زارعی</t>
  </si>
  <si>
    <t>فرشاد زارعی</t>
  </si>
  <si>
    <t>(به ترتیب حروف الفبا) شیوا احسان پذیر، کامیاب حاجی نوروزی، مبینا زارعی، ارسلان شهبازبیگی، صدف کاشانی، ملیکا گنجی، یزدان نیری، علی هیربدیان</t>
  </si>
  <si>
    <t>امیرحسین نجفی</t>
  </si>
  <si>
    <t>(به ترتیب ورود) امیرحسین کاشفی، هلیا فرد، ملیکا جعفری، حجت خراسانی، امیرحسین نجفی، مهلا صادقی، کوروش شرفی، زهرا مدبر، علی احمدی، فاطیما ناصرخیل، فربد رضوانی مقدم، پارمین علمدار، ناصر آرین، مهیار شاهی</t>
  </si>
  <si>
    <t>احسان حسینخانی</t>
  </si>
  <si>
    <t>مارشا نورمن</t>
  </si>
  <si>
    <t>رعنا مقدم، سبا مهدویان</t>
  </si>
  <si>
    <t>1402-12-16</t>
  </si>
  <si>
    <t>جعفرصمدی</t>
  </si>
  <si>
    <t>طاها صمدی، سبحان صدیق، اسلام غسالی، زهرا پناهی</t>
  </si>
  <si>
    <t>1400-07-01</t>
  </si>
  <si>
    <t>سعید خزاعی کیان</t>
  </si>
  <si>
    <t>الهه آسوده، دل آرا سادات میرطالبیان، امیر دشتی، رویا آذر، سیدجواد موسوی، سجاد یاراحمدی، میلاد ساسانی، مهرآرا سادات میرطالبیان، مریم سیف اللهی، روژینا رستم پور، پرناز اکبری، حنانه اسمعیلی، صبا منادی، فاطمه (شادی) شادمهر، زهرا رشیدی نیا، شقایق (شایا) اردانی، ملیکا ذکاوت، ساحل علیزاده، امیرحسین شعبانی، فاطمه (باران) طهماسبی</t>
  </si>
  <si>
    <t>گلاره فرشچیان</t>
  </si>
  <si>
    <t>(به ترتیب ورود به صحنه) حمیدرضا رکنی، گلاره فرشچیان، محمد کرمانی، فرشاد نجفی، الهه تنهایی، سیمین میرشفیعیان، آرمین حسن زاده، آریان عرفانیان، علی طباطبایی، مبینا یاسری، جلال احمدپور، اصغر نجف پور، آرش نایبی، رویا آذر، ساجده سادات چناقچی، امیررضا قرهداغی، رضا بخشایش</t>
  </si>
  <si>
    <t>نسترن نعمتی</t>
  </si>
  <si>
    <t>علی حیدری، جمشید بهادری، نسترن نعمتی، امیر موذنی، پدرام گوهرنیا، آمیتا سیرانی، حسین تبریزی، کیان مهربان، محمدرضا مشیری، سارا لطفی، محمدرضا محمدی، سارا محمدی، امیر محمد صیادی</t>
  </si>
  <si>
    <t>سالن بهمن - شاهرود</t>
  </si>
  <si>
    <t>1401-12-29</t>
  </si>
  <si>
    <t>حسن سرچاهی</t>
  </si>
  <si>
    <t>محسن مزجی، شیما قرایی، علی بیطرف، حجت مشاوره، امیرعلی صابر، علی محرابی، جواد مرادی، آرزو ملکی</t>
  </si>
  <si>
    <t>1398-12-06</t>
  </si>
  <si>
    <t>(به ترتیب حضور در صحنه) مهرزاد شربت خواری، مدیا دشوارپسند، مرتضی عبادی، فاطمه زمانی، مهدی شاهی</t>
  </si>
  <si>
    <t>مهدی حشمتی</t>
  </si>
  <si>
    <t>سید بهزاد تاج الدینی، محسن خراسانی، رضا ایرانمنش، منصور محمد حسنی، مهدی حشمتی، رضا پارسا، سحر علیخانی</t>
  </si>
  <si>
    <t>محمدرضا محمدپور، کیوان احمدی، مرتضی مرادی، علی غفاری، دینا هاشمی، الهام احمدی</t>
  </si>
  <si>
    <t>( به ترتیب حروف الفبا) آمیتا سیرانی، امیر موذنی، نسترن نعمتی</t>
  </si>
  <si>
    <t>(بر اساس حروف الفبا) سارینا رمضانی نژاد، بهار زندی، علیرضا شریفی، سپیده ضیایی، مرتضی کوهی</t>
  </si>
  <si>
    <t>محمد شریفی</t>
  </si>
  <si>
    <t>مرتضی حسینی راد، مجتبی کریمی، مریم احمدی</t>
  </si>
  <si>
    <t>امیر اربابی</t>
  </si>
  <si>
    <t>کامران تفتی، سیدجواد یحیوی، دُنا تارفی، کیارش حقگو</t>
  </si>
  <si>
    <t>1399-12-24</t>
  </si>
  <si>
    <t>(به ترتیب حروف الفبا) سارینا آزاد میلانی، فرشاد ایوبی، محمد پسندیده، تیما تقی زاده، فرزانه سیری، آهو شفیعی، میلاد صالح وند، مهدی عباسی، نیکا قاسمی، عاطفه موسوی، علیرضا ولی پور</t>
  </si>
  <si>
    <t>حامد خسروی، زهرا قره پور، محمد حداد کاشانی، حنا جشنوند</t>
  </si>
  <si>
    <t>علیرضا اخوان، بهادر باستان حق</t>
  </si>
  <si>
    <t>ارس راد</t>
  </si>
  <si>
    <t>حسین مقصودی، حسین بابایی چم علیشاهی، فرنوش قره کولچیان، حجت خراسانی، علیرضا ابراهیمی، ارس راد، فرناز فرامرزی، پریا پورفرامرزی، یاشار چناقچی</t>
  </si>
  <si>
    <t>مرتضی مقدم، احمد خان محمدزاده</t>
  </si>
  <si>
    <t>نصرالله قادری</t>
  </si>
  <si>
    <t>(به ترتیب ورود) عاطفه حق شناس، امین شیبایی، سید صالح حسینی، امید یارندی، یسنا سورانی، محمدسجاد رشیدی، بهزاد قره گوزلو، احمد خان محمدزاده، هانیه رحیمی، اصغر نجف پور، سجاد عباسعلیزاده، امیرحسین قاجاردامغانی، مرتضی مقدم، حسام شیزری، محسن صادقی، نسترن وارسته، فاطمه هاشم</t>
  </si>
  <si>
    <t>سجاد تابش</t>
  </si>
  <si>
    <t>فرزان اسدیان، محمدرضا ایمانیان، علیرضا ساوهدرودی (مهمان از گروه پارکینگ)، پیمان مقدم</t>
  </si>
  <si>
    <t>حمیده محمدرضاپور، محمد تات</t>
  </si>
  <si>
    <t>(اصلی) سینا سوری، محمدرضا خلج، مریم حاج محمدی، ارشیا نجیمی، شاهین آشتیانی، راضیه شریفی، رضا شاهی، الهام یوسف خانی، ملیسا عبادی، هامین غفاری، مائده بخشایشی، محمدرضا بن گلک، میثم تات، آوا درویشی، یوسف حیدری راد</t>
  </si>
  <si>
    <t>1400-02-10</t>
  </si>
  <si>
    <t>(به ترتیب ورود) پیروز میرزایی، اشکان افشاری، پروا محزون، پرهام میرزایی، امیرحسین صادقی</t>
  </si>
  <si>
    <t>1399-07-22</t>
  </si>
  <si>
    <t>امیر محمد ابراهیمی</t>
  </si>
  <si>
    <t>علی قانعی، صبا پویشمن، عباس صابری، مهشید آقا خانی</t>
  </si>
  <si>
    <t>سارا بهرامی</t>
  </si>
  <si>
    <t>( به ترتیب حروف الفبا) حنان احمدی، ستاره اسماعیلی، علی اسماعیلی، محمد اصغری، ایمان اعوانی، کوثر افتخاری، رضا امیررضایی، سارا بهرامی، سهیل بهرامی، حسین دهقانی، بیتارفیع زاده، مهدی رحیمیان پور، پریسا رودباری، پارسا زارعی، محیا کارگر، علیرضا کاظمی صیاد، امیرعلی محمدی، اشکان مهربخش، امیرجلال موسوی</t>
  </si>
  <si>
    <t>فرزانه ابراهیم پور، سعید اردشیری، شاهین امیرپور، مجتبی برومندیان، ستایش خوش طینت، محمدرضا دهگان، رها رحمانی، علی زرگر، ایمان شفیعی، آرین شهرابی، امیر صمدی، دنیا قاسم زاده، کیمیا مقدم، رضا مهراد، عاطفه نوذری، سحر واثق، محمد آقایی، امیررضا علمداری، امیرمحمد نوری شاد، شاهین آقازاده، امیرحسین امیری راد، علی کرمانی</t>
  </si>
  <si>
    <t>مهدی کرمعلی، زهرا کتیرایی، پوریا پروین</t>
  </si>
  <si>
    <t>روزبه روحی پور</t>
  </si>
  <si>
    <t>(نقش خوانان) پویا بیکی، شهرزاد غیاثی، جانان آراسته، روزبه روحی پور، پگاه جهانی، فرهاد داوری کیا</t>
  </si>
  <si>
    <t>نیما آقاخانی</t>
  </si>
  <si>
    <t>آنیتا خیرالهی، طاها عارفی، باران سنائی، مهیار فاتحی نیکو، مسیحا گلگیر، مهدی معصومی، امیرعلی صادقی، مهسا گلگیر، محمدمهدی فاتحی نیکو، مریم هاشمی، دانیال حسن نیا، پارسا بنی اسمعیلیه، هستی طباطبایی، فائزه آبزن، فاطمه آبزن، احسان صبوری، متین فاتحی نیکو، نفیسه یوسفی</t>
  </si>
  <si>
    <t>میلاد حسینی نسب</t>
  </si>
  <si>
    <t>آلن کبورن (جشن گاسفورت)</t>
  </si>
  <si>
    <t>رضوان جهانبخش، سیما عرب زاده، رسول حری، سعید حسن پور، احسان زارع</t>
  </si>
  <si>
    <t>(به ترتیب حروف الفبا) مسعود چنگی، مهناز حسینی، مهشید رضایی، محمود روحبخش میرابی، مرتضی علی دادی، بهاءالدین مرشدی، علیرضا نامنی</t>
  </si>
  <si>
    <t>حسین برفی نژاد، سجاد باقری</t>
  </si>
  <si>
    <t>سجاد باقری، ایمان اصفهانی</t>
  </si>
  <si>
    <t>تقی علی آبادی</t>
  </si>
  <si>
    <t>خداداد رضایی</t>
  </si>
  <si>
    <t>امیر عبادی، پرستو گلزار مقدم، تقی علی آبادی، امید درویش زاده، آیسان نعمت زاد، سیدمسلم حجتی، راحله لطفی، رضا رجبی</t>
  </si>
  <si>
    <t>امیر فراهانی</t>
  </si>
  <si>
    <t>محمدصادق ویژگی</t>
  </si>
  <si>
    <t>(به ترتیب ورود) حسین شینی جعفری، مرسده افشار، نسیم قلهکی، میلاد علی پرست، حمیدرضا نظری، امیرحسین ویژگی، رضا شاهی، علی راستگو، فاطمه آقائی کیاسرایی، سمانه مرادی</t>
  </si>
  <si>
    <t>پلاتو استاد صغیری (تئاتر شهر بوشهر)</t>
  </si>
  <si>
    <t>1402-02-02</t>
  </si>
  <si>
    <t>اردشیر جهانشاهی</t>
  </si>
  <si>
    <t>میثم مرادی آزاد، عباس روشنک، طاهر عبدالاه پور، مسلم بزرگ زاده، طاهره اعلایی، ملکه  حسینی مطلق</t>
  </si>
  <si>
    <t>پردیس تئاتر تهران - سالن داوود رشیدی</t>
  </si>
  <si>
    <t>احسان رحیم دل</t>
  </si>
  <si>
    <t>امیر خراسانی، مسعود احمدی، امین قندیار، رضا گودرزی، حمیده هزاره، نازنین زراسوندی، محمد قائمی نژاد، علی وقاری، کاوه رحمیدل، کسری رحیمدل</t>
  </si>
  <si>
    <t>ایلناز شعبانی، یکتا طبیبی</t>
  </si>
  <si>
    <t>1401-11-11</t>
  </si>
  <si>
    <t>نیما رحیمی</t>
  </si>
  <si>
    <t>نیوشا جندقیان، فاطمه میرزاپور، علیرضا رضائی، فاطمه آقاگلی، نیما رحیمی، هانیه کریمی</t>
  </si>
  <si>
    <t>سیدهادی آقابزرگی، سعید خبیری، امین دلپذیر، طاهره هنزایی، مجتبی لاله زاری</t>
  </si>
  <si>
    <t>(به ترتیب ورود) فوژان تاجیک، آرمین افتخار زاده، مرجان افروز، سیاوش زنگی، میلادرمضانی، مهسا منفرد، الهه ادبی، آرام نیک بین، آریانا عباسی، میلاد پرموزه، علی ناصری، فرحان فریضه، شاهین زرگر</t>
  </si>
  <si>
    <t>ملیکا میرزایی، محمدکاظم دامغانی</t>
  </si>
  <si>
    <t>رضا خسروی، ملیکا میرزایی، مسعود کاروری، ارمغان رمضانی، عارفه ایرانمنش</t>
  </si>
  <si>
    <t>بهنام شرفی، سیدجواد یحیوی، هدیه محقق، لاله کریمی</t>
  </si>
  <si>
    <t>1400-11-13</t>
  </si>
  <si>
    <t>امیرسپهر تقی لو</t>
  </si>
  <si>
    <t>آرش صفایی، کیمیا آهنگران، مهران مرادی، نگار اکبری</t>
  </si>
  <si>
    <t>(به ترتیب ورود به صحنه) امیررضا کوشانی، سیدمسلم حجتی، امیرمحمد عزیزی، نسیم نصیری، پارمیدا شایان، محمدجواد رضوانی، علی بیگدلی، زهرا جعفری و محمد رضایی مقدم</t>
  </si>
  <si>
    <t>نسیم ادبی، ندا شاهرخی</t>
  </si>
  <si>
    <t>(به ترتیب ورود) آناهید ادبی، علیرضا عبدالعلی زاده، سجاد طاهری، سوگند حسینی، عاطفه غضنفری، دانیال محمدی، سجاد باقری، صدف محسنی، شبنم خاتون حسینخانی، مرجان رنود، شکیبا عسگری، رایحه پاشا، شبنم ابریشمی، حامد مهربانی، سهراب صمیمی، شهاب راد</t>
  </si>
  <si>
    <t>عاطفه مقدسی</t>
  </si>
  <si>
    <t>مجید کشاورز، مبینا محمدنژاد، آتنا محمدی، آوا مهماندوست، نگار والی دوست، سارینارمضانی، فرشاد کنعانی سادات، امیرحسین حسین عرب، حامد اسماعیلی، جواد رستمی، حامد حجامی، میثم شریف تبار، فائزه حسین زاده، عاطفه مقدسی</t>
  </si>
  <si>
    <t>ماهان مقامی، شهروز مازندرانی، ارسلان دوپیکر، پرنیان شادکام، صدف روزبهانی، حمزه اثباتی، سیدمحمد حسینی، نیوشا امینی، علیرضا عابدینی، محمد بهدانی، علی حیدرزاده، علی اکبر علیان</t>
  </si>
  <si>
    <t>تماشاخانه سبحان</t>
  </si>
  <si>
    <t>دکتر امیرعلی مکرمی نژاد</t>
  </si>
  <si>
    <t>امین طریقت، حامد قریشی، حمید هیام، مژگان علیدادی، نادر راد</t>
  </si>
  <si>
    <t>(به ترتیب ورود به صحنه) جواد پورزند، الهام شعبانی، حمید محمدی، سیدجواد حسینی، شهروز آقائی پور، مهتاب محسنی، سیامک زین‏الدینی، رضا جوشنی، رامین قربانی</t>
  </si>
  <si>
    <t>احمد خان محمدزاده</t>
  </si>
  <si>
    <t>فرشاد کنعانی سادات، هانیه رحیمی، عاطفه حق شناس، بردیا محمودی، رضا کیامنش، محمدصالح مزینانی، زینب نجفی، بهزاد قره گزلو، الهه فرهادی، ساحل رستمی، مهدی اریانپور، هانیه مشکات، احمد خان محمدزاده</t>
  </si>
  <si>
    <t>1401-08-21</t>
  </si>
  <si>
    <t>نگار شهبازی، آنیتا قجری (نرسسیان)، مریم جزینی، محدثه امیریان، زهرا عبدالهی، آناهیتا امیرعسکری، پیام صفری، الیکا تصدیقی، رضا آرامش، زهره محمودی، بیتا خسروی، الناز تهامی</t>
  </si>
  <si>
    <t>آموزشگاه صدای هنر</t>
  </si>
  <si>
    <t>1398-12-17</t>
  </si>
  <si>
    <t>احمد جهانی راد</t>
  </si>
  <si>
    <t>سالار سلیمانی، هدیه زهرا سمیعی، فاطمه تازیک، صدف صبحی، فاضله محبی، سارا عرب احمدی، سوگند بردبار، علی تازیکه، امیرحسین کرامت، محمد عبدالهی، امیرحسین رفیعی، پوریا کابلی، ماهان داوودی، ساجده ملک، سارا حکم ابادی</t>
  </si>
  <si>
    <t>مهدی صفاری نژاد</t>
  </si>
  <si>
    <t>(به ترتیب ورود) نیما ثبوتی، امیرحسین نجفی، علی جعفری، امید قاسمی، مهدی ملکی، علیرضا (نیما) قربان زاده، فهیمه علی آبادی</t>
  </si>
  <si>
    <t>محمدحسین علیزاده</t>
  </si>
  <si>
    <t>سحر مصباح، پویا فیاضی (مهمان از گروه ۳۶۶)، هدیه بختیاری، محمدحسین علیزاده</t>
  </si>
  <si>
    <t>1398-10-26</t>
  </si>
  <si>
    <t>عرفان نظریان پور</t>
  </si>
  <si>
    <t>علیرضا قاسمی</t>
  </si>
  <si>
    <t>(به ترتیب حروف الفبا) عاطفه اسدی، حمیدرضا دانایی فرد، فائزه زرکش بهاری، رضوان سنجابی، هرمان مولوی</t>
  </si>
  <si>
    <t>رضا شریفی، زهرا جمشیدی، فاطمه حمیدی، مجتبی احسان فر، مینا ابراهیمی، آوا عامری، وانیا مژدهی، دانیال بهجت، آرین پورطاهری، آریوسام امیری</t>
  </si>
  <si>
    <t>شیماه خاسب</t>
  </si>
  <si>
    <t>امیر غفارمنش، جوانه دلشاد، امیر کربلاییزاده</t>
  </si>
  <si>
    <t>پرچ زیتونتسیان</t>
  </si>
  <si>
    <t>مهدی اصغریان، امیر بشیره نژاد، ابراهیم رضایی، امیرحسین نعیمی، ابوذر غفاری، مرمر معتمدی دانا، حسین اکبری، رومینا قلعه وند، محمدرضا نائبی پور، شیما خالقی، سارینا گودرزی، ستاره ترکمان، معصومه ملکی ؛ ابوالفضل اوشی</t>
  </si>
  <si>
    <t>رضا شهرا</t>
  </si>
  <si>
    <t>فراز غلامی، فرانک پیریایی، عرفان رنجبر</t>
  </si>
  <si>
    <t>نیما ایمان زاده</t>
  </si>
  <si>
    <t>(به ترتیب حروف الفبا) ژینا احمدی، آیدا احمدی، کیان امانی، نیما ایمان زاده، الناز پولادی، سارینا تورانی، هیژا حیدری، مصطفی دولتیاری، معید رحمانی، آشیل رحیمی، مهنا زارع، ماردین زمانی، شیرزاد ساعدی، نگاه سلیمان پور، هونیا صادق ایوبی، سحر فاتحی، نونا فاطمی، کیانوش فرزین، آذین کنعانیان، شاداب کوکبی، اسرا گلمرادی، هانی لاهورپور، تارا محمدنژاد، متین محمدی، بهراد مرادی، روژینا ملک، سمیه یوسفی</t>
  </si>
  <si>
    <t>مرتضی خالقی</t>
  </si>
  <si>
    <t>(بر اساس حروف الفبا) عباس بابایی، محمد پاکدل، مرتضی خالقی، مینا دلشاد، علی فرهمند، سایه کبیری، سالار میرکریمی، ندا نجیمی</t>
  </si>
  <si>
    <t>مهرداد قادری، فاطمه زمانی، فریبا نیروئی، فرانک ظاهری، محراب جلیل نیا، آرش کرمی، سینا علیزاده، امین شیبانی، کامران ورزیده، محمد ایوبی</t>
  </si>
  <si>
    <t>ابراهیم علی پور</t>
  </si>
  <si>
    <t>فاطمه عظیمی</t>
  </si>
  <si>
    <t>آرزو شکاری</t>
  </si>
  <si>
    <t>ایمان دبیری، مرجان آقانوری</t>
  </si>
  <si>
    <t>بیژن مرادی</t>
  </si>
  <si>
    <t>مریم السادات موسوی، بیژن مرادی</t>
  </si>
  <si>
    <t>علی ریاحی، یاسمین فرخزا، حسن تدینی، شیدا بختیاری، ریحانه اناری، هنگامه خاتم آبادی</t>
  </si>
  <si>
    <t>1400-06-01</t>
  </si>
  <si>
    <t>شاهین بامداد</t>
  </si>
  <si>
    <t>شاهین بامداد، هیلا رضائیان، حمید غنی، پویا اکبریان، محمدرضا قربانی، مونا حسن زاده، فرزاد لطفی، سپیده محمدی، فاطمه گریوانی، سحر سبزی، فرزانه دودانگه، محمودرضا پیرنیا، محمد معینی، سعید حکیمی، سحر بهرامی، احمدرضا طاهری، امیرحسین میرزائی، امیرحسین نعیمی، امیر مهدی جباری، آرین للمانی، الهام نوری، فرزانه دودانگه، حنا ثقفی، جلال شهسواری، متین نیکنام، متینا میرکمالی، محمد عرفان باقری، محمد حسین همتی، نگین فرهمند، نیما دانشی، نیما دانشیار، پریناز مصطفی پور، شکوفه مختاری، زهرا مرادی، زهره غنی آبادی، محیا اسدی، بنیامین رجبی، محدثه مشتاقی</t>
  </si>
  <si>
    <t>علیسام صادقی</t>
  </si>
  <si>
    <t>سامرست موام</t>
  </si>
  <si>
    <t>فائقه شلالوند، فرنوش مرواری، بهار زندی، علیسام صادقی، علی حقیقی، مژگان غلامعلی، الهه رضی، مرتضی صباحی، الناز شاهوردی، ملیکا بتو و وحید نفر</t>
  </si>
  <si>
    <t>1402-03-27</t>
  </si>
  <si>
    <t>سعید جعفری</t>
  </si>
  <si>
    <t>احمد علی کریمی زاده</t>
  </si>
  <si>
    <t>آرزو بیگدلی، یگانه بهرامی، مرضیه رسولی</t>
  </si>
  <si>
    <t>1401-10-01</t>
  </si>
  <si>
    <t>ایمان سلیمانی</t>
  </si>
  <si>
    <t>(به ترتیب ورود) مبینا صبوری، نیما جعفری، ایمان سلیمانی، مطهره لطفی</t>
  </si>
  <si>
    <t>ایمان میرهاشمی، فرنوش نیک اندیش، احمد صفرزاده، زهرا رئیسی، طاها احمدی</t>
  </si>
  <si>
    <t>حامد شیخی، رضا نیلی، علی اسدیان، ساغر بهنام، ساناز خدایی</t>
  </si>
  <si>
    <t>تئاترشهر رشت - سالن سردار جنگل</t>
  </si>
  <si>
    <t>آرمین حیدری</t>
  </si>
  <si>
    <t xml:space="preserve">باقر سروش              </t>
  </si>
  <si>
    <t>(به ترتیب ورود به صحنه) سما استیفا، شاهدغروی، یاسمن سیدی، بردیا شهابی، سعیدحسینی، ماکان حسن پور، هستی اسماعیل دوست، مسعود قسمتی، محمدرضا رخشانی، آیسا گرفمی، امیرعباس بهرامی، امیرعلی ایمانوند، ابوالفضل برزگر، امیرعلی برزگر، محمد مهدی نجفی، عرشیا حسینی، امیر محمد قاسم زاده</t>
  </si>
  <si>
    <t>سالن استاد سیروس صابر (کرج)</t>
  </si>
  <si>
    <t>1400-12-17</t>
  </si>
  <si>
    <t>حمیدرضا معدن کن</t>
  </si>
  <si>
    <t>ندا قربانیان، امیر آزاد روستا، محمد نیکویی، مرتضی مرادی، حسین معدن نشین، محسن آچاک، سید امیر مهجور، ماهان حسین پور، نازنین فولادی وندا، محسن محمدی، علی اکبر صادقیان، آرمان آزادی، میثم مشایخ، محمد فلاح فر</t>
  </si>
  <si>
    <t>وحید شاهینی</t>
  </si>
  <si>
    <t>کرامت رودساز، امیرحسین انصافی، فاطیما درستکار، سیدحسن حسینیان و وحید شاهینی_x000D_
امیرسجاد سلمانی، ساناز مجیدی، حانیه رهگذر، زهرا قهرمانی، مریم ترکی، عباس فرطوسی، سینا صبحی، محسن صابری، رونیا میرشجاعی</t>
  </si>
  <si>
    <t>ابوالفضل پازوکی</t>
  </si>
  <si>
    <t>علیرضا حنیفی</t>
  </si>
  <si>
    <t>(به ترتیب ورود به صحنه) زهره ابراهیمی، آزیتا همت نیا، امیر حسین صفاپور، یاشار خمسه، معصومه اقبالی، علی بهرامی، مهسا سجادی پور، عاطفه رکرک</t>
  </si>
  <si>
    <t>امیرحسین شاملی</t>
  </si>
  <si>
    <t>حمیدرضا قاسمی، سعیده جانقربانیان</t>
  </si>
  <si>
    <t>آریامهر طلائی پور، مهسا فدایی اردستانی، گلاره کلهر چگینی</t>
  </si>
  <si>
    <t>(پرفورمرها) نسیم هروی، سینا توکلی، سارا عاکف، سعید بیرامزاده، محمدامین قربانی، یاسمین فریدونی، امیرحسین شفائی، هیوا پورشفیقی، شهرزاد طالبی، مهسا دلداده، غزاله کارآموز، مهدیار صدر آوینی، مهرشاد نصرالهی، عاطفه خانی، زهرا جعفری، رضا کیامنش، یسنا افروزه، هستی نوری، هلیا عبدالله زاده، صدف قربانی، رویا یکه فلاح، آیسودا حقیقت خواه، درسا دلاور و آزاده شمس</t>
  </si>
  <si>
    <t>سید فرشاد هاشمی</t>
  </si>
  <si>
    <t>(به ترتیب حروف الفبا) امیرعلی آلوسی، نوید احمدزاده، الهام احمدی، کیوان احمدی، رضا بابایی، دنیا خشنو، نیوشا رضوانی، نسیم سروش، امیر شیخ زاده، علی غفاری</t>
  </si>
  <si>
    <t>حمیدرضا میرزایی، مهسا سبحانی، سیدعلی فخرحسینی</t>
  </si>
  <si>
    <t>(گروه اول)مهرداد قاضی، غزل سلامی زاده، سحر سبزی، علیرضا محمدی، مهدی بازیار، ثنا پورکتابی، ملیسا عبادی، آرش زاهدی، امیر بدری، سپهر صفرخانی، ایمان نیکخو، راضیه شریفی، علیرضا اسلامی گیلانی، سیده ساره حسینی، علیرضا عرب، حمید یدالهی، محمدحسین آفرین زاده، نگین خسروآبادی، پریسا حاجی موسی، محمد تاجیک، عرفان ولیان، ملیکا هاشمی، (گروه دوم) محمد جواد ناطقی، سارا اشتری، محمد تاجیک، محدثه حسن نژاد، محمد علی میرصانع، نازنین مسکنی، امیرحسین شفیعی، امیرحسین سوری، احمدرضا هیبتی، سهیل صفرخانی، امیرحسین داودی، سارا لطفی، ایمان نیکخو، علیرضا اسلامی گیلانی، دریا محمد زاده، هامین غفاری، علیرضا عرب، مبینا مرادی، پریسا حاجی موسی، علی حاجیلو، ملیکا هاشمی</t>
  </si>
  <si>
    <t>ایران مال - سالن بلک باکس شماره ۲</t>
  </si>
  <si>
    <t>سعید اسماعیلی</t>
  </si>
  <si>
    <t>بابک والی، علیرضا دهقانی، اسفندیار ابراهیمی، احد توحیدی راد، امیر حسین صفاپور</t>
  </si>
  <si>
    <t>(به ترتیب حروف الفبا) حمید رضا الماسی، بهنام امینی، علی ایزدی، نازنین بابایی، شهاب بهرامی، پریوش جاوید، عرفان حق روستا، علیرضا حیدری، آتنا حیدری، فائزه خانزاده، حسام خانعلی، صادق خدا پناه، عباس خضری پور، امیر داوودی منش، محسن زرآبادی پور، شبنم شاهسون، تینو صالحی، سروش طاهری، سولماز غنی، تیماه کلاته، احمدرضا محمدی، سارا محمدی، سهیلا مقدم، شقایق مهاجر، محمد مهدوی، پارمیس نیری، علیرضا نیکخواه، اکبر همراهی</t>
  </si>
  <si>
    <t>مهران رنج بر</t>
  </si>
  <si>
    <t>رسول حق شناس</t>
  </si>
  <si>
    <t>سمیه کیادربندسری، رضا فرحی، حنانه فتح الهی، حمید شهربیگی، مهدیه تاجیک راد، مهران تقوی، شکیبا شریفی، سیامک اسماعیلی، پرنیا لرنی، نگار طاهری، محدثه پیرهادی، نازنین زمندی، نازگل زمندی، حنیفا حیدری، علی اصغر حق شناس، کیانا حق شناس</t>
  </si>
  <si>
    <t>هنریک ایبسن</t>
  </si>
  <si>
    <t>(به ترتیب ورود به صحنه) بهناز سعیدی، احمد احمدی، فائزه قربان نژاد، امیرحسین سیداسماعیل، رضا ملک زاده</t>
  </si>
  <si>
    <t>(گروه تئاتر دوران) حسین جریان، سیما صالحی، کسری فرحناک، آران شالودگی، زهرا میرزا آقایی، مصطفی امینی</t>
  </si>
  <si>
    <t>(پرتره اجتماعی)عماد زارعی، حسین شریعت، پریا جعفرمحمدی، پریا یعقوبی، کیان طایفه، محمدعلی مرتضوی صفت (طاها)، علی بختیاری، آرمینا محمودی و علی حسینی خواه  (پرتره شهرت) حسین شریعت، کیمیا شاهرخی، محسن رضوی نیا، پریچهر معروفی،عماد زارعی، کیان طایفه، آرین کبیری، علی مربی، پدرام آل ابراهیمی، یاسمن حسینی و دریا کریمی</t>
  </si>
  <si>
    <t>1400-08-15</t>
  </si>
  <si>
    <t>کیارش حقگو</t>
  </si>
  <si>
    <t>یوسف فروتن</t>
  </si>
  <si>
    <t>تماشاخانه اشراق (مشهد)</t>
  </si>
  <si>
    <t>حامد معمار طهرانی</t>
  </si>
  <si>
    <t>شکیبا فرزانه، تارا درخشانی، گیتی میری، حمیده کارگر، فائزه نوروزی، گلبرگ ظهیری، نسیم خیری، هدیه طالبی</t>
  </si>
  <si>
    <t>(به ترتیب ورود به صحنه) طاهره بهرامی نهادفر، افسانه بخشی فرد، مرضیه آقاسی، زهرا عرب براقی، سیمین عزیزی، آریاناز ضرابی، مریم مهریان، ساناز تفکری، مرجان مشاط زادگان، الهه اهدائی، فرنوش دبیری، منیژه روستایی، فریال سیاح نیری، لیلا عزتی</t>
  </si>
  <si>
    <t>حسین آیرمی، حسین مشکی زاده</t>
  </si>
  <si>
    <t>عباس اقتداری</t>
  </si>
  <si>
    <t>حسین مشکی زاده، فرزانه پورمحمود</t>
  </si>
  <si>
    <t>تالار مرکزی رشت - سالن سایه</t>
  </si>
  <si>
    <t>1398-10-14</t>
  </si>
  <si>
    <t>ارسطو خوش رزم</t>
  </si>
  <si>
    <t>جواد خواجوی، ارسطو خوش رزم، لبخند بدیعی</t>
  </si>
  <si>
    <t>1401-03-10</t>
  </si>
  <si>
    <t>نبی کوروش نیا</t>
  </si>
  <si>
    <t>مهرداد کوروش نیا</t>
  </si>
  <si>
    <t>حسین معدن نشین، دنیا نقیبی، آرمان آزادی، محمدمهدی اسدی صفا، مهزیار همدانی، دانیال نیکلا</t>
  </si>
  <si>
    <t>(به ترتیب ورود به صحنه) کامبیز میرزایی، احمد فرهادی، فاطمه زاهدی تجریشی، مصطفی غلامپور، مهیار خاورینژاد، نیما کارگر، الاهه حسینی، ترانه قلندری، رومینا آقاجانی، مبینا آقاجانی، آوا محمودی، مهدیس خداترس، مریم حسن پور</t>
  </si>
  <si>
    <t>آرش واحدی</t>
  </si>
  <si>
    <t>سمن قناد، محمد معتضدی</t>
  </si>
  <si>
    <t>حسین فردوسی</t>
  </si>
  <si>
    <t>(به ترتیب حروف الفبا) مهرداد آبسالان، الهه احمدزاده، امیرحسین بیاتی، سید محمد تقوی، غزاله جعفرپور، محمد جوادی، فرانک جواهری، عاطفه حق شناس، کوروش رجایی، رعنا رحمانی، یسنا سورانی، هستی شهبازی، سمانه صادقی، پوریا صفایی زاده، مینا صدقی، امیر طیبی، صبا قربا، حسین فردوسی، مونا فرهادی، هومن کریمی، علیرضا کیوانی، ابوالفضل گرمابی، غزاله مهرابی، محمد نیلوفر، علی ویسی، نادیا حریوندی، میلاد هوشنگی</t>
  </si>
  <si>
    <t>مصطفا ذره پرور</t>
  </si>
  <si>
    <t>ارژنگ طالبی نژاد</t>
  </si>
  <si>
    <t>(به ترتیب حروف الفبا) آرش حقگو، مهسا رستمی، بهراد سلاح ورزی، شیرین طیبی، مهشید کاظمی</t>
  </si>
  <si>
    <t>سرای فرهنگ و هنر مهراد - کرج</t>
  </si>
  <si>
    <t>آبتین سرافراز</t>
  </si>
  <si>
    <t>علی یدالهی، صادق صبح دوست، مژگان رضاخانی، عرفان خاکسار، مهلا الیاسی، آسمان نصیری</t>
  </si>
  <si>
    <t>احمد دهقان</t>
  </si>
  <si>
    <t>احمد دهقان، احمد خان محمدزاده، بهاره ترابی، عرفان زارعی</t>
  </si>
  <si>
    <t>حسین نیرومند</t>
  </si>
  <si>
    <t>کاوه فرجاد منش، مهسا ولیزاده، پرنیا بیگلری و امیرعلی گودرزی</t>
  </si>
  <si>
    <t>فرزین فرزانه</t>
  </si>
  <si>
    <t>(به ترتیب ورود به صحنه) علی پناهی، فرزین فرزانه، امیرعلی غریبی، علیرضا داوودی، محمدمتین بهرامی، ابراهیم بنی طرفی، علی استواری، ماردین منصوری، مانی غفوری، تینا پناهی، فاطمه احمدی و سمانه عباسی</t>
  </si>
  <si>
    <t>زهرا جربان</t>
  </si>
  <si>
    <t>میثم حسینی، یاشار خمسه، امیداله کوهی، سپیده شعبان، خانقاه احمدی، هستی سلگی، علی بهرامی، ایمان ملایری</t>
  </si>
  <si>
    <t>سبا نوروز مکاری، بهروز گنجه، شیوا کوشکانی، ستایش پرستار، پوریا رسولی</t>
  </si>
  <si>
    <t>1401-07-14</t>
  </si>
  <si>
    <t>شهره سلطانی، شهروز دل افکار، یزدان فتوحی، الهه شهپرست، احسان عباسی، محمد حاتمی</t>
  </si>
  <si>
    <t>(به ترتیب حروف الفبا) سجاد احمدلو، پروانه امیری، امیررضا باباولیان، امیرعلی زمانیان، مرتضی سبحانی، بهناز سعیدی، محمدامیر شایگی، هنگامه معلم، حبیب موسوی، نیکی میرصادقی، سپیده نورصالحی</t>
  </si>
  <si>
    <t>بهار اشکوری</t>
  </si>
  <si>
    <t>(به ترتیب ورود) شقایق حق نظری، مجتبی ترکمان، امیرحسین سیداسماعیل، علی حقیقت، حسین درخشان، نازنین بیوک</t>
  </si>
  <si>
    <t>ماهره احمدی، یگانه بابائیان، مهسا تاجیک، رامین حبشی، الهه دیانت، رویا رضازاده، علیرضا رضایی، میلاد سلیمانلو، علی شصتی، فاطمه زهرا عباسی، یاس عباسی، متین عنایت، ستایش محمدخانی، امیرحسین محمدی، عرفانه مددی، علی مرزبان یار، علی رضا میرزایی، هلنا میرزاپور، سحر هاشمی</t>
  </si>
  <si>
    <t>(به ترتیب ورود به صحنه) تینو صالحی، مرجان قمری، محمدرضا ایمانیان، سهیل ملکی، حسن تدینی، فهیمه معین، لبخند بدیعی، عرفان پورمحمدی، آبتین حاتمی</t>
  </si>
  <si>
    <t>(به ترتیب ورود به صحنه) حسین کشفی اصل، هومن سلطانی، انوش معظمی، گیلدا حمیدی، افسون یدملت، رویا بختیاری، کامیار محبی، سینا فرجام، زری کریمی، محمد ارفعی، حسام حسینی، امیررضا باباولیان، امیر عدل پرور، همایون حیدرزاده، کیمیا جواهری، شایان طرقه</t>
  </si>
  <si>
    <t>(به ترتیب ورود به صحنه)سید جواد حسینی، سیامک زین‏الدینی، مرتضی عبدالهی، نهال حاجیان، شهروز آقائی پور، یزدان دارابی، مهدی جعفری پور، علی چاقوچی</t>
  </si>
  <si>
    <t>مهدی هنرسازان</t>
  </si>
  <si>
    <t>مهدی هنرسازان، علی اسدیان، ساغر بهنام، تداعی سعیدی فر، امیرحسین فهادان، سارا محبی، بهزاد محبوبی، امیرحسین انصاری، صادق صادقیان</t>
  </si>
  <si>
    <t>رویا صفری</t>
  </si>
  <si>
    <t>رویا صفری، حنیف براری، مرجان هادی زاده، فرزام صفاریان، مریم ارغوانی</t>
  </si>
  <si>
    <t>1401-12-28</t>
  </si>
  <si>
    <t>مژگان معقولی</t>
  </si>
  <si>
    <t>محمد حسین کودری</t>
  </si>
  <si>
    <t>ایمان میرهاشمی، سیما نجفی زاده، پدرام شیوا، سارا عاکف، پارسا متقی</t>
  </si>
  <si>
    <t>رحمان خوب زاده</t>
  </si>
  <si>
    <t>(به ترتیب حروف الفبا) شکیلا آذرمهر، سعیده جمشیدی، امید رهبر، شیرین شادی، مرتضی صفائی نائینی، حسین عباسی، لعیا فرهمند، نوش آفرین کیهان، ارسلان محمدی، سونیا معبودی، حامد ناوشکی</t>
  </si>
  <si>
    <t>مکتب تهران</t>
  </si>
  <si>
    <t>مرتضی نوری</t>
  </si>
  <si>
    <t>حسن برجکی، سینا طباطبایی</t>
  </si>
  <si>
    <t>مهدی نجفی</t>
  </si>
  <si>
    <t>زهرا حسن زارعی، درسا دلفان</t>
  </si>
  <si>
    <t>شبنم قلی خانی</t>
  </si>
  <si>
    <t>نیما ابراهیمی، هستی پاکدل، سپنتا پزشکی، مهدی تحیری، کیانا تاجیک، نرگس جدیدی، محمد چیتی، محمد حاجی محمدی، زهرا حسن نژاد، پارسا خسروی، پژمان داودی، داود زارع گاریزی، محمدصادق سلمانیان، محمدرضا شجاعی، وحید فقیهی، محدثه شیخ قمی، علی ظریفی فر، محمدرضا عبدالله پور، یاسمن عبدالله زاده، زهرا علی یزدی، کیانا عزیزی، دینا غلامی، امین فرمانیان، ستایش کاوه، معصومه کسکنی، سارا منیرپور، کامیار مهدی زاده، محمدرضا نیکزاد، رها یزدی</t>
  </si>
  <si>
    <t>1400-07-07</t>
  </si>
  <si>
    <t>مهران باقری</t>
  </si>
  <si>
    <t>(به ترتیب حروف الفبا)آوا آزاد، فهیمه اکبری، سانیا بهشتی، آرزو خدیش، فرزان رنجبر، بهداد منتظرین</t>
  </si>
  <si>
    <t>محمد حسین خدمت پرست</t>
  </si>
  <si>
    <t>سید علی بروهان</t>
  </si>
  <si>
    <t>رضا گرجی، صبا محمدی</t>
  </si>
  <si>
    <t>مهدی اصغریان، امیر بشیره نژاد، مرمر معتمدی دانا، سارینا گودرزی، منصوره کاملی، حسین اکبری، بهناز نادری، کاترین بزرگمهر، پری یوسفی، مریم حبیبی، نسرین رزقی، کیمیا علیزاده، ریحانه حضوری، یکتا رضایی، مقدسه بیابانی، دل آرا طیبی، نازنین قربانی، زهرا جعفری راد</t>
  </si>
  <si>
    <t>حامد مقدسی، افشین واعظی، محدثه دانش، شاهرخ دریانورد، علیرضا شعاعی</t>
  </si>
  <si>
    <t>حمیده مقدسی</t>
  </si>
  <si>
    <t>نگین مطفف</t>
  </si>
  <si>
    <t>علیرضا ناصحی</t>
  </si>
  <si>
    <t>پریا شفیعیان، محمد صادقیان و علیرضا ناصحی</t>
  </si>
  <si>
    <t>محسن شاهچراغی</t>
  </si>
  <si>
    <t>فرشته فرشاد، بر اساس طرحی از محمدرضا قلی پور</t>
  </si>
  <si>
    <t>تکتم رسول زاده، سید سعید موسوی، شهریار نیک پیکران، نیلوفر موسوی</t>
  </si>
  <si>
    <t>1401-03-01</t>
  </si>
  <si>
    <t>فرشید قلی پور</t>
  </si>
  <si>
    <t>(به ترتیب حروف الفبا) الینا ابراهیمی، محمدمهدیار اسدی فرساد، هستی افشاری، فاطمه باقری، نازنین زهرا قزل سفلی، سهیل سهرابی، سارینا، صبور روح، آیناز قاسمی، سیاوش گلریز، ماهان گودینی، آوا لطیفی، رسپینا محمدزاده، درسا محمدی نیا، السانا محمدی</t>
  </si>
  <si>
    <t>محسن علی نژاد، حجت حسن پور، آیلار یزدانی، مهدیه حسینی، مژده فرجی، مریم افشاری، ا.راد، بهنام شیخلو</t>
  </si>
  <si>
    <t>00:36:00</t>
  </si>
  <si>
    <t>شاهین علایی نژاد، مهناز غمخوار، محمد صمدی، مصطفی ایزدی، پریسا فلاح زاده، مرتضی حقی، هومن قاسم خانی، هانیه مهر افزون، زهرا دوستی</t>
  </si>
  <si>
    <t>محمدمهدی رضائیان</t>
  </si>
  <si>
    <t>(به ترتیب ورود به صحنه) نازنین خلیلی، شایان قنادزاده، حامد سوری، مهدی اسدی، علی همایونی فر</t>
  </si>
  <si>
    <t>(به ترتیب حروف الفبا) مهسا آذری، محبوبه آرمون، الی امامی، باران جلال زاده، غزال حسینی مقدم، حنانه خضرائی، نازنین دروگر، مانا دهقانی راد، نرگس ذاکری دلاور، شهرزاد شوشتری، مرسده کوچکسرایی، حدیثه مقدم، مهشید میرزایی، مهتاب وجدانی</t>
  </si>
  <si>
    <t>مرتضی حسینی</t>
  </si>
  <si>
    <t>فریبرز شاه کرمی</t>
  </si>
  <si>
    <t>فریبرز شاه کرمی، سینا امامی، مرتضی حسینی، فاطمه حسینی، زهره کبیری، محمد سعوه، فریمهر شاه کرمی، آریانوش باقری، حمید رضا شوکتی، بهاره رودباری، سجاد فیضی، ستایش حسین زاده، سونیا بیات، زنده یاد فرحناز عطری نژاد</t>
  </si>
  <si>
    <t>محمدرضا زمانی</t>
  </si>
  <si>
    <t>اِروین گالستیان</t>
  </si>
  <si>
    <t>افشین غیاثی</t>
  </si>
  <si>
    <t>مسعود ترابی، بابک قادری، علیرضا حق شناس، حسنا قبادی، معین محمودزاده، کیمیا نصیری، فاطمه خاوری، شیرین منجمی، حامد مقدم، محمد حسین کیا، زینب هزاره، گلی احمدی، عاطفه علیزاده، متین کریمی، محمدعرفان حسینی، مهدی وزیری مقدم</t>
  </si>
  <si>
    <t>پلاتوی کامیابی مسک - بیرجند</t>
  </si>
  <si>
    <t>مهدی مسروری</t>
  </si>
  <si>
    <t>ابراهیم راستگو، هانیه مودی، عارف موحد، فاطمه حاجی</t>
  </si>
  <si>
    <t>1399-05-08</t>
  </si>
  <si>
    <t>یگانه یوسف</t>
  </si>
  <si>
    <t>پگاه مشتاقی</t>
  </si>
  <si>
    <t>مریم صادقی</t>
  </si>
  <si>
    <t>سعید محسنی</t>
  </si>
  <si>
    <t>(به ترتیب حروف الفبا) الناز زجاجی، علی شریفی، مریم صادقی، سپیده فضل یاب، راز قادری، درسا محسنی</t>
  </si>
  <si>
    <t>ملیحه دهقانی</t>
  </si>
  <si>
    <t>محمدحسین شکرگزار</t>
  </si>
  <si>
    <t>مهسا مشهدی عباسی، آناهیتا کولیوند، سیده بهاره حسینی، کیمیا زینی وند، سارینا فتحی</t>
  </si>
  <si>
    <t>سامان ناصری</t>
  </si>
  <si>
    <t>(به ترتیب حروف الفبا) ابوالفضل حضرتی، مهدا رضایی، مهدی صادقی، محمدرضا غفاری، سوران قادری، ستایش قاسمی، پژمان کاشفی، یونس کریمی، محمدرضا لوانی، امیر موذنی، داریوش هاشمی، کیوان هاشمی، ویدا یاراحمدی، محسن یگانه، کرشمه یوسفی</t>
  </si>
  <si>
    <t>کیومرث مرادی</t>
  </si>
  <si>
    <t>کیومرث مرادی (بر اساس نمایشنامه «اهالی کاله» نوشته پیام لاریان)</t>
  </si>
  <si>
    <t>(به ترتیب ورود) سام درخشانی، مهدی حسینی نیا، نازنین کریمی</t>
  </si>
  <si>
    <t>1399-05-12</t>
  </si>
  <si>
    <t>نصیر ملکی جو</t>
  </si>
  <si>
    <t>سیاوش چراغی پور، پگاه کاظمی</t>
  </si>
  <si>
    <t>کیارش دستیاری</t>
  </si>
  <si>
    <t>اشکان افشاری، ویدا لیراوی، شهراد حسامی، مرضیه بازیار</t>
  </si>
  <si>
    <t>فائوستو پاراویدینو</t>
  </si>
  <si>
    <t>(به ترتیب الفبا) مانلی حسین پور، آرزو شیخی، محمدرضا صولتی، سالار کریم خانی، امید مصباحی، رامتین مقدادی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</si>
</sst>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name val="Arial"/>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92"/>
  <sheetViews>
    <sheetView tabSelected="1" workbookViewId="0">
      <selection activeCell="H10" sqref="H10"/>
    </sheetView>
  </sheetViews>
  <sheetFormatPr defaultRowHeight="14.25" x14ac:dyDescent="0.2"/>
  <cols>
    <col min="3" max="3" width="47.375" bestFit="1" customWidth="1"/>
    <col min="6" max="6" width="10.125" bestFit="1" customWidth="1"/>
    <col min="7" max="7" width="27.625" customWidth="1"/>
    <col min="8" max="8" width="25.875" customWidth="1"/>
    <col min="11" max="11" width="35.5" customWidth="1"/>
  </cols>
  <sheetData>
    <row r="1" spans="1:11" ht="15" x14ac:dyDescent="0.2">
      <c r="A1" s="1" t="s">
        <v>0</v>
      </c>
      <c r="B1" s="1" t="s">
        <v>1</v>
      </c>
      <c r="C1" s="1" t="s">
        <v>2</v>
      </c>
      <c r="D1" s="1" t="s">
        <v>3</v>
      </c>
      <c r="E1" s="1" t="s">
        <v>4</v>
      </c>
      <c r="F1" s="1" t="s">
        <v>5</v>
      </c>
      <c r="G1" s="1" t="s">
        <v>6</v>
      </c>
      <c r="H1" s="1" t="s">
        <v>7</v>
      </c>
      <c r="I1" s="1" t="s">
        <v>8</v>
      </c>
      <c r="J1" s="1" t="s">
        <v>9</v>
      </c>
      <c r="K1" s="1" t="s">
        <v>10</v>
      </c>
    </row>
    <row r="2" spans="1:11" x14ac:dyDescent="0.2">
      <c r="A2" t="str">
        <f>HYPERLINK("https://www.tiwall.com//p/haftwish","هفت ویش")</f>
        <v>هفت ویش</v>
      </c>
      <c r="B2">
        <v>40</v>
      </c>
      <c r="C2" t="s">
        <v>11</v>
      </c>
      <c r="D2" t="s">
        <v>12</v>
      </c>
      <c r="E2" t="s">
        <v>13</v>
      </c>
      <c r="F2" t="s">
        <v>14</v>
      </c>
      <c r="G2" t="s">
        <v>15</v>
      </c>
      <c r="H2" t="s">
        <v>16</v>
      </c>
      <c r="I2">
        <v>0</v>
      </c>
      <c r="J2">
        <v>0</v>
      </c>
      <c r="K2" t="s">
        <v>17</v>
      </c>
    </row>
    <row r="3" spans="1:11" x14ac:dyDescent="0.2">
      <c r="A3" t="str">
        <f>HYPERLINK("https://www.tiwall.com//p/jimi.nemishe","هیچکس جیمی نمیشه")</f>
        <v>هیچکس جیمی نمیشه</v>
      </c>
      <c r="B3">
        <v>100</v>
      </c>
      <c r="C3" t="s">
        <v>18</v>
      </c>
      <c r="D3" t="s">
        <v>12</v>
      </c>
      <c r="E3" t="s">
        <v>19</v>
      </c>
      <c r="F3" t="s">
        <v>20</v>
      </c>
      <c r="G3" t="s">
        <v>21</v>
      </c>
      <c r="H3" t="s">
        <v>22</v>
      </c>
      <c r="I3">
        <v>0</v>
      </c>
      <c r="J3">
        <v>0</v>
      </c>
      <c r="K3" t="s">
        <v>23</v>
      </c>
    </row>
    <row r="4" spans="1:11" x14ac:dyDescent="0.2">
      <c r="A4" t="str">
        <f>HYPERLINK("https://www.tiwall.com//p/boxer","بوکسور")</f>
        <v>بوکسور</v>
      </c>
      <c r="B4">
        <v>80</v>
      </c>
      <c r="C4" t="s">
        <v>24</v>
      </c>
      <c r="D4" t="s">
        <v>25</v>
      </c>
      <c r="E4" t="s">
        <v>26</v>
      </c>
      <c r="F4" t="s">
        <v>27</v>
      </c>
      <c r="G4" t="s">
        <v>28</v>
      </c>
      <c r="H4" t="s">
        <v>29</v>
      </c>
      <c r="I4">
        <v>3.8</v>
      </c>
      <c r="J4">
        <v>76</v>
      </c>
      <c r="K4" t="s">
        <v>30</v>
      </c>
    </row>
    <row r="5" spans="1:11" x14ac:dyDescent="0.2">
      <c r="A5" t="str">
        <f>HYPERLINK("https://www.tiwall.com//p/audience","مخاطب")</f>
        <v>مخاطب</v>
      </c>
      <c r="B5">
        <v>120</v>
      </c>
      <c r="C5" t="s">
        <v>31</v>
      </c>
      <c r="D5" t="s">
        <v>32</v>
      </c>
      <c r="E5" t="s">
        <v>19</v>
      </c>
      <c r="F5" t="s">
        <v>33</v>
      </c>
      <c r="G5" t="s">
        <v>34</v>
      </c>
      <c r="H5" t="s">
        <v>35</v>
      </c>
      <c r="I5">
        <v>2.8</v>
      </c>
      <c r="J5">
        <v>108</v>
      </c>
      <c r="K5" t="s">
        <v>36</v>
      </c>
    </row>
    <row r="6" spans="1:11" x14ac:dyDescent="0.2">
      <c r="A6" t="str">
        <f>HYPERLINK("https://www.tiwall.com//p/tempest","توفان")</f>
        <v>توفان</v>
      </c>
      <c r="B6">
        <v>100</v>
      </c>
      <c r="C6" t="s">
        <v>37</v>
      </c>
      <c r="D6" t="s">
        <v>38</v>
      </c>
      <c r="E6" t="s">
        <v>39</v>
      </c>
      <c r="F6" t="s">
        <v>40</v>
      </c>
      <c r="G6" t="s">
        <v>41</v>
      </c>
      <c r="H6" t="s">
        <v>42</v>
      </c>
      <c r="I6">
        <v>3.7</v>
      </c>
      <c r="J6">
        <v>91</v>
      </c>
      <c r="K6" t="s">
        <v>43</v>
      </c>
    </row>
    <row r="7" spans="1:11" x14ac:dyDescent="0.2">
      <c r="A7" t="str">
        <f>HYPERLINK("https://www.tiwall.com//p/mohemnist2","مهم نیست")</f>
        <v>مهم نیست</v>
      </c>
      <c r="B7">
        <v>30</v>
      </c>
      <c r="C7" t="s">
        <v>44</v>
      </c>
      <c r="D7" t="s">
        <v>45</v>
      </c>
      <c r="E7" t="s">
        <v>46</v>
      </c>
      <c r="F7" t="s">
        <v>47</v>
      </c>
      <c r="G7" t="s">
        <v>48</v>
      </c>
      <c r="H7" t="s">
        <v>49</v>
      </c>
      <c r="I7">
        <v>3.2</v>
      </c>
      <c r="J7">
        <v>5</v>
      </c>
      <c r="K7" t="s">
        <v>50</v>
      </c>
    </row>
    <row r="8" spans="1:11" x14ac:dyDescent="0.2">
      <c r="A8" t="str">
        <f>HYPERLINK("https://www.tiwall.com//p/peyvand.khuni2","پیوند خونی")</f>
        <v>پیوند خونی</v>
      </c>
      <c r="B8">
        <v>50</v>
      </c>
      <c r="C8" t="s">
        <v>51</v>
      </c>
      <c r="D8" t="s">
        <v>12</v>
      </c>
      <c r="E8" t="s">
        <v>26</v>
      </c>
      <c r="F8" t="s">
        <v>52</v>
      </c>
      <c r="G8" t="s">
        <v>53</v>
      </c>
      <c r="H8" t="s">
        <v>54</v>
      </c>
      <c r="I8">
        <v>0</v>
      </c>
      <c r="J8">
        <v>0</v>
      </c>
      <c r="K8" t="s">
        <v>55</v>
      </c>
    </row>
    <row r="9" spans="1:11" x14ac:dyDescent="0.2">
      <c r="A9" t="str">
        <f>HYPERLINK("https://www.tiwall.com//p/didan2","دیدن")</f>
        <v>دیدن</v>
      </c>
      <c r="B9">
        <v>80</v>
      </c>
      <c r="C9" t="s">
        <v>56</v>
      </c>
      <c r="D9" t="s">
        <v>12</v>
      </c>
      <c r="E9" t="s">
        <v>26</v>
      </c>
      <c r="F9" t="s">
        <v>57</v>
      </c>
      <c r="G9" t="s">
        <v>58</v>
      </c>
      <c r="H9" t="s">
        <v>58</v>
      </c>
      <c r="I9">
        <v>0</v>
      </c>
      <c r="J9">
        <v>0</v>
      </c>
      <c r="K9" t="s">
        <v>59</v>
      </c>
    </row>
    <row r="10" spans="1:11" x14ac:dyDescent="0.2">
      <c r="A10" t="str">
        <f>HYPERLINK("https://www.tiwall.com//p/mashahir","مشاهیر")</f>
        <v>مشاهیر</v>
      </c>
      <c r="B10">
        <v>50</v>
      </c>
      <c r="C10" t="s">
        <v>60</v>
      </c>
      <c r="D10" t="s">
        <v>32</v>
      </c>
      <c r="E10" t="s">
        <v>26</v>
      </c>
      <c r="F10" t="s">
        <v>61</v>
      </c>
      <c r="G10" t="s">
        <v>62</v>
      </c>
      <c r="H10" t="s">
        <v>62</v>
      </c>
      <c r="I10">
        <v>3.3</v>
      </c>
      <c r="J10">
        <v>44</v>
      </c>
      <c r="K10" t="s">
        <v>63</v>
      </c>
    </row>
    <row r="11" spans="1:11" x14ac:dyDescent="0.2">
      <c r="A11" t="str">
        <f>HYPERLINK("https://www.tiwall.com//p/manrabebinid","کمی از من را ببینید")</f>
        <v>کمی از من را ببینید</v>
      </c>
      <c r="B11">
        <v>30</v>
      </c>
      <c r="C11" t="s">
        <v>64</v>
      </c>
      <c r="D11" t="s">
        <v>65</v>
      </c>
      <c r="E11" t="s">
        <v>13</v>
      </c>
      <c r="F11" t="s">
        <v>66</v>
      </c>
      <c r="G11" t="s">
        <v>67</v>
      </c>
      <c r="H11" t="s">
        <v>67</v>
      </c>
      <c r="I11">
        <v>2.2000000000000002</v>
      </c>
      <c r="J11">
        <v>5</v>
      </c>
      <c r="K11" t="s">
        <v>68</v>
      </c>
    </row>
    <row r="12" spans="1:11" x14ac:dyDescent="0.2">
      <c r="A12" t="str">
        <f>HYPERLINK("https://www.tiwall.com//p/haghbashomast2","حق با شماست")</f>
        <v>حق با شماست</v>
      </c>
      <c r="B12">
        <v>40</v>
      </c>
      <c r="C12" t="s">
        <v>69</v>
      </c>
      <c r="D12" t="s">
        <v>70</v>
      </c>
      <c r="E12" t="s">
        <v>71</v>
      </c>
      <c r="F12" t="s">
        <v>72</v>
      </c>
      <c r="G12" t="s">
        <v>73</v>
      </c>
      <c r="H12" t="s">
        <v>74</v>
      </c>
      <c r="I12">
        <v>0</v>
      </c>
      <c r="J12">
        <v>0</v>
      </c>
      <c r="K12" t="s">
        <v>75</v>
      </c>
    </row>
    <row r="13" spans="1:11" x14ac:dyDescent="0.2">
      <c r="A13" t="str">
        <f>HYPERLINK("https://www.tiwall.com//p/ensan.modern","سه روایت چند وجهی از اِنثانِ مدرن، پسامدرن یا پیشامدرن (روایت اول)")</f>
        <v>سه روایت چند وجهی از اِنثانِ مدرن، پسامدرن یا پیشامدرن (روایت اول)</v>
      </c>
      <c r="B13">
        <v>60</v>
      </c>
      <c r="C13" t="s">
        <v>76</v>
      </c>
      <c r="D13" t="s">
        <v>25</v>
      </c>
      <c r="E13" t="s">
        <v>46</v>
      </c>
      <c r="F13" t="s">
        <v>77</v>
      </c>
      <c r="G13" t="s">
        <v>78</v>
      </c>
      <c r="H13" t="s">
        <v>79</v>
      </c>
      <c r="I13">
        <v>0</v>
      </c>
      <c r="J13">
        <v>0</v>
      </c>
      <c r="K13" t="s">
        <v>80</v>
      </c>
    </row>
    <row r="14" spans="1:11" x14ac:dyDescent="0.2">
      <c r="A14" t="str">
        <f>HYPERLINK("https://www.tiwall.com//p/miosof","میخواهم میوسوف را ببینم")</f>
        <v>میخواهم میوسوف را ببینم</v>
      </c>
      <c r="B14">
        <v>45</v>
      </c>
      <c r="C14" t="s">
        <v>81</v>
      </c>
      <c r="D14" t="s">
        <v>45</v>
      </c>
      <c r="E14" t="s">
        <v>19</v>
      </c>
      <c r="F14" t="s">
        <v>82</v>
      </c>
      <c r="G14" t="s">
        <v>83</v>
      </c>
      <c r="H14" t="s">
        <v>84</v>
      </c>
      <c r="I14">
        <v>0</v>
      </c>
      <c r="J14">
        <v>0</v>
      </c>
      <c r="K14" t="s">
        <v>85</v>
      </c>
    </row>
    <row r="15" spans="1:11" x14ac:dyDescent="0.2">
      <c r="A15" t="str">
        <f>HYPERLINK("https://www.tiwall.com//p/dorough4","دروغ")</f>
        <v>دروغ</v>
      </c>
      <c r="B15">
        <v>45</v>
      </c>
      <c r="C15" t="s">
        <v>86</v>
      </c>
      <c r="D15" t="s">
        <v>87</v>
      </c>
      <c r="E15" t="s">
        <v>88</v>
      </c>
      <c r="F15" t="s">
        <v>89</v>
      </c>
      <c r="G15" t="s">
        <v>90</v>
      </c>
      <c r="H15" t="s">
        <v>91</v>
      </c>
      <c r="I15">
        <v>3.8</v>
      </c>
      <c r="J15">
        <v>13</v>
      </c>
      <c r="K15" t="s">
        <v>92</v>
      </c>
    </row>
    <row r="16" spans="1:11" x14ac:dyDescent="0.2">
      <c r="A16" t="str">
        <f>HYPERLINK("https://www.tiwall.com//p/nesbiatekhaas2","نسبیت خاص")</f>
        <v>نسبیت خاص</v>
      </c>
      <c r="B16">
        <v>40</v>
      </c>
      <c r="C16" t="s">
        <v>64</v>
      </c>
      <c r="D16" t="s">
        <v>32</v>
      </c>
      <c r="E16" t="s">
        <v>46</v>
      </c>
      <c r="F16" t="s">
        <v>93</v>
      </c>
      <c r="G16" t="s">
        <v>94</v>
      </c>
      <c r="H16" t="s">
        <v>95</v>
      </c>
      <c r="I16">
        <v>0</v>
      </c>
      <c r="J16">
        <v>0</v>
      </c>
      <c r="K16" t="s">
        <v>96</v>
      </c>
    </row>
    <row r="17" spans="1:11" x14ac:dyDescent="0.2">
      <c r="A17" t="str">
        <f>HYPERLINK("https://www.tiwall.com//p/molaghatbano4","ملاقات بانوی سالخورده")</f>
        <v>ملاقات بانوی سالخورده</v>
      </c>
      <c r="B17">
        <v>50</v>
      </c>
      <c r="C17" t="s">
        <v>97</v>
      </c>
      <c r="D17" t="s">
        <v>32</v>
      </c>
      <c r="E17" t="s">
        <v>98</v>
      </c>
      <c r="F17" t="s">
        <v>99</v>
      </c>
      <c r="G17" t="s">
        <v>100</v>
      </c>
      <c r="H17" t="s">
        <v>101</v>
      </c>
      <c r="I17">
        <v>0</v>
      </c>
      <c r="J17">
        <v>0</v>
      </c>
      <c r="K17" t="s">
        <v>102</v>
      </c>
    </row>
    <row r="18" spans="1:11" x14ac:dyDescent="0.2">
      <c r="A18" t="str">
        <f>HYPERLINK("https://www.tiwall.com//p/panjahpanjah","پنجاه پنجاه")</f>
        <v>پنجاه پنجاه</v>
      </c>
      <c r="B18">
        <v>35</v>
      </c>
      <c r="C18" t="s">
        <v>103</v>
      </c>
      <c r="D18" t="s">
        <v>45</v>
      </c>
      <c r="E18" t="s">
        <v>71</v>
      </c>
      <c r="F18" t="s">
        <v>104</v>
      </c>
      <c r="G18" t="s">
        <v>105</v>
      </c>
      <c r="H18" t="s">
        <v>106</v>
      </c>
      <c r="I18">
        <v>4.0999999999999996</v>
      </c>
      <c r="J18">
        <v>364</v>
      </c>
      <c r="K18" t="s">
        <v>107</v>
      </c>
    </row>
    <row r="19" spans="1:11" x14ac:dyDescent="0.2">
      <c r="A19" t="str">
        <f>HYPERLINK("https://www.tiwall.com//p/doodaman3","دودمان")</f>
        <v>دودمان</v>
      </c>
      <c r="B19">
        <v>30</v>
      </c>
      <c r="C19" t="s">
        <v>108</v>
      </c>
      <c r="D19" t="s">
        <v>25</v>
      </c>
      <c r="E19" t="s">
        <v>26</v>
      </c>
      <c r="F19" t="s">
        <v>109</v>
      </c>
      <c r="G19" t="s">
        <v>110</v>
      </c>
      <c r="H19" t="s">
        <v>110</v>
      </c>
      <c r="I19">
        <v>0</v>
      </c>
      <c r="J19">
        <v>0</v>
      </c>
      <c r="K19" t="s">
        <v>111</v>
      </c>
    </row>
    <row r="20" spans="1:11" x14ac:dyDescent="0.2">
      <c r="A20" t="str">
        <f>HYPERLINK("https://www.tiwall.com//p/rostamsohrab2","رستم و سهراب")</f>
        <v>رستم و سهراب</v>
      </c>
      <c r="B20">
        <v>50</v>
      </c>
      <c r="C20" t="s">
        <v>112</v>
      </c>
      <c r="D20" t="s">
        <v>45</v>
      </c>
      <c r="E20" t="s">
        <v>46</v>
      </c>
      <c r="F20" t="s">
        <v>113</v>
      </c>
      <c r="G20" t="s">
        <v>114</v>
      </c>
      <c r="H20" t="s">
        <v>115</v>
      </c>
      <c r="I20">
        <v>2.6</v>
      </c>
      <c r="J20">
        <v>11</v>
      </c>
      <c r="K20" t="s">
        <v>116</v>
      </c>
    </row>
    <row r="21" spans="1:11" x14ac:dyDescent="0.2">
      <c r="A21" t="str">
        <f>HYPERLINK("https://www.tiwall.com//p/doshantape","دوشان تپه")</f>
        <v>دوشان تپه</v>
      </c>
      <c r="B21">
        <v>70</v>
      </c>
      <c r="C21" t="s">
        <v>117</v>
      </c>
      <c r="D21" t="s">
        <v>32</v>
      </c>
      <c r="E21" t="s">
        <v>39</v>
      </c>
      <c r="F21" t="s">
        <v>118</v>
      </c>
      <c r="G21" t="s">
        <v>119</v>
      </c>
      <c r="H21" t="s">
        <v>119</v>
      </c>
      <c r="I21">
        <v>0</v>
      </c>
      <c r="J21">
        <v>0</v>
      </c>
      <c r="K21" t="s">
        <v>120</v>
      </c>
    </row>
    <row r="22" spans="1:11" x14ac:dyDescent="0.2">
      <c r="A22" t="str">
        <f>HYPERLINK("https://www.tiwall.com//p/nabzesanieha","نبض ثانیه ها")</f>
        <v>نبض ثانیه ها</v>
      </c>
      <c r="B22">
        <v>45</v>
      </c>
      <c r="C22" t="s">
        <v>121</v>
      </c>
      <c r="D22" t="s">
        <v>38</v>
      </c>
      <c r="E22" t="s">
        <v>26</v>
      </c>
      <c r="F22" t="s">
        <v>122</v>
      </c>
      <c r="G22" t="s">
        <v>123</v>
      </c>
      <c r="H22" t="s">
        <v>123</v>
      </c>
      <c r="I22">
        <v>0</v>
      </c>
      <c r="J22">
        <v>0</v>
      </c>
      <c r="K22" t="s">
        <v>124</v>
      </c>
    </row>
    <row r="23" spans="1:11" x14ac:dyDescent="0.2">
      <c r="A23" t="str">
        <f>HYPERLINK("https://www.tiwall.com//p/drama","دارما")</f>
        <v>دارما</v>
      </c>
      <c r="B23">
        <v>70</v>
      </c>
      <c r="C23" t="s">
        <v>125</v>
      </c>
      <c r="D23" t="s">
        <v>45</v>
      </c>
      <c r="E23" t="s">
        <v>13</v>
      </c>
      <c r="F23" t="s">
        <v>126</v>
      </c>
      <c r="G23" t="s">
        <v>127</v>
      </c>
      <c r="H23" t="s">
        <v>127</v>
      </c>
      <c r="I23">
        <v>0</v>
      </c>
      <c r="J23">
        <v>0</v>
      </c>
      <c r="K23" t="s">
        <v>128</v>
      </c>
    </row>
    <row r="24" spans="1:11" x14ac:dyDescent="0.2">
      <c r="A24" t="str">
        <f>HYPERLINK("https://www.tiwall.com//p/mifahmam","می‌فهمم، می‌فهمی، نمی‌فهمند")</f>
        <v>می‌فهمم، می‌فهمی، نمی‌فهمند</v>
      </c>
      <c r="B24">
        <v>60</v>
      </c>
      <c r="C24" t="s">
        <v>129</v>
      </c>
      <c r="D24" t="s">
        <v>65</v>
      </c>
      <c r="E24" t="s">
        <v>19</v>
      </c>
      <c r="F24" t="s">
        <v>27</v>
      </c>
      <c r="G24" t="s">
        <v>130</v>
      </c>
      <c r="H24" t="s">
        <v>130</v>
      </c>
      <c r="I24">
        <v>0</v>
      </c>
      <c r="J24">
        <v>0</v>
      </c>
      <c r="K24" t="s">
        <v>131</v>
      </c>
    </row>
    <row r="25" spans="1:11" x14ac:dyDescent="0.2">
      <c r="A25" t="str">
        <f>HYPERLINK("https://www.tiwall.com//p/jirjirak","جیرجیرک")</f>
        <v>جیرجیرک</v>
      </c>
      <c r="B25">
        <v>60</v>
      </c>
      <c r="C25" t="s">
        <v>132</v>
      </c>
      <c r="D25" t="s">
        <v>65</v>
      </c>
      <c r="E25" t="s">
        <v>133</v>
      </c>
      <c r="F25" t="s">
        <v>134</v>
      </c>
      <c r="G25" t="s">
        <v>135</v>
      </c>
      <c r="H25" t="s">
        <v>135</v>
      </c>
      <c r="I25">
        <v>2.5</v>
      </c>
      <c r="J25">
        <v>6</v>
      </c>
      <c r="K25" t="s">
        <v>136</v>
      </c>
    </row>
    <row r="26" spans="1:11" x14ac:dyDescent="0.2">
      <c r="A26" t="str">
        <f>HYPERLINK("https://www.tiwall.com//p/squirrel","سنجاب")</f>
        <v>سنجاب</v>
      </c>
      <c r="B26">
        <v>75</v>
      </c>
      <c r="C26" t="s">
        <v>137</v>
      </c>
      <c r="D26" t="s">
        <v>12</v>
      </c>
      <c r="E26" t="s">
        <v>138</v>
      </c>
      <c r="F26" t="s">
        <v>20</v>
      </c>
      <c r="G26" t="s">
        <v>139</v>
      </c>
      <c r="H26" t="s">
        <v>140</v>
      </c>
      <c r="I26">
        <v>0</v>
      </c>
      <c r="J26">
        <v>0</v>
      </c>
      <c r="K26" t="s">
        <v>141</v>
      </c>
    </row>
    <row r="27" spans="1:11" x14ac:dyDescent="0.2">
      <c r="A27" t="str">
        <f>HYPERLINK("https://www.tiwall.com//p/che3","چه")</f>
        <v>چه</v>
      </c>
      <c r="B27">
        <v>150</v>
      </c>
      <c r="C27" t="s">
        <v>31</v>
      </c>
      <c r="D27" t="s">
        <v>12</v>
      </c>
      <c r="E27" t="s">
        <v>88</v>
      </c>
      <c r="F27" t="s">
        <v>142</v>
      </c>
      <c r="G27" t="s">
        <v>143</v>
      </c>
      <c r="H27" t="s">
        <v>143</v>
      </c>
      <c r="I27">
        <v>4.3</v>
      </c>
      <c r="J27">
        <v>43</v>
      </c>
      <c r="K27" t="s">
        <v>144</v>
      </c>
    </row>
    <row r="28" spans="1:11" x14ac:dyDescent="0.2">
      <c r="A28" t="str">
        <f>HYPERLINK("https://www.tiwall.com//p/eshghdarpiri","عشق در پیری")</f>
        <v>عشق در پیری</v>
      </c>
      <c r="B28">
        <v>40</v>
      </c>
      <c r="C28" t="s">
        <v>145</v>
      </c>
      <c r="D28" t="s">
        <v>146</v>
      </c>
      <c r="E28" t="s">
        <v>13</v>
      </c>
      <c r="F28" t="s">
        <v>147</v>
      </c>
      <c r="G28" t="s">
        <v>148</v>
      </c>
      <c r="H28" t="s">
        <v>149</v>
      </c>
      <c r="I28">
        <v>4.5999999999999996</v>
      </c>
      <c r="J28">
        <v>135</v>
      </c>
      <c r="K28" t="s">
        <v>150</v>
      </c>
    </row>
    <row r="29" spans="1:11" x14ac:dyDescent="0.2">
      <c r="A29" t="str">
        <f>HYPERLINK("https://www.tiwall.com//p/bidari2","بیداری")</f>
        <v>بیداری</v>
      </c>
      <c r="B29">
        <v>30</v>
      </c>
      <c r="C29" t="s">
        <v>151</v>
      </c>
      <c r="D29" t="s">
        <v>45</v>
      </c>
      <c r="E29" t="s">
        <v>13</v>
      </c>
      <c r="F29" t="s">
        <v>66</v>
      </c>
      <c r="G29" t="s">
        <v>152</v>
      </c>
      <c r="H29" t="s">
        <v>153</v>
      </c>
      <c r="I29">
        <v>2.8</v>
      </c>
      <c r="J29">
        <v>6</v>
      </c>
      <c r="K29" t="s">
        <v>154</v>
      </c>
    </row>
    <row r="30" spans="1:11" x14ac:dyDescent="0.2">
      <c r="A30" t="str">
        <f>HYPERLINK("https://www.tiwall.com//p/tehranzirebalefereshtegan2","تهران زیر بال فرشتگان")</f>
        <v>تهران زیر بال فرشتگان</v>
      </c>
      <c r="B30">
        <v>25</v>
      </c>
      <c r="C30" t="s">
        <v>155</v>
      </c>
      <c r="D30" t="s">
        <v>156</v>
      </c>
      <c r="E30" t="s">
        <v>13</v>
      </c>
      <c r="F30" t="s">
        <v>157</v>
      </c>
      <c r="G30" t="s">
        <v>158</v>
      </c>
      <c r="H30" t="s">
        <v>159</v>
      </c>
      <c r="I30">
        <v>0</v>
      </c>
      <c r="J30">
        <v>0</v>
      </c>
      <c r="K30" t="s">
        <v>160</v>
      </c>
    </row>
    <row r="31" spans="1:11" x14ac:dyDescent="0.2">
      <c r="A31" t="str">
        <f>HYPERLINK("https://www.tiwall.com//p/atenmosco","آتن مسکو")</f>
        <v>آتن مسکو</v>
      </c>
      <c r="B31">
        <v>25</v>
      </c>
      <c r="C31" t="s">
        <v>161</v>
      </c>
      <c r="D31" t="s">
        <v>12</v>
      </c>
      <c r="E31" t="s">
        <v>88</v>
      </c>
      <c r="F31" t="s">
        <v>162</v>
      </c>
      <c r="G31" t="s">
        <v>163</v>
      </c>
      <c r="H31" t="s">
        <v>164</v>
      </c>
      <c r="I31">
        <v>0</v>
      </c>
      <c r="J31">
        <v>0</v>
      </c>
      <c r="K31" t="s">
        <v>165</v>
      </c>
    </row>
    <row r="32" spans="1:11" x14ac:dyDescent="0.2">
      <c r="A32" t="str">
        <f>HYPERLINK("https://www.tiwall.com//p/zozesag2","زوزه سگ")</f>
        <v>زوزه سگ</v>
      </c>
      <c r="B32">
        <v>45</v>
      </c>
      <c r="C32" t="s">
        <v>166</v>
      </c>
      <c r="D32" t="s">
        <v>45</v>
      </c>
      <c r="E32" t="s">
        <v>138</v>
      </c>
      <c r="F32" t="s">
        <v>167</v>
      </c>
      <c r="G32" t="s">
        <v>168</v>
      </c>
      <c r="H32" t="s">
        <v>168</v>
      </c>
      <c r="I32">
        <v>0</v>
      </c>
      <c r="J32">
        <v>0</v>
      </c>
      <c r="K32" t="s">
        <v>169</v>
      </c>
    </row>
    <row r="33" spans="1:11" x14ac:dyDescent="0.2">
      <c r="A33" t="str">
        <f>HYPERLINK("https://www.tiwall.com//p/magas2","مگس")</f>
        <v>مگس</v>
      </c>
      <c r="B33">
        <v>80</v>
      </c>
      <c r="C33" t="s">
        <v>170</v>
      </c>
      <c r="D33" t="s">
        <v>12</v>
      </c>
      <c r="E33" t="s">
        <v>26</v>
      </c>
      <c r="F33" t="s">
        <v>171</v>
      </c>
      <c r="G33" t="s">
        <v>172</v>
      </c>
      <c r="H33" t="s">
        <v>173</v>
      </c>
      <c r="I33">
        <v>3.8</v>
      </c>
      <c r="J33">
        <v>6</v>
      </c>
      <c r="K33" t="s">
        <v>174</v>
      </c>
    </row>
    <row r="34" spans="1:11" x14ac:dyDescent="0.2">
      <c r="A34" t="str">
        <f>HYPERLINK("https://www.tiwall.com//p/khoshdelan","خوشدلان")</f>
        <v>خوشدلان</v>
      </c>
      <c r="B34">
        <v>220</v>
      </c>
      <c r="C34" t="s">
        <v>37</v>
      </c>
      <c r="D34" t="s">
        <v>65</v>
      </c>
      <c r="E34" t="s">
        <v>175</v>
      </c>
      <c r="F34" t="s">
        <v>176</v>
      </c>
      <c r="G34" t="s">
        <v>177</v>
      </c>
      <c r="H34" t="s">
        <v>178</v>
      </c>
      <c r="I34">
        <v>3.4</v>
      </c>
      <c r="J34">
        <v>62</v>
      </c>
      <c r="K34" t="s">
        <v>179</v>
      </c>
    </row>
    <row r="35" spans="1:11" x14ac:dyDescent="0.2">
      <c r="A35" t="str">
        <f>HYPERLINK("https://www.tiwall.com//p/kallepookha","کله پوک ها")</f>
        <v>کله پوک ها</v>
      </c>
      <c r="B35">
        <v>30</v>
      </c>
      <c r="C35" t="s">
        <v>180</v>
      </c>
      <c r="D35" t="s">
        <v>12</v>
      </c>
      <c r="E35" t="s">
        <v>19</v>
      </c>
      <c r="F35" t="s">
        <v>181</v>
      </c>
      <c r="G35" t="s">
        <v>182</v>
      </c>
      <c r="H35" t="s">
        <v>183</v>
      </c>
      <c r="I35">
        <v>0</v>
      </c>
      <c r="J35">
        <v>0</v>
      </c>
      <c r="K35" t="s">
        <v>184</v>
      </c>
    </row>
    <row r="36" spans="1:11" x14ac:dyDescent="0.2">
      <c r="A36" t="str">
        <f>HYPERLINK("https://www.tiwall.com//p/mashghaleyekazeb","مشغله کاذبیه")</f>
        <v>مشغله کاذبیه</v>
      </c>
      <c r="B36">
        <v>30</v>
      </c>
      <c r="C36" t="s">
        <v>129</v>
      </c>
      <c r="D36" t="s">
        <v>65</v>
      </c>
      <c r="E36" t="s">
        <v>13</v>
      </c>
      <c r="F36" t="s">
        <v>185</v>
      </c>
      <c r="G36" t="s">
        <v>186</v>
      </c>
      <c r="H36" t="s">
        <v>186</v>
      </c>
      <c r="I36">
        <v>0</v>
      </c>
      <c r="J36">
        <v>0</v>
      </c>
      <c r="K36" t="s">
        <v>187</v>
      </c>
    </row>
    <row r="37" spans="1:11" x14ac:dyDescent="0.2">
      <c r="A37" t="str">
        <f>HYPERLINK("https://www.tiwall.com//p/halghezaman","حلقه های زمان")</f>
        <v>حلقه های زمان</v>
      </c>
      <c r="B37">
        <v>60</v>
      </c>
      <c r="C37" t="s">
        <v>44</v>
      </c>
      <c r="D37" t="s">
        <v>65</v>
      </c>
      <c r="E37" t="s">
        <v>13</v>
      </c>
      <c r="F37" t="s">
        <v>188</v>
      </c>
      <c r="G37" t="s">
        <v>189</v>
      </c>
      <c r="H37" t="s">
        <v>189</v>
      </c>
      <c r="I37">
        <v>0</v>
      </c>
      <c r="J37">
        <v>0</v>
      </c>
      <c r="K37" t="s">
        <v>190</v>
      </c>
    </row>
    <row r="38" spans="1:11" x14ac:dyDescent="0.2">
      <c r="A38" t="str">
        <f>HYPERLINK("https://www.tiwall.com//p/rastegari.chakosh","رستگاری با چکش")</f>
        <v>رستگاری با چکش</v>
      </c>
      <c r="B38">
        <v>50</v>
      </c>
      <c r="C38" t="s">
        <v>44</v>
      </c>
      <c r="D38" t="s">
        <v>146</v>
      </c>
      <c r="E38" t="s">
        <v>13</v>
      </c>
      <c r="F38" t="s">
        <v>191</v>
      </c>
      <c r="G38" t="s">
        <v>192</v>
      </c>
      <c r="H38" t="s">
        <v>192</v>
      </c>
      <c r="I38">
        <v>0</v>
      </c>
      <c r="J38">
        <v>0</v>
      </c>
      <c r="K38" t="s">
        <v>193</v>
      </c>
    </row>
    <row r="39" spans="1:11" x14ac:dyDescent="0.2">
      <c r="A39" t="str">
        <f>HYPERLINK("https://www.tiwall.com//p/pelakhaft2","پلاک هفت")</f>
        <v>پلاک هفت</v>
      </c>
      <c r="B39">
        <v>100</v>
      </c>
      <c r="C39" t="s">
        <v>24</v>
      </c>
      <c r="D39" t="s">
        <v>87</v>
      </c>
      <c r="E39" t="s">
        <v>194</v>
      </c>
      <c r="F39" t="s">
        <v>195</v>
      </c>
      <c r="G39" t="s">
        <v>196</v>
      </c>
      <c r="H39" t="s">
        <v>197</v>
      </c>
      <c r="I39">
        <v>4</v>
      </c>
      <c r="J39">
        <v>5</v>
      </c>
      <c r="K39" t="s">
        <v>198</v>
      </c>
    </row>
    <row r="40" spans="1:11" x14ac:dyDescent="0.2">
      <c r="A40" t="str">
        <f>HYPERLINK("https://www.tiwall.com//p/adamekhub.szechwan3","انسان نیک")</f>
        <v>انسان نیک</v>
      </c>
      <c r="B40">
        <v>60</v>
      </c>
      <c r="C40" t="s">
        <v>199</v>
      </c>
      <c r="D40" t="s">
        <v>25</v>
      </c>
      <c r="E40" t="s">
        <v>39</v>
      </c>
      <c r="F40" t="s">
        <v>200</v>
      </c>
      <c r="G40" t="s">
        <v>201</v>
      </c>
      <c r="H40" t="s">
        <v>202</v>
      </c>
      <c r="I40">
        <v>4.2</v>
      </c>
      <c r="J40">
        <v>5</v>
      </c>
      <c r="K40" t="s">
        <v>203</v>
      </c>
    </row>
    <row r="41" spans="1:11" x14ac:dyDescent="0.2">
      <c r="A41" t="str">
        <f>HYPERLINK("https://www.tiwall.com//p/rahayiazshaolin","رهایی از شائولین")</f>
        <v>رهایی از شائولین</v>
      </c>
      <c r="B41">
        <v>40</v>
      </c>
      <c r="C41" t="s">
        <v>204</v>
      </c>
      <c r="D41" t="s">
        <v>45</v>
      </c>
      <c r="E41" t="s">
        <v>13</v>
      </c>
      <c r="F41" t="s">
        <v>205</v>
      </c>
      <c r="G41" t="s">
        <v>206</v>
      </c>
      <c r="H41" t="s">
        <v>206</v>
      </c>
      <c r="I41">
        <v>3.5</v>
      </c>
      <c r="J41">
        <v>39</v>
      </c>
      <c r="K41" t="s">
        <v>207</v>
      </c>
    </row>
    <row r="42" spans="1:11" x14ac:dyDescent="0.2">
      <c r="A42" t="str">
        <f>HYPERLINK("https://www.tiwall.com//p/thekitchen2","آشپزخانه")</f>
        <v>آشپزخانه</v>
      </c>
      <c r="B42">
        <v>90</v>
      </c>
      <c r="C42" t="s">
        <v>69</v>
      </c>
      <c r="D42" t="s">
        <v>87</v>
      </c>
      <c r="E42" t="s">
        <v>208</v>
      </c>
      <c r="F42" t="s">
        <v>209</v>
      </c>
      <c r="G42" t="s">
        <v>210</v>
      </c>
      <c r="H42" t="s">
        <v>211</v>
      </c>
      <c r="I42">
        <v>4.3</v>
      </c>
      <c r="J42">
        <v>8</v>
      </c>
      <c r="K42" t="s">
        <v>212</v>
      </c>
    </row>
    <row r="43" spans="1:11" x14ac:dyDescent="0.2">
      <c r="A43" t="str">
        <f>HYPERLINK("https://www.tiwall.com//p/zendegi.donafar","زندگی ما دو نفر")</f>
        <v>زندگی ما دو نفر</v>
      </c>
      <c r="B43">
        <v>40</v>
      </c>
      <c r="C43" t="s">
        <v>213</v>
      </c>
      <c r="D43" t="s">
        <v>87</v>
      </c>
      <c r="E43" t="s">
        <v>13</v>
      </c>
      <c r="F43" t="s">
        <v>214</v>
      </c>
      <c r="G43" t="s">
        <v>215</v>
      </c>
      <c r="H43" t="s">
        <v>215</v>
      </c>
      <c r="I43">
        <v>0</v>
      </c>
      <c r="J43">
        <v>0</v>
      </c>
      <c r="K43" t="s">
        <v>216</v>
      </c>
    </row>
    <row r="44" spans="1:11" x14ac:dyDescent="0.2">
      <c r="A44" t="str">
        <f>HYPERLINK("https://www.tiwall.com//p/augustosagecounty3","آگوست در اوسیج کانتی")</f>
        <v>آگوست در اوسیج کانتی</v>
      </c>
      <c r="B44">
        <v>40</v>
      </c>
      <c r="C44" t="s">
        <v>199</v>
      </c>
      <c r="D44" t="s">
        <v>217</v>
      </c>
      <c r="E44" t="s">
        <v>71</v>
      </c>
      <c r="F44" t="s">
        <v>218</v>
      </c>
      <c r="G44" t="s">
        <v>219</v>
      </c>
      <c r="H44" t="s">
        <v>220</v>
      </c>
      <c r="I44">
        <v>3</v>
      </c>
      <c r="J44">
        <v>8</v>
      </c>
      <c r="K44" t="s">
        <v>221</v>
      </c>
    </row>
    <row r="45" spans="1:11" x14ac:dyDescent="0.2">
      <c r="A45" t="str">
        <f>HYPERLINK("https://www.tiwall.com//p/marlonbrando2","مارلون براندو")</f>
        <v>مارلون براندو</v>
      </c>
      <c r="B45">
        <v>60</v>
      </c>
      <c r="C45" t="s">
        <v>37</v>
      </c>
      <c r="D45" t="s">
        <v>65</v>
      </c>
      <c r="E45" t="s">
        <v>208</v>
      </c>
      <c r="F45" t="s">
        <v>222</v>
      </c>
      <c r="G45" t="s">
        <v>143</v>
      </c>
      <c r="H45" t="s">
        <v>143</v>
      </c>
      <c r="I45">
        <v>4.4000000000000004</v>
      </c>
      <c r="J45">
        <v>5</v>
      </c>
      <c r="K45" t="s">
        <v>223</v>
      </c>
    </row>
    <row r="46" spans="1:11" x14ac:dyDescent="0.2">
      <c r="A46" t="str">
        <f>HYPERLINK("https://www.tiwall.com//p/toonel2","تونل")</f>
        <v>تونل</v>
      </c>
      <c r="B46">
        <v>50</v>
      </c>
      <c r="C46" t="s">
        <v>224</v>
      </c>
      <c r="D46" t="s">
        <v>225</v>
      </c>
      <c r="E46" t="s">
        <v>13</v>
      </c>
      <c r="F46" t="s">
        <v>226</v>
      </c>
      <c r="G46" t="s">
        <v>227</v>
      </c>
      <c r="H46" t="s">
        <v>228</v>
      </c>
      <c r="I46">
        <v>0</v>
      </c>
      <c r="J46">
        <v>0</v>
      </c>
      <c r="K46" t="s">
        <v>229</v>
      </c>
    </row>
    <row r="47" spans="1:11" x14ac:dyDescent="0.2">
      <c r="A47" t="str">
        <f>HYPERLINK("https://www.tiwall.com//p/taxidermy2","تاکسیدرمی TAXIDERMY")</f>
        <v>تاکسیدرمی TAXIDERMY</v>
      </c>
      <c r="B47">
        <v>80</v>
      </c>
      <c r="C47" t="s">
        <v>230</v>
      </c>
      <c r="D47" t="s">
        <v>87</v>
      </c>
      <c r="E47" t="s">
        <v>71</v>
      </c>
      <c r="F47" t="s">
        <v>231</v>
      </c>
      <c r="G47" t="s">
        <v>232</v>
      </c>
      <c r="H47" t="s">
        <v>233</v>
      </c>
      <c r="I47">
        <v>3.7</v>
      </c>
      <c r="J47">
        <v>142</v>
      </c>
      <c r="K47" t="s">
        <v>234</v>
      </c>
    </row>
    <row r="48" spans="1:11" x14ac:dyDescent="0.2">
      <c r="A48" t="str">
        <f>HYPERLINK("https://www.tiwall.com//p/loutrek","لوترِک")</f>
        <v>لوترِک</v>
      </c>
      <c r="B48">
        <v>60</v>
      </c>
      <c r="C48" t="s">
        <v>56</v>
      </c>
      <c r="D48" t="s">
        <v>12</v>
      </c>
      <c r="E48" t="s">
        <v>235</v>
      </c>
      <c r="F48" t="s">
        <v>188</v>
      </c>
      <c r="G48" t="s">
        <v>236</v>
      </c>
      <c r="H48" t="s">
        <v>237</v>
      </c>
      <c r="I48">
        <v>3.7</v>
      </c>
      <c r="J48">
        <v>7</v>
      </c>
      <c r="K48" t="s">
        <v>238</v>
      </c>
    </row>
    <row r="49" spans="1:11" x14ac:dyDescent="0.2">
      <c r="A49" t="str">
        <f>HYPERLINK("https://www.tiwall.com//p/ruminant","نشخوار")</f>
        <v>نشخوار</v>
      </c>
      <c r="B49">
        <v>50</v>
      </c>
      <c r="C49" t="s">
        <v>86</v>
      </c>
      <c r="D49" t="s">
        <v>217</v>
      </c>
      <c r="E49" t="s">
        <v>13</v>
      </c>
      <c r="F49" t="s">
        <v>239</v>
      </c>
      <c r="G49" t="s">
        <v>240</v>
      </c>
      <c r="H49" t="s">
        <v>240</v>
      </c>
      <c r="I49">
        <v>3.4</v>
      </c>
      <c r="J49">
        <v>27</v>
      </c>
      <c r="K49" t="s">
        <v>241</v>
      </c>
    </row>
    <row r="50" spans="1:11" x14ac:dyDescent="0.2">
      <c r="A50" t="str">
        <f>HYPERLINK("https://www.tiwall.com//p/they2","آن ها")</f>
        <v>آن ها</v>
      </c>
      <c r="B50">
        <v>35</v>
      </c>
      <c r="C50" t="s">
        <v>242</v>
      </c>
      <c r="D50" t="s">
        <v>87</v>
      </c>
      <c r="E50" t="s">
        <v>138</v>
      </c>
      <c r="F50" t="s">
        <v>243</v>
      </c>
      <c r="G50" t="s">
        <v>244</v>
      </c>
      <c r="H50" t="s">
        <v>245</v>
      </c>
      <c r="I50">
        <v>3.8</v>
      </c>
      <c r="J50">
        <v>6</v>
      </c>
      <c r="K50" t="s">
        <v>246</v>
      </c>
    </row>
    <row r="51" spans="1:11" x14ac:dyDescent="0.2">
      <c r="A51" t="str">
        <f>HYPERLINK("https://www.tiwall.com//p/kalaghhamimirand","کلاغ ها می میرند")</f>
        <v>کلاغ ها می میرند</v>
      </c>
      <c r="B51">
        <v>40</v>
      </c>
      <c r="C51" t="s">
        <v>129</v>
      </c>
      <c r="D51" t="s">
        <v>12</v>
      </c>
      <c r="E51" t="s">
        <v>13</v>
      </c>
      <c r="F51" t="s">
        <v>247</v>
      </c>
      <c r="G51" t="s">
        <v>248</v>
      </c>
      <c r="H51" t="s">
        <v>249</v>
      </c>
      <c r="I51">
        <v>0</v>
      </c>
      <c r="J51">
        <v>0</v>
      </c>
      <c r="K51" t="s">
        <v>250</v>
      </c>
    </row>
    <row r="52" spans="1:11" x14ac:dyDescent="0.2">
      <c r="A52" t="str">
        <f>HYPERLINK("https://www.tiwall.com//p/panjere.haghighat","پنجره‌ای رو به حقیقت")</f>
        <v>پنجره‌ای رو به حقیقت</v>
      </c>
      <c r="B52">
        <v>40</v>
      </c>
      <c r="C52" t="s">
        <v>251</v>
      </c>
      <c r="D52" t="s">
        <v>217</v>
      </c>
      <c r="E52" t="s">
        <v>13</v>
      </c>
      <c r="F52" t="s">
        <v>252</v>
      </c>
      <c r="G52" t="s">
        <v>253</v>
      </c>
      <c r="H52" t="s">
        <v>254</v>
      </c>
      <c r="I52">
        <v>0</v>
      </c>
      <c r="J52">
        <v>0</v>
      </c>
      <c r="K52" t="s">
        <v>255</v>
      </c>
    </row>
    <row r="53" spans="1:11" x14ac:dyDescent="0.2">
      <c r="A53" t="str">
        <f>HYPERLINK("https://www.tiwall.com//p/zan4","و اینک زن")</f>
        <v>و اینک زن</v>
      </c>
      <c r="B53">
        <v>50</v>
      </c>
      <c r="C53" t="s">
        <v>24</v>
      </c>
      <c r="D53" t="s">
        <v>256</v>
      </c>
      <c r="E53" t="s">
        <v>88</v>
      </c>
      <c r="F53" t="s">
        <v>257</v>
      </c>
      <c r="G53" t="s">
        <v>258</v>
      </c>
      <c r="H53" t="s">
        <v>258</v>
      </c>
      <c r="I53">
        <v>0</v>
      </c>
      <c r="J53">
        <v>0</v>
      </c>
      <c r="K53" t="s">
        <v>259</v>
      </c>
    </row>
    <row r="54" spans="1:11" x14ac:dyDescent="0.2">
      <c r="A54" t="str">
        <f>HYPERLINK("https://www.tiwall.com//p/binam3","بی نام")</f>
        <v>بی نام</v>
      </c>
      <c r="B54">
        <v>60</v>
      </c>
      <c r="C54" t="s">
        <v>56</v>
      </c>
      <c r="D54" t="s">
        <v>45</v>
      </c>
      <c r="E54" t="s">
        <v>208</v>
      </c>
      <c r="F54" t="s">
        <v>260</v>
      </c>
      <c r="G54" t="s">
        <v>58</v>
      </c>
      <c r="H54" t="s">
        <v>58</v>
      </c>
      <c r="I54">
        <v>4.2</v>
      </c>
      <c r="J54">
        <v>13</v>
      </c>
      <c r="K54" t="s">
        <v>261</v>
      </c>
    </row>
    <row r="55" spans="1:11" x14ac:dyDescent="0.2">
      <c r="A55" t="str">
        <f>HYPERLINK("https://www.tiwall.com//p/gamasiab","گاماسیاب")</f>
        <v>گاماسیاب</v>
      </c>
      <c r="B55">
        <v>200</v>
      </c>
      <c r="C55" t="s">
        <v>262</v>
      </c>
      <c r="D55" t="s">
        <v>87</v>
      </c>
      <c r="E55" t="s">
        <v>26</v>
      </c>
      <c r="F55" t="s">
        <v>263</v>
      </c>
      <c r="G55" t="s">
        <v>135</v>
      </c>
      <c r="H55" t="s">
        <v>135</v>
      </c>
      <c r="I55">
        <v>4.4000000000000004</v>
      </c>
      <c r="J55">
        <v>96</v>
      </c>
      <c r="K55" t="s">
        <v>264</v>
      </c>
    </row>
    <row r="56" spans="1:11" x14ac:dyDescent="0.2">
      <c r="A56" t="str">
        <f>HYPERLINK("https://www.tiwall.com//p/janjal","جنجال بر سر سایه‌ی خر")</f>
        <v>جنجال بر سر سایه‌ی خر</v>
      </c>
      <c r="B56">
        <v>130</v>
      </c>
      <c r="C56" t="s">
        <v>60</v>
      </c>
      <c r="D56" t="s">
        <v>265</v>
      </c>
      <c r="E56" t="s">
        <v>175</v>
      </c>
      <c r="F56" t="s">
        <v>266</v>
      </c>
      <c r="G56" t="s">
        <v>267</v>
      </c>
      <c r="H56" t="s">
        <v>101</v>
      </c>
      <c r="I56">
        <v>4</v>
      </c>
      <c r="J56">
        <v>39</v>
      </c>
      <c r="K56" t="s">
        <v>268</v>
      </c>
    </row>
    <row r="57" spans="1:11" x14ac:dyDescent="0.2">
      <c r="A57" t="str">
        <f>HYPERLINK("https://www.tiwall.com//p/marekeh.khodaei","کمدی مَرکِه خدایی")</f>
        <v>کمدی مَرکِه خدایی</v>
      </c>
      <c r="B57">
        <v>55</v>
      </c>
      <c r="C57" t="s">
        <v>269</v>
      </c>
      <c r="D57" t="s">
        <v>217</v>
      </c>
      <c r="E57" t="s">
        <v>26</v>
      </c>
      <c r="F57" t="s">
        <v>270</v>
      </c>
      <c r="G57" t="s">
        <v>271</v>
      </c>
      <c r="H57" t="s">
        <v>271</v>
      </c>
      <c r="I57">
        <v>0</v>
      </c>
      <c r="J57">
        <v>0</v>
      </c>
      <c r="K57" t="s">
        <v>272</v>
      </c>
    </row>
    <row r="58" spans="1:11" x14ac:dyDescent="0.2">
      <c r="A58" t="str">
        <f>HYPERLINK("https://www.tiwall.com//p/jonoun.keshdar","جنون کش دار")</f>
        <v>جنون کش دار</v>
      </c>
      <c r="B58">
        <v>100</v>
      </c>
      <c r="C58" t="s">
        <v>224</v>
      </c>
      <c r="D58" t="s">
        <v>12</v>
      </c>
      <c r="E58" t="s">
        <v>26</v>
      </c>
      <c r="F58" t="s">
        <v>273</v>
      </c>
      <c r="G58" t="s">
        <v>274</v>
      </c>
      <c r="H58" t="s">
        <v>275</v>
      </c>
      <c r="I58">
        <v>3.9</v>
      </c>
      <c r="J58">
        <v>10</v>
      </c>
      <c r="K58" t="s">
        <v>276</v>
      </c>
    </row>
    <row r="59" spans="1:11" x14ac:dyDescent="0.2">
      <c r="A59" t="str">
        <f>HYPERLINK("https://www.tiwall.com//p/zendegi2","زندگی")</f>
        <v>زندگی</v>
      </c>
      <c r="B59">
        <v>60</v>
      </c>
      <c r="C59" t="s">
        <v>76</v>
      </c>
      <c r="D59" t="s">
        <v>45</v>
      </c>
      <c r="E59" t="s">
        <v>138</v>
      </c>
      <c r="F59" t="s">
        <v>277</v>
      </c>
      <c r="G59" t="s">
        <v>278</v>
      </c>
      <c r="H59" t="s">
        <v>278</v>
      </c>
      <c r="I59">
        <v>0</v>
      </c>
      <c r="J59">
        <v>0</v>
      </c>
      <c r="K59" t="s">
        <v>279</v>
      </c>
    </row>
    <row r="60" spans="1:11" x14ac:dyDescent="0.2">
      <c r="A60" t="str">
        <f>HYPERLINK("https://www.tiwall.com//p/talkhakghandak","تلخک و قندک")</f>
        <v>تلخک و قندک</v>
      </c>
      <c r="B60">
        <v>60</v>
      </c>
      <c r="C60" t="s">
        <v>230</v>
      </c>
      <c r="D60" t="s">
        <v>280</v>
      </c>
      <c r="E60" t="s">
        <v>71</v>
      </c>
      <c r="F60" t="s">
        <v>281</v>
      </c>
      <c r="G60" t="s">
        <v>282</v>
      </c>
      <c r="H60" t="s">
        <v>283</v>
      </c>
      <c r="I60">
        <v>0</v>
      </c>
      <c r="J60">
        <v>0</v>
      </c>
      <c r="K60" t="s">
        <v>284</v>
      </c>
    </row>
    <row r="61" spans="1:11" x14ac:dyDescent="0.2">
      <c r="A61" t="str">
        <f>HYPERLINK("https://www.tiwall.com//p/derakhttout","داستان سفر درخت توت تنهای خونه مادری بعد از یک دوره افسردگی کوتاه مدت")</f>
        <v>داستان سفر درخت توت تنهای خونه مادری بعد از یک دوره افسردگی کوتاه مدت</v>
      </c>
      <c r="B61">
        <v>50</v>
      </c>
      <c r="C61" t="s">
        <v>24</v>
      </c>
      <c r="D61" t="s">
        <v>285</v>
      </c>
      <c r="E61" t="s">
        <v>46</v>
      </c>
      <c r="F61" t="s">
        <v>286</v>
      </c>
      <c r="G61" t="s">
        <v>287</v>
      </c>
      <c r="H61" t="s">
        <v>287</v>
      </c>
      <c r="I61">
        <v>4</v>
      </c>
      <c r="J61">
        <v>17</v>
      </c>
      <c r="K61" t="s">
        <v>288</v>
      </c>
    </row>
    <row r="62" spans="1:11" x14ac:dyDescent="0.2">
      <c r="A62" t="str">
        <f>HYPERLINK("https://www.tiwall.com//p/jahanam","جهنم")</f>
        <v>جهنم</v>
      </c>
      <c r="B62">
        <v>40</v>
      </c>
      <c r="C62" t="s">
        <v>199</v>
      </c>
      <c r="D62" t="s">
        <v>217</v>
      </c>
      <c r="E62" t="s">
        <v>235</v>
      </c>
      <c r="F62" t="s">
        <v>289</v>
      </c>
      <c r="G62" t="s">
        <v>236</v>
      </c>
      <c r="H62" t="s">
        <v>236</v>
      </c>
      <c r="I62">
        <v>0</v>
      </c>
      <c r="J62">
        <v>0</v>
      </c>
      <c r="K62" t="s">
        <v>290</v>
      </c>
    </row>
    <row r="63" spans="1:11" x14ac:dyDescent="0.2">
      <c r="A63" t="str">
        <f>HYPERLINK("https://www.tiwall.com//p/koshelkof","دکتر کُشِلکُف")</f>
        <v>دکتر کُشِلکُف</v>
      </c>
      <c r="B63">
        <v>30</v>
      </c>
      <c r="C63" t="s">
        <v>291</v>
      </c>
      <c r="D63" t="s">
        <v>280</v>
      </c>
      <c r="E63" t="s">
        <v>235</v>
      </c>
      <c r="F63" t="s">
        <v>292</v>
      </c>
      <c r="G63" t="s">
        <v>293</v>
      </c>
      <c r="H63" t="s">
        <v>293</v>
      </c>
      <c r="I63">
        <v>0</v>
      </c>
      <c r="J63">
        <v>0</v>
      </c>
      <c r="K63" t="s">
        <v>294</v>
      </c>
    </row>
    <row r="64" spans="1:11" x14ac:dyDescent="0.2">
      <c r="A64" t="str">
        <f>HYPERLINK("https://www.tiwall.com//p/pele.akhar2","پله آخر")</f>
        <v>پله آخر</v>
      </c>
      <c r="B64">
        <v>100</v>
      </c>
      <c r="C64" t="s">
        <v>170</v>
      </c>
      <c r="D64" t="s">
        <v>12</v>
      </c>
      <c r="E64" t="s">
        <v>26</v>
      </c>
      <c r="F64" t="s">
        <v>295</v>
      </c>
      <c r="G64" t="s">
        <v>296</v>
      </c>
      <c r="H64" t="s">
        <v>297</v>
      </c>
      <c r="I64">
        <v>0</v>
      </c>
      <c r="J64">
        <v>0</v>
      </c>
      <c r="K64" t="s">
        <v>298</v>
      </c>
    </row>
    <row r="65" spans="1:11" x14ac:dyDescent="0.2">
      <c r="A65" t="str">
        <f>HYPERLINK("https://www.tiwall.com//p/shak3","شک")</f>
        <v>شک</v>
      </c>
      <c r="B65">
        <v>60</v>
      </c>
      <c r="C65" t="s">
        <v>86</v>
      </c>
      <c r="D65" t="s">
        <v>299</v>
      </c>
      <c r="E65" t="s">
        <v>71</v>
      </c>
      <c r="F65" t="s">
        <v>162</v>
      </c>
      <c r="G65" t="s">
        <v>300</v>
      </c>
      <c r="H65" t="s">
        <v>301</v>
      </c>
      <c r="I65">
        <v>4.4000000000000004</v>
      </c>
      <c r="J65">
        <v>5</v>
      </c>
      <c r="K65" t="s">
        <v>302</v>
      </c>
    </row>
    <row r="66" spans="1:11" x14ac:dyDescent="0.2">
      <c r="A66" t="str">
        <f>HYPERLINK("https://www.tiwall.com//p/rakhtshourshah2","رختشورشاه")</f>
        <v>رختشورشاه</v>
      </c>
      <c r="B66">
        <v>40</v>
      </c>
      <c r="C66" t="s">
        <v>69</v>
      </c>
      <c r="D66" t="s">
        <v>12</v>
      </c>
      <c r="E66" t="s">
        <v>303</v>
      </c>
      <c r="F66" t="s">
        <v>304</v>
      </c>
      <c r="G66" t="s">
        <v>305</v>
      </c>
      <c r="H66" t="s">
        <v>306</v>
      </c>
      <c r="I66">
        <v>0</v>
      </c>
      <c r="J66">
        <v>0</v>
      </c>
      <c r="K66" t="s">
        <v>307</v>
      </c>
    </row>
    <row r="67" spans="1:11" x14ac:dyDescent="0.2">
      <c r="A67" t="str">
        <f>HYPERLINK("https://www.tiwall.com//p/zanan.ir","بخش زنان دات آی آر")</f>
        <v>بخش زنان دات آی آر</v>
      </c>
      <c r="B67">
        <v>420</v>
      </c>
      <c r="C67" t="s">
        <v>308</v>
      </c>
      <c r="D67" t="s">
        <v>25</v>
      </c>
      <c r="E67" t="s">
        <v>303</v>
      </c>
      <c r="F67" t="s">
        <v>309</v>
      </c>
      <c r="G67" t="s">
        <v>310</v>
      </c>
      <c r="H67" t="s">
        <v>311</v>
      </c>
      <c r="I67">
        <v>0</v>
      </c>
      <c r="J67">
        <v>0</v>
      </c>
      <c r="K67" t="s">
        <v>312</v>
      </c>
    </row>
    <row r="68" spans="1:11" x14ac:dyDescent="0.2">
      <c r="A68" t="str">
        <f>HYPERLINK("https://www.tiwall.com//p/ishpateka","اشپتیکا")</f>
        <v>اشپتیکا</v>
      </c>
      <c r="B68">
        <v>50</v>
      </c>
      <c r="C68" t="s">
        <v>313</v>
      </c>
      <c r="D68" t="s">
        <v>217</v>
      </c>
      <c r="E68" t="s">
        <v>26</v>
      </c>
      <c r="F68" t="s">
        <v>314</v>
      </c>
      <c r="G68" t="s">
        <v>315</v>
      </c>
      <c r="H68" t="s">
        <v>315</v>
      </c>
      <c r="I68">
        <v>0</v>
      </c>
      <c r="J68">
        <v>0</v>
      </c>
      <c r="K68" t="s">
        <v>316</v>
      </c>
    </row>
    <row r="69" spans="1:11" x14ac:dyDescent="0.2">
      <c r="A69" t="str">
        <f>HYPERLINK("https://www.tiwall.com//p/koorha","کورها")</f>
        <v>کورها</v>
      </c>
      <c r="B69">
        <v>100</v>
      </c>
      <c r="C69" t="s">
        <v>18</v>
      </c>
      <c r="D69" t="s">
        <v>65</v>
      </c>
      <c r="E69" t="s">
        <v>138</v>
      </c>
      <c r="F69" t="s">
        <v>317</v>
      </c>
      <c r="G69" t="s">
        <v>318</v>
      </c>
      <c r="H69" t="s">
        <v>319</v>
      </c>
      <c r="I69">
        <v>4.2</v>
      </c>
      <c r="J69">
        <v>48</v>
      </c>
      <c r="K69" t="s">
        <v>320</v>
      </c>
    </row>
    <row r="70" spans="1:11" x14ac:dyDescent="0.2">
      <c r="A70" t="str">
        <f>HYPERLINK("https://www.tiwall.com//p/mashinneshinha","ماشین نشینها")</f>
        <v>ماشین نشینها</v>
      </c>
      <c r="B70">
        <v>40</v>
      </c>
      <c r="C70" t="s">
        <v>199</v>
      </c>
      <c r="D70" t="s">
        <v>12</v>
      </c>
      <c r="E70" t="s">
        <v>138</v>
      </c>
      <c r="F70" t="s">
        <v>321</v>
      </c>
      <c r="G70" t="s">
        <v>322</v>
      </c>
      <c r="H70" t="s">
        <v>322</v>
      </c>
      <c r="I70">
        <v>0</v>
      </c>
      <c r="J70">
        <v>0</v>
      </c>
      <c r="K70" t="s">
        <v>323</v>
      </c>
    </row>
    <row r="71" spans="1:11" x14ac:dyDescent="0.2">
      <c r="A71" t="str">
        <f>HYPERLINK("https://www.tiwall.com//p/shahriar","شهریار")</f>
        <v>شهریار</v>
      </c>
      <c r="B71">
        <v>70</v>
      </c>
      <c r="C71" t="s">
        <v>324</v>
      </c>
      <c r="D71" t="s">
        <v>12</v>
      </c>
      <c r="E71" t="s">
        <v>303</v>
      </c>
      <c r="F71" t="s">
        <v>325</v>
      </c>
      <c r="G71" t="s">
        <v>326</v>
      </c>
      <c r="H71" t="s">
        <v>326</v>
      </c>
      <c r="I71">
        <v>0</v>
      </c>
      <c r="J71">
        <v>0</v>
      </c>
      <c r="K71" t="s">
        <v>327</v>
      </c>
    </row>
    <row r="72" spans="1:11" x14ac:dyDescent="0.2">
      <c r="A72" t="str">
        <f>HYPERLINK("https://www.tiwall.com//p/ghatl.zhoulios3","مرثیه ای بر قتل ژولیوس سزار و چند مرغ از سیمرغ")</f>
        <v>مرثیه ای بر قتل ژولیوس سزار و چند مرغ از سیمرغ</v>
      </c>
      <c r="B72">
        <v>100</v>
      </c>
      <c r="C72" t="s">
        <v>37</v>
      </c>
      <c r="D72" t="s">
        <v>87</v>
      </c>
      <c r="E72" t="s">
        <v>328</v>
      </c>
      <c r="F72" t="s">
        <v>329</v>
      </c>
      <c r="G72" t="s">
        <v>232</v>
      </c>
      <c r="H72" t="s">
        <v>330</v>
      </c>
      <c r="I72">
        <v>3.9</v>
      </c>
      <c r="J72">
        <v>132</v>
      </c>
      <c r="K72" t="s">
        <v>331</v>
      </c>
    </row>
    <row r="73" spans="1:11" x14ac:dyDescent="0.2">
      <c r="A73" t="str">
        <f>HYPERLINK("https://www.tiwall.com//p/virjiniawolf6","چه کسی از ویرجینیا وولف می ترسد")</f>
        <v>چه کسی از ویرجینیا وولف می ترسد</v>
      </c>
      <c r="B73">
        <v>100</v>
      </c>
      <c r="C73" t="s">
        <v>332</v>
      </c>
      <c r="D73" t="s">
        <v>217</v>
      </c>
      <c r="E73" t="s">
        <v>71</v>
      </c>
      <c r="F73" t="s">
        <v>209</v>
      </c>
      <c r="G73" t="s">
        <v>333</v>
      </c>
      <c r="H73" t="s">
        <v>334</v>
      </c>
      <c r="I73">
        <v>4.3</v>
      </c>
      <c r="J73">
        <v>17</v>
      </c>
      <c r="K73" t="s">
        <v>335</v>
      </c>
    </row>
    <row r="74" spans="1:11" x14ac:dyDescent="0.2">
      <c r="A74" t="str">
        <f>HYPERLINK("https://www.tiwall.com//p/saghayeanbari2","سگ های انباری")</f>
        <v>سگ های انباری</v>
      </c>
      <c r="B74">
        <v>60</v>
      </c>
      <c r="C74" t="s">
        <v>230</v>
      </c>
      <c r="D74" t="s">
        <v>280</v>
      </c>
      <c r="E74" t="s">
        <v>13</v>
      </c>
      <c r="F74" t="s">
        <v>336</v>
      </c>
      <c r="G74" t="s">
        <v>337</v>
      </c>
      <c r="H74" t="s">
        <v>338</v>
      </c>
      <c r="I74">
        <v>3.4</v>
      </c>
      <c r="J74">
        <v>18</v>
      </c>
      <c r="K74" t="s">
        <v>339</v>
      </c>
    </row>
    <row r="75" spans="1:11" x14ac:dyDescent="0.2">
      <c r="A75" t="str">
        <f>HYPERLINK("https://www.tiwall.com//p/cyanosis","سیانوز")</f>
        <v>سیانوز</v>
      </c>
      <c r="B75">
        <v>45</v>
      </c>
      <c r="C75" t="s">
        <v>86</v>
      </c>
      <c r="D75" t="s">
        <v>32</v>
      </c>
      <c r="E75" t="s">
        <v>194</v>
      </c>
      <c r="F75" t="s">
        <v>340</v>
      </c>
      <c r="G75" t="s">
        <v>341</v>
      </c>
      <c r="H75" t="s">
        <v>342</v>
      </c>
      <c r="I75">
        <v>0</v>
      </c>
      <c r="J75">
        <v>0</v>
      </c>
      <c r="K75" t="s">
        <v>343</v>
      </c>
    </row>
    <row r="76" spans="1:11" x14ac:dyDescent="0.2">
      <c r="A76" t="str">
        <f>HYPERLINK("https://www.tiwall.com//p/faryadekhamoush3","فریاد خاموش")</f>
        <v>فریاد خاموش</v>
      </c>
      <c r="B76">
        <v>40</v>
      </c>
      <c r="C76" t="s">
        <v>344</v>
      </c>
      <c r="D76" t="s">
        <v>70</v>
      </c>
      <c r="E76" t="s">
        <v>13</v>
      </c>
      <c r="F76" t="s">
        <v>345</v>
      </c>
      <c r="G76" t="s">
        <v>346</v>
      </c>
      <c r="H76" t="s">
        <v>347</v>
      </c>
      <c r="I76">
        <v>3.7</v>
      </c>
      <c r="J76">
        <v>22</v>
      </c>
      <c r="K76" t="s">
        <v>348</v>
      </c>
    </row>
    <row r="77" spans="1:11" x14ac:dyDescent="0.2">
      <c r="A77" t="str">
        <f>HYPERLINK("https://www.tiwall.com//p/chekhovsad","چخوف ساد (جلد اول)")</f>
        <v>چخوف ساد (جلد اول)</v>
      </c>
      <c r="B77">
        <v>60</v>
      </c>
      <c r="C77" t="s">
        <v>349</v>
      </c>
      <c r="D77" t="s">
        <v>280</v>
      </c>
      <c r="E77" t="s">
        <v>19</v>
      </c>
      <c r="F77" t="s">
        <v>350</v>
      </c>
      <c r="G77" t="s">
        <v>351</v>
      </c>
      <c r="H77" t="s">
        <v>352</v>
      </c>
      <c r="I77">
        <v>4</v>
      </c>
      <c r="J77">
        <v>46</v>
      </c>
      <c r="K77" t="s">
        <v>353</v>
      </c>
    </row>
    <row r="78" spans="1:11" x14ac:dyDescent="0.2">
      <c r="A78" t="str">
        <f>HYPERLINK("https://www.tiwall.com//p/guinness2","گینس")</f>
        <v>گینس</v>
      </c>
      <c r="B78">
        <v>40</v>
      </c>
      <c r="C78" t="s">
        <v>354</v>
      </c>
      <c r="D78" t="s">
        <v>32</v>
      </c>
      <c r="E78" t="s">
        <v>13</v>
      </c>
      <c r="F78" t="s">
        <v>355</v>
      </c>
      <c r="G78" t="s">
        <v>356</v>
      </c>
      <c r="H78" t="s">
        <v>356</v>
      </c>
      <c r="I78">
        <v>0</v>
      </c>
      <c r="J78">
        <v>0</v>
      </c>
      <c r="K78" t="s">
        <v>357</v>
      </c>
    </row>
    <row r="79" spans="1:11" x14ac:dyDescent="0.2">
      <c r="A79" t="str">
        <f>HYPERLINK("https://www.tiwall.com//p/ehtemalat","احتمالات")</f>
        <v>احتمالات</v>
      </c>
      <c r="B79">
        <v>60</v>
      </c>
      <c r="C79" t="s">
        <v>358</v>
      </c>
      <c r="D79" t="s">
        <v>217</v>
      </c>
      <c r="E79" t="s">
        <v>39</v>
      </c>
      <c r="F79" t="s">
        <v>359</v>
      </c>
      <c r="G79" t="s">
        <v>360</v>
      </c>
      <c r="H79" t="s">
        <v>360</v>
      </c>
      <c r="I79">
        <v>4.0999999999999996</v>
      </c>
      <c r="J79">
        <v>189</v>
      </c>
      <c r="K79" t="s">
        <v>361</v>
      </c>
    </row>
    <row r="80" spans="1:11" x14ac:dyDescent="0.2">
      <c r="A80" t="str">
        <f>HYPERLINK("https://www.tiwall.com//p/gorbeh.roubah2","گربه نره و روباه مکار")</f>
        <v>گربه نره و روباه مکار</v>
      </c>
      <c r="B80">
        <v>150</v>
      </c>
      <c r="C80" t="s">
        <v>362</v>
      </c>
      <c r="D80" t="s">
        <v>45</v>
      </c>
      <c r="E80" t="s">
        <v>208</v>
      </c>
      <c r="F80" t="s">
        <v>363</v>
      </c>
      <c r="G80" t="s">
        <v>364</v>
      </c>
      <c r="H80" t="s">
        <v>364</v>
      </c>
      <c r="I80">
        <v>4.3</v>
      </c>
      <c r="J80">
        <v>96</v>
      </c>
      <c r="K80" t="s">
        <v>365</v>
      </c>
    </row>
    <row r="81" spans="1:11" x14ac:dyDescent="0.2">
      <c r="A81" t="str">
        <f>HYPERLINK("https://www.tiwall.com//p/beborid","از اینجا بِبُرید ...")</f>
        <v>از اینجا بِبُرید ...</v>
      </c>
      <c r="B81">
        <v>50</v>
      </c>
      <c r="C81" t="s">
        <v>204</v>
      </c>
      <c r="D81" t="s">
        <v>12</v>
      </c>
      <c r="E81" t="s">
        <v>13</v>
      </c>
      <c r="F81" t="s">
        <v>366</v>
      </c>
      <c r="G81" t="s">
        <v>367</v>
      </c>
      <c r="H81" t="s">
        <v>367</v>
      </c>
      <c r="I81">
        <v>0</v>
      </c>
      <c r="J81">
        <v>0</v>
      </c>
      <c r="K81" t="s">
        <v>368</v>
      </c>
    </row>
    <row r="82" spans="1:11" x14ac:dyDescent="0.2">
      <c r="A82" t="str">
        <f>HYPERLINK("https://www.tiwall.com//p/gymnastics","ژیمناستیک تکه پاره ها")</f>
        <v>ژیمناستیک تکه پاره ها</v>
      </c>
      <c r="B82">
        <v>40</v>
      </c>
      <c r="C82" t="s">
        <v>369</v>
      </c>
      <c r="D82" t="s">
        <v>87</v>
      </c>
      <c r="E82" t="s">
        <v>26</v>
      </c>
      <c r="F82" t="s">
        <v>370</v>
      </c>
      <c r="G82" t="s">
        <v>371</v>
      </c>
      <c r="H82" t="s">
        <v>371</v>
      </c>
      <c r="I82">
        <v>3.9</v>
      </c>
      <c r="J82">
        <v>45</v>
      </c>
      <c r="K82" t="s">
        <v>372</v>
      </c>
    </row>
    <row r="83" spans="1:11" x14ac:dyDescent="0.2">
      <c r="A83" t="str">
        <f>HYPERLINK("https://www.tiwall.com//p/sheypour2","اپرای شیپور")</f>
        <v>اپرای شیپور</v>
      </c>
      <c r="B83">
        <v>100</v>
      </c>
      <c r="C83" t="s">
        <v>358</v>
      </c>
      <c r="D83" t="s">
        <v>32</v>
      </c>
      <c r="E83" t="s">
        <v>208</v>
      </c>
      <c r="F83" t="s">
        <v>373</v>
      </c>
      <c r="G83" t="s">
        <v>374</v>
      </c>
      <c r="H83" t="s">
        <v>374</v>
      </c>
      <c r="I83">
        <v>3.9</v>
      </c>
      <c r="J83">
        <v>31</v>
      </c>
      <c r="K83" t="s">
        <v>375</v>
      </c>
    </row>
    <row r="84" spans="1:11" x14ac:dyDescent="0.2">
      <c r="A84" t="str">
        <f>HYPERLINK("https://www.tiwall.com//p/volpon6","ولپُن")</f>
        <v>ولپُن</v>
      </c>
      <c r="B84">
        <v>45</v>
      </c>
      <c r="C84" t="s">
        <v>60</v>
      </c>
      <c r="D84" t="s">
        <v>146</v>
      </c>
      <c r="E84" t="s">
        <v>88</v>
      </c>
      <c r="F84" t="s">
        <v>222</v>
      </c>
      <c r="G84" t="s">
        <v>376</v>
      </c>
      <c r="H84" t="s">
        <v>377</v>
      </c>
      <c r="I84">
        <v>3.3</v>
      </c>
      <c r="J84">
        <v>7</v>
      </c>
      <c r="K84" t="s">
        <v>378</v>
      </c>
    </row>
    <row r="85" spans="1:11" x14ac:dyDescent="0.2">
      <c r="A85" t="str">
        <f>HYPERLINK("https://www.tiwall.com//p/afsoonmabadesookhte","افسون معبد سوخته")</f>
        <v>افسون معبد سوخته</v>
      </c>
      <c r="B85">
        <v>40</v>
      </c>
      <c r="C85" t="s">
        <v>324</v>
      </c>
      <c r="D85" t="s">
        <v>32</v>
      </c>
      <c r="E85" t="s">
        <v>71</v>
      </c>
      <c r="F85" t="s">
        <v>379</v>
      </c>
      <c r="G85" t="s">
        <v>380</v>
      </c>
      <c r="H85" t="s">
        <v>381</v>
      </c>
      <c r="I85">
        <v>0</v>
      </c>
      <c r="J85">
        <v>0</v>
      </c>
      <c r="K85" t="s">
        <v>382</v>
      </c>
    </row>
    <row r="86" spans="1:11" x14ac:dyDescent="0.2">
      <c r="A86" t="str">
        <f>HYPERLINK("https://www.tiwall.com//p/jouissance2","ژوئیسانس")</f>
        <v>ژوئیسانس</v>
      </c>
      <c r="B86">
        <v>25</v>
      </c>
      <c r="C86" t="s">
        <v>383</v>
      </c>
      <c r="D86" t="s">
        <v>384</v>
      </c>
      <c r="E86" t="s">
        <v>138</v>
      </c>
      <c r="F86" t="s">
        <v>385</v>
      </c>
      <c r="G86" t="s">
        <v>386</v>
      </c>
      <c r="H86" t="s">
        <v>386</v>
      </c>
      <c r="I86">
        <v>3.4</v>
      </c>
      <c r="J86">
        <v>5</v>
      </c>
      <c r="K86" t="s">
        <v>387</v>
      </c>
    </row>
    <row r="87" spans="1:11" x14ac:dyDescent="0.2">
      <c r="A87" t="str">
        <f>HYPERLINK("https://www.tiwall.com//p/maskh3","مسخ")</f>
        <v>مسخ</v>
      </c>
      <c r="B87">
        <v>100</v>
      </c>
      <c r="C87" t="s">
        <v>24</v>
      </c>
      <c r="D87" t="s">
        <v>280</v>
      </c>
      <c r="E87" t="s">
        <v>13</v>
      </c>
      <c r="F87" t="s">
        <v>388</v>
      </c>
      <c r="G87" t="s">
        <v>389</v>
      </c>
      <c r="H87" t="s">
        <v>390</v>
      </c>
      <c r="I87">
        <v>2.8</v>
      </c>
      <c r="J87">
        <v>5</v>
      </c>
      <c r="K87" t="s">
        <v>391</v>
      </c>
    </row>
    <row r="88" spans="1:11" x14ac:dyDescent="0.2">
      <c r="A88" t="str">
        <f>HYPERLINK("https://www.tiwall.com//p/avazdorna","شب آواز درنا")</f>
        <v>شب آواز درنا</v>
      </c>
      <c r="B88">
        <v>50</v>
      </c>
      <c r="C88" t="s">
        <v>224</v>
      </c>
      <c r="D88" t="s">
        <v>65</v>
      </c>
      <c r="E88" t="s">
        <v>235</v>
      </c>
      <c r="F88" t="s">
        <v>191</v>
      </c>
      <c r="G88" t="s">
        <v>392</v>
      </c>
      <c r="H88" t="s">
        <v>393</v>
      </c>
      <c r="I88">
        <v>0</v>
      </c>
      <c r="J88">
        <v>0</v>
      </c>
      <c r="K88" t="s">
        <v>394</v>
      </c>
    </row>
    <row r="89" spans="1:11" x14ac:dyDescent="0.2">
      <c r="A89" t="str">
        <f>HYPERLINK("https://www.tiwall.com//p/amoohashem","عمو هاشم")</f>
        <v>عمو هاشم</v>
      </c>
      <c r="B89">
        <v>30</v>
      </c>
      <c r="C89" t="s">
        <v>145</v>
      </c>
      <c r="D89" t="s">
        <v>12</v>
      </c>
      <c r="E89" t="s">
        <v>13</v>
      </c>
      <c r="F89" t="s">
        <v>395</v>
      </c>
      <c r="G89" t="s">
        <v>283</v>
      </c>
      <c r="H89" t="s">
        <v>283</v>
      </c>
      <c r="I89">
        <v>0</v>
      </c>
      <c r="J89">
        <v>0</v>
      </c>
      <c r="K89" t="s">
        <v>396</v>
      </c>
    </row>
    <row r="90" spans="1:11" x14ac:dyDescent="0.2">
      <c r="A90" t="str">
        <f>HYPERLINK("https://www.tiwall.com//p/sin3","سین")</f>
        <v>سین</v>
      </c>
      <c r="B90">
        <v>25</v>
      </c>
      <c r="C90" t="s">
        <v>397</v>
      </c>
      <c r="D90" t="s">
        <v>156</v>
      </c>
      <c r="E90" t="s">
        <v>46</v>
      </c>
      <c r="F90" t="s">
        <v>398</v>
      </c>
      <c r="G90" t="s">
        <v>399</v>
      </c>
      <c r="H90" t="s">
        <v>400</v>
      </c>
      <c r="I90">
        <v>0</v>
      </c>
      <c r="J90">
        <v>0</v>
      </c>
      <c r="K90" t="s">
        <v>401</v>
      </c>
    </row>
    <row r="91" spans="1:11" x14ac:dyDescent="0.2">
      <c r="A91" t="str">
        <f>HYPERLINK("https://www.tiwall.com//p/otubansokut4","اتوبان سکوت")</f>
        <v>اتوبان سکوت</v>
      </c>
      <c r="B91">
        <v>50</v>
      </c>
      <c r="C91" t="s">
        <v>242</v>
      </c>
      <c r="D91" t="s">
        <v>87</v>
      </c>
      <c r="E91" t="s">
        <v>138</v>
      </c>
      <c r="F91" t="s">
        <v>402</v>
      </c>
      <c r="G91" t="s">
        <v>403</v>
      </c>
      <c r="H91" t="s">
        <v>404</v>
      </c>
      <c r="I91">
        <v>0</v>
      </c>
      <c r="J91">
        <v>0</v>
      </c>
      <c r="K91" t="s">
        <v>405</v>
      </c>
    </row>
    <row r="92" spans="1:11" x14ac:dyDescent="0.2">
      <c r="A92" t="str">
        <f>HYPERLINK("https://www.tiwall.com//p/ertefaat","کمدی ارتفاعات")</f>
        <v>کمدی ارتفاعات</v>
      </c>
      <c r="B92">
        <v>40</v>
      </c>
      <c r="C92" t="s">
        <v>406</v>
      </c>
      <c r="D92" t="s">
        <v>217</v>
      </c>
      <c r="E92" t="s">
        <v>194</v>
      </c>
      <c r="F92" t="s">
        <v>270</v>
      </c>
      <c r="G92" t="s">
        <v>407</v>
      </c>
      <c r="H92" t="s">
        <v>408</v>
      </c>
      <c r="I92">
        <v>0</v>
      </c>
      <c r="J92">
        <v>0</v>
      </c>
      <c r="K92" t="s">
        <v>409</v>
      </c>
    </row>
    <row r="93" spans="1:11" x14ac:dyDescent="0.2">
      <c r="A93" t="str">
        <f>HYPERLINK("https://www.tiwall.com//p/hejdahsalegi","هجده سالگی")</f>
        <v>هجده سالگی</v>
      </c>
      <c r="B93">
        <v>50</v>
      </c>
      <c r="C93" t="s">
        <v>410</v>
      </c>
      <c r="D93" t="s">
        <v>87</v>
      </c>
      <c r="E93" t="s">
        <v>71</v>
      </c>
      <c r="F93" t="s">
        <v>411</v>
      </c>
      <c r="G93" t="s">
        <v>412</v>
      </c>
      <c r="H93" t="s">
        <v>413</v>
      </c>
      <c r="I93">
        <v>4</v>
      </c>
      <c r="J93">
        <v>9</v>
      </c>
      <c r="K93" t="s">
        <v>414</v>
      </c>
    </row>
    <row r="94" spans="1:11" x14ac:dyDescent="0.2">
      <c r="A94" t="str">
        <f>HYPERLINK("https://www.tiwall.com//p/abbasmirza","عباس میرزا")</f>
        <v>عباس میرزا</v>
      </c>
      <c r="B94">
        <v>25</v>
      </c>
      <c r="C94" t="s">
        <v>383</v>
      </c>
      <c r="D94" t="s">
        <v>87</v>
      </c>
      <c r="E94" t="s">
        <v>415</v>
      </c>
      <c r="F94" t="s">
        <v>134</v>
      </c>
      <c r="G94" t="s">
        <v>416</v>
      </c>
      <c r="H94" t="s">
        <v>416</v>
      </c>
      <c r="I94">
        <v>3.3</v>
      </c>
      <c r="J94">
        <v>6</v>
      </c>
      <c r="K94" t="s">
        <v>416</v>
      </c>
    </row>
    <row r="95" spans="1:11" x14ac:dyDescent="0.2">
      <c r="A95" t="str">
        <f>HYPERLINK("https://www.tiwall.com//p/ahu2","آهو")</f>
        <v>آهو</v>
      </c>
      <c r="B95">
        <v>80</v>
      </c>
      <c r="C95" t="s">
        <v>417</v>
      </c>
      <c r="D95" t="s">
        <v>45</v>
      </c>
      <c r="E95" t="s">
        <v>13</v>
      </c>
      <c r="F95" t="s">
        <v>418</v>
      </c>
      <c r="G95" t="s">
        <v>419</v>
      </c>
      <c r="H95" t="s">
        <v>420</v>
      </c>
      <c r="I95">
        <v>0</v>
      </c>
      <c r="J95">
        <v>0</v>
      </c>
      <c r="K95" t="s">
        <v>421</v>
      </c>
    </row>
    <row r="96" spans="1:11" x14ac:dyDescent="0.2">
      <c r="A96" t="str">
        <f>HYPERLINK("https://www.tiwall.com//p/vorod.adamha2","حضور آدم ها ممنوع!")</f>
        <v>حضور آدم ها ممنوع!</v>
      </c>
      <c r="B96">
        <v>100</v>
      </c>
      <c r="C96" t="s">
        <v>170</v>
      </c>
      <c r="D96" t="s">
        <v>256</v>
      </c>
      <c r="E96" t="s">
        <v>71</v>
      </c>
      <c r="F96" t="s">
        <v>373</v>
      </c>
      <c r="G96" t="s">
        <v>422</v>
      </c>
      <c r="H96" t="s">
        <v>422</v>
      </c>
      <c r="I96">
        <v>0</v>
      </c>
      <c r="J96">
        <v>0</v>
      </c>
      <c r="K96" t="s">
        <v>423</v>
      </c>
    </row>
    <row r="97" spans="1:11" x14ac:dyDescent="0.2">
      <c r="A97" t="str">
        <f>HYPERLINK("https://www.tiwall.com//p/etelaesanavi","اطلاع ثانوی")</f>
        <v>اطلاع ثانوی</v>
      </c>
      <c r="B97">
        <v>60</v>
      </c>
      <c r="C97" t="s">
        <v>180</v>
      </c>
      <c r="D97" t="s">
        <v>12</v>
      </c>
      <c r="E97" t="s">
        <v>194</v>
      </c>
      <c r="F97" t="s">
        <v>424</v>
      </c>
      <c r="G97" t="s">
        <v>425</v>
      </c>
      <c r="H97" t="s">
        <v>425</v>
      </c>
      <c r="I97">
        <v>3.3</v>
      </c>
      <c r="J97">
        <v>17</v>
      </c>
      <c r="K97" t="s">
        <v>426</v>
      </c>
    </row>
    <row r="98" spans="1:11" x14ac:dyDescent="0.2">
      <c r="A98" t="str">
        <f>HYPERLINK("https://www.tiwall.com//p/sigarbekharam","رفتم سیگار بخرم...")</f>
        <v>رفتم سیگار بخرم...</v>
      </c>
      <c r="B98">
        <v>30</v>
      </c>
      <c r="C98" t="s">
        <v>369</v>
      </c>
      <c r="D98" t="s">
        <v>25</v>
      </c>
      <c r="E98" t="s">
        <v>26</v>
      </c>
      <c r="F98" t="s">
        <v>427</v>
      </c>
      <c r="G98" t="s">
        <v>428</v>
      </c>
      <c r="H98" t="s">
        <v>428</v>
      </c>
      <c r="I98">
        <v>2.6</v>
      </c>
      <c r="J98">
        <v>28</v>
      </c>
      <c r="K98" t="s">
        <v>429</v>
      </c>
    </row>
    <row r="99" spans="1:11" x14ac:dyDescent="0.2">
      <c r="A99" t="str">
        <f>HYPERLINK("https://www.tiwall.com//p/sar2","ثار")</f>
        <v>ثار</v>
      </c>
      <c r="B99">
        <v>20</v>
      </c>
      <c r="C99" t="s">
        <v>417</v>
      </c>
      <c r="D99" t="s">
        <v>87</v>
      </c>
      <c r="E99" t="s">
        <v>13</v>
      </c>
      <c r="F99" t="s">
        <v>430</v>
      </c>
      <c r="G99" t="s">
        <v>431</v>
      </c>
      <c r="H99" t="s">
        <v>431</v>
      </c>
      <c r="I99">
        <v>0</v>
      </c>
      <c r="J99">
        <v>0</v>
      </c>
      <c r="K99" t="s">
        <v>432</v>
      </c>
    </row>
    <row r="100" spans="1:11" x14ac:dyDescent="0.2">
      <c r="A100" t="str">
        <f>HYPERLINK("https://www.tiwall.com//p/mcmurdo","مک موردو")</f>
        <v>مک موردو</v>
      </c>
      <c r="B100">
        <v>45</v>
      </c>
      <c r="C100" t="s">
        <v>64</v>
      </c>
      <c r="D100" t="s">
        <v>217</v>
      </c>
      <c r="E100" t="s">
        <v>235</v>
      </c>
      <c r="F100" t="s">
        <v>433</v>
      </c>
      <c r="G100" t="s">
        <v>434</v>
      </c>
      <c r="H100" t="s">
        <v>435</v>
      </c>
      <c r="I100">
        <v>4.8</v>
      </c>
      <c r="J100">
        <v>5</v>
      </c>
      <c r="K100" t="s">
        <v>436</v>
      </c>
    </row>
    <row r="101" spans="1:11" x14ac:dyDescent="0.2">
      <c r="A101" t="str">
        <f>HYPERLINK("https://www.tiwall.com//p/partners.in.crime11","خرده جنایت های زن و شوهری")</f>
        <v>خرده جنایت های زن و شوهری</v>
      </c>
      <c r="B101">
        <v>70</v>
      </c>
      <c r="C101" t="s">
        <v>86</v>
      </c>
      <c r="D101" t="s">
        <v>45</v>
      </c>
      <c r="E101" t="s">
        <v>26</v>
      </c>
      <c r="F101" t="s">
        <v>118</v>
      </c>
      <c r="G101" t="s">
        <v>437</v>
      </c>
      <c r="H101" t="s">
        <v>438</v>
      </c>
      <c r="I101">
        <v>4.4000000000000004</v>
      </c>
      <c r="J101">
        <v>21</v>
      </c>
      <c r="K101" t="s">
        <v>439</v>
      </c>
    </row>
    <row r="102" spans="1:11" x14ac:dyDescent="0.2">
      <c r="A102" t="str">
        <f>HYPERLINK("https://www.tiwall.com//p/herfei17","حرفه‌ای")</f>
        <v>حرفه‌ای</v>
      </c>
      <c r="B102">
        <v>130</v>
      </c>
      <c r="C102" t="s">
        <v>358</v>
      </c>
      <c r="D102" t="s">
        <v>25</v>
      </c>
      <c r="E102" t="s">
        <v>303</v>
      </c>
      <c r="F102" t="s">
        <v>142</v>
      </c>
      <c r="G102" t="s">
        <v>440</v>
      </c>
      <c r="H102" t="s">
        <v>440</v>
      </c>
      <c r="I102">
        <v>4.3</v>
      </c>
      <c r="J102">
        <v>14</v>
      </c>
      <c r="K102" t="s">
        <v>441</v>
      </c>
    </row>
    <row r="103" spans="1:11" x14ac:dyDescent="0.2">
      <c r="A103" t="str">
        <f>HYPERLINK("https://www.tiwall.com//p/hayahu.baraye.hich3","هیاهوی بسیار برای هیچ")</f>
        <v>هیاهوی بسیار برای هیچ</v>
      </c>
      <c r="B103">
        <v>70</v>
      </c>
      <c r="C103" t="s">
        <v>129</v>
      </c>
      <c r="D103" t="s">
        <v>12</v>
      </c>
      <c r="E103" t="s">
        <v>138</v>
      </c>
      <c r="F103" t="s">
        <v>317</v>
      </c>
      <c r="G103" t="s">
        <v>442</v>
      </c>
      <c r="H103" t="s">
        <v>443</v>
      </c>
      <c r="I103">
        <v>0</v>
      </c>
      <c r="J103">
        <v>0</v>
      </c>
      <c r="K103" t="s">
        <v>444</v>
      </c>
    </row>
    <row r="104" spans="1:11" x14ac:dyDescent="0.2">
      <c r="A104" t="str">
        <f>HYPERLINK("https://www.tiwall.com//p/house.bernarda.alba10","خانه برناردا آلبا")</f>
        <v>خانه برناردا آلبا</v>
      </c>
      <c r="B104">
        <v>80</v>
      </c>
      <c r="C104" t="s">
        <v>358</v>
      </c>
      <c r="D104" t="s">
        <v>217</v>
      </c>
      <c r="E104" t="s">
        <v>88</v>
      </c>
      <c r="F104" t="s">
        <v>445</v>
      </c>
      <c r="G104" t="s">
        <v>446</v>
      </c>
      <c r="H104" t="s">
        <v>447</v>
      </c>
      <c r="I104">
        <v>3.8</v>
      </c>
      <c r="J104">
        <v>23</v>
      </c>
      <c r="K104" t="s">
        <v>448</v>
      </c>
    </row>
    <row r="105" spans="1:11" x14ac:dyDescent="0.2">
      <c r="A105" t="str">
        <f>HYPERLINK("https://www.tiwall.com//p/gourbani","گوربانی")</f>
        <v>گوربانی</v>
      </c>
      <c r="B105">
        <v>30</v>
      </c>
      <c r="C105" t="s">
        <v>369</v>
      </c>
      <c r="D105" t="s">
        <v>299</v>
      </c>
      <c r="E105" t="s">
        <v>208</v>
      </c>
      <c r="F105" t="s">
        <v>449</v>
      </c>
      <c r="G105" t="s">
        <v>450</v>
      </c>
      <c r="H105" t="s">
        <v>451</v>
      </c>
      <c r="I105">
        <v>3.3</v>
      </c>
      <c r="J105">
        <v>18</v>
      </c>
      <c r="K105" t="s">
        <v>452</v>
      </c>
    </row>
    <row r="106" spans="1:11" x14ac:dyDescent="0.2">
      <c r="A106" t="str">
        <f>HYPERLINK("https://www.tiwall.com//p/naraftan","نرفتن")</f>
        <v>نرفتن</v>
      </c>
      <c r="B106">
        <v>70</v>
      </c>
      <c r="C106" t="s">
        <v>60</v>
      </c>
      <c r="D106" t="s">
        <v>45</v>
      </c>
      <c r="E106" t="s">
        <v>71</v>
      </c>
      <c r="F106" t="s">
        <v>453</v>
      </c>
      <c r="G106" t="s">
        <v>454</v>
      </c>
      <c r="H106" t="s">
        <v>455</v>
      </c>
      <c r="I106">
        <v>3.6</v>
      </c>
      <c r="J106">
        <v>8</v>
      </c>
      <c r="K106" t="s">
        <v>456</v>
      </c>
    </row>
    <row r="107" spans="1:11" x14ac:dyDescent="0.2">
      <c r="A107" t="str">
        <f>HYPERLINK("https://www.tiwall.com//p/tazemestan","سه دقیقه تا زمستان")</f>
        <v>سه دقیقه تا زمستان</v>
      </c>
      <c r="B107">
        <v>60</v>
      </c>
      <c r="C107" t="s">
        <v>204</v>
      </c>
      <c r="D107" t="s">
        <v>12</v>
      </c>
      <c r="E107" t="s">
        <v>46</v>
      </c>
      <c r="F107" t="s">
        <v>457</v>
      </c>
      <c r="G107" t="s">
        <v>458</v>
      </c>
      <c r="H107" t="s">
        <v>458</v>
      </c>
      <c r="I107">
        <v>4.5999999999999996</v>
      </c>
      <c r="J107">
        <v>15</v>
      </c>
      <c r="K107" t="s">
        <v>459</v>
      </c>
    </row>
    <row r="108" spans="1:11" x14ac:dyDescent="0.2">
      <c r="A108" t="str">
        <f>HYPERLINK("https://www.tiwall.com//p/emkanbazi","امکانِ بازی")</f>
        <v>امکانِ بازی</v>
      </c>
      <c r="B108">
        <v>50</v>
      </c>
      <c r="C108" t="s">
        <v>44</v>
      </c>
      <c r="D108" t="s">
        <v>146</v>
      </c>
      <c r="E108" t="s">
        <v>26</v>
      </c>
      <c r="F108" t="s">
        <v>460</v>
      </c>
      <c r="G108" t="s">
        <v>461</v>
      </c>
      <c r="H108" t="s">
        <v>461</v>
      </c>
      <c r="I108">
        <v>0</v>
      </c>
      <c r="J108">
        <v>0</v>
      </c>
      <c r="K108" t="s">
        <v>462</v>
      </c>
    </row>
    <row r="109" spans="1:11" x14ac:dyDescent="0.2">
      <c r="A109" t="str">
        <f>HYPERLINK("https://www.tiwall.com//p/behokmshoma","به حکم شما")</f>
        <v>به حکم شما</v>
      </c>
      <c r="B109">
        <v>85</v>
      </c>
      <c r="C109" t="s">
        <v>11</v>
      </c>
      <c r="D109" t="s">
        <v>65</v>
      </c>
      <c r="E109" t="s">
        <v>13</v>
      </c>
      <c r="F109" t="s">
        <v>463</v>
      </c>
      <c r="G109" t="s">
        <v>464</v>
      </c>
      <c r="H109" t="s">
        <v>465</v>
      </c>
      <c r="I109">
        <v>4.3</v>
      </c>
      <c r="J109">
        <v>37</v>
      </c>
      <c r="K109" t="s">
        <v>466</v>
      </c>
    </row>
    <row r="110" spans="1:11" x14ac:dyDescent="0.2">
      <c r="A110" t="str">
        <f>HYPERLINK("https://www.tiwall.com//p/barkhord.newyork","برخورد نزدیک در نیویورک")</f>
        <v>برخورد نزدیک در نیویورک</v>
      </c>
      <c r="B110">
        <v>30</v>
      </c>
      <c r="C110" t="s">
        <v>121</v>
      </c>
      <c r="D110" t="s">
        <v>32</v>
      </c>
      <c r="E110" t="s">
        <v>13</v>
      </c>
      <c r="F110" t="s">
        <v>467</v>
      </c>
      <c r="G110" t="s">
        <v>468</v>
      </c>
      <c r="H110" t="s">
        <v>468</v>
      </c>
      <c r="I110">
        <v>0</v>
      </c>
      <c r="J110">
        <v>0</v>
      </c>
      <c r="K110" t="s">
        <v>469</v>
      </c>
    </row>
    <row r="111" spans="1:11" x14ac:dyDescent="0.2">
      <c r="A111" t="str">
        <f>HYPERLINK("https://www.tiwall.com//p/yeksobhenagahan2","یک صبح ناگهان")</f>
        <v>یک صبح ناگهان</v>
      </c>
      <c r="B111">
        <v>100</v>
      </c>
      <c r="C111" t="s">
        <v>170</v>
      </c>
      <c r="D111" t="s">
        <v>470</v>
      </c>
      <c r="E111" t="s">
        <v>175</v>
      </c>
      <c r="F111" t="s">
        <v>471</v>
      </c>
      <c r="G111" t="s">
        <v>472</v>
      </c>
      <c r="H111" t="s">
        <v>473</v>
      </c>
      <c r="I111">
        <v>3.7</v>
      </c>
      <c r="J111">
        <v>10</v>
      </c>
      <c r="K111" t="s">
        <v>474</v>
      </c>
    </row>
    <row r="112" spans="1:11" x14ac:dyDescent="0.2">
      <c r="A112" t="str">
        <f>HYPERLINK("https://www.tiwall.com//p/malekiyat","مالکیت خصوصی")</f>
        <v>مالکیت خصوصی</v>
      </c>
      <c r="B112">
        <v>35</v>
      </c>
      <c r="C112" t="s">
        <v>51</v>
      </c>
      <c r="D112" t="s">
        <v>12</v>
      </c>
      <c r="E112" t="s">
        <v>475</v>
      </c>
      <c r="F112" t="s">
        <v>476</v>
      </c>
      <c r="G112" t="s">
        <v>477</v>
      </c>
      <c r="H112" t="s">
        <v>478</v>
      </c>
      <c r="I112">
        <v>3</v>
      </c>
      <c r="J112">
        <v>7</v>
      </c>
      <c r="K112" t="s">
        <v>479</v>
      </c>
    </row>
    <row r="113" spans="1:11" x14ac:dyDescent="0.2">
      <c r="A113" t="str">
        <f>HYPERLINK("https://www.tiwall.com//p/billman","بیلمَن")</f>
        <v>بیلمَن</v>
      </c>
      <c r="B113">
        <v>60</v>
      </c>
      <c r="C113" t="s">
        <v>37</v>
      </c>
      <c r="D113" t="s">
        <v>87</v>
      </c>
      <c r="E113" t="s">
        <v>303</v>
      </c>
      <c r="F113" t="s">
        <v>480</v>
      </c>
      <c r="G113" t="s">
        <v>481</v>
      </c>
      <c r="H113" t="s">
        <v>482</v>
      </c>
      <c r="I113">
        <v>3.5</v>
      </c>
      <c r="J113">
        <v>64</v>
      </c>
      <c r="K113" t="s">
        <v>483</v>
      </c>
    </row>
    <row r="114" spans="1:11" x14ac:dyDescent="0.2">
      <c r="A114" t="str">
        <f>HYPERLINK("https://www.tiwall.com//p/mard.zan2","چند مرد و چند زن")</f>
        <v>چند مرد و چند زن</v>
      </c>
      <c r="B114">
        <v>100</v>
      </c>
      <c r="C114" t="s">
        <v>86</v>
      </c>
      <c r="D114" t="s">
        <v>87</v>
      </c>
      <c r="E114" t="s">
        <v>194</v>
      </c>
      <c r="F114" t="s">
        <v>484</v>
      </c>
      <c r="G114" t="s">
        <v>422</v>
      </c>
      <c r="H114" t="s">
        <v>485</v>
      </c>
      <c r="I114">
        <v>3.8</v>
      </c>
      <c r="J114">
        <v>48</v>
      </c>
      <c r="K114" t="s">
        <v>486</v>
      </c>
    </row>
    <row r="115" spans="1:11" x14ac:dyDescent="0.2">
      <c r="A115" t="str">
        <f>HYPERLINK("https://www.tiwall.com//p/tarak2","ترک")</f>
        <v>ترک</v>
      </c>
      <c r="B115">
        <v>60</v>
      </c>
      <c r="C115" t="s">
        <v>44</v>
      </c>
      <c r="D115" t="s">
        <v>12</v>
      </c>
      <c r="E115" t="s">
        <v>13</v>
      </c>
      <c r="F115" t="s">
        <v>226</v>
      </c>
      <c r="G115" t="s">
        <v>487</v>
      </c>
      <c r="H115" t="s">
        <v>488</v>
      </c>
      <c r="I115">
        <v>4.2</v>
      </c>
      <c r="J115">
        <v>12</v>
      </c>
      <c r="K115" t="s">
        <v>489</v>
      </c>
    </row>
    <row r="116" spans="1:11" x14ac:dyDescent="0.2">
      <c r="A116" t="str">
        <f>HYPERLINK("https://www.tiwall.com//p/jenabekont4","اورسی دوز")</f>
        <v>اورسی دوز</v>
      </c>
      <c r="B116">
        <v>100</v>
      </c>
      <c r="C116" t="s">
        <v>170</v>
      </c>
      <c r="D116" t="s">
        <v>12</v>
      </c>
      <c r="E116" t="s">
        <v>13</v>
      </c>
      <c r="F116" t="s">
        <v>490</v>
      </c>
      <c r="G116" t="s">
        <v>491</v>
      </c>
      <c r="H116" t="s">
        <v>492</v>
      </c>
      <c r="I116">
        <v>2.6</v>
      </c>
      <c r="J116">
        <v>5</v>
      </c>
      <c r="K116" t="s">
        <v>493</v>
      </c>
    </row>
    <row r="117" spans="1:11" x14ac:dyDescent="0.2">
      <c r="A117" t="str">
        <f>HYPERLINK("https://www.tiwall.com//p/biderman.atash","بیدرمن و آتش افروزان")</f>
        <v>بیدرمن و آتش افروزان</v>
      </c>
      <c r="B117">
        <v>70</v>
      </c>
      <c r="C117" t="s">
        <v>117</v>
      </c>
      <c r="D117" t="s">
        <v>12</v>
      </c>
      <c r="E117" t="s">
        <v>303</v>
      </c>
      <c r="F117" t="s">
        <v>494</v>
      </c>
      <c r="G117" t="s">
        <v>495</v>
      </c>
      <c r="H117" t="s">
        <v>496</v>
      </c>
      <c r="I117">
        <v>0</v>
      </c>
      <c r="J117">
        <v>0</v>
      </c>
      <c r="K117" t="s">
        <v>497</v>
      </c>
    </row>
    <row r="118" spans="1:11" x14ac:dyDescent="0.2">
      <c r="A118" t="str">
        <f>HYPERLINK("https://www.tiwall.com//p/darolmajanin","دارالمجانین مدرن")</f>
        <v>دارالمجانین مدرن</v>
      </c>
      <c r="B118">
        <v>40</v>
      </c>
      <c r="C118" t="s">
        <v>155</v>
      </c>
      <c r="D118" t="s">
        <v>470</v>
      </c>
      <c r="E118" t="s">
        <v>138</v>
      </c>
      <c r="F118" t="s">
        <v>498</v>
      </c>
      <c r="G118" t="s">
        <v>499</v>
      </c>
      <c r="H118" t="s">
        <v>499</v>
      </c>
      <c r="I118">
        <v>0</v>
      </c>
      <c r="J118">
        <v>0</v>
      </c>
      <c r="K118" t="s">
        <v>500</v>
      </c>
    </row>
    <row r="119" spans="1:11" x14ac:dyDescent="0.2">
      <c r="A119" t="str">
        <f>HYPERLINK("https://www.tiwall.com//p/yekdoroghgoo","به یک دروغگو نیازمندیم")</f>
        <v>به یک دروغگو نیازمندیم</v>
      </c>
      <c r="B119">
        <v>60</v>
      </c>
      <c r="C119" t="s">
        <v>501</v>
      </c>
      <c r="D119" t="s">
        <v>265</v>
      </c>
      <c r="E119" t="s">
        <v>39</v>
      </c>
      <c r="F119" t="s">
        <v>502</v>
      </c>
      <c r="G119" t="s">
        <v>503</v>
      </c>
      <c r="H119" t="s">
        <v>504</v>
      </c>
      <c r="I119">
        <v>0</v>
      </c>
      <c r="J119">
        <v>0</v>
      </c>
      <c r="K119" t="s">
        <v>505</v>
      </c>
    </row>
    <row r="120" spans="1:11" x14ac:dyDescent="0.2">
      <c r="A120" t="str">
        <f>HYPERLINK("https://www.tiwall.com//p/edoardo","ادواردو")</f>
        <v>ادواردو</v>
      </c>
      <c r="B120">
        <v>60</v>
      </c>
      <c r="C120" t="s">
        <v>417</v>
      </c>
      <c r="D120" t="s">
        <v>32</v>
      </c>
      <c r="E120" t="s">
        <v>26</v>
      </c>
      <c r="F120" t="s">
        <v>506</v>
      </c>
      <c r="G120" t="s">
        <v>507</v>
      </c>
      <c r="H120" t="s">
        <v>508</v>
      </c>
      <c r="I120">
        <v>0</v>
      </c>
      <c r="J120">
        <v>0</v>
      </c>
      <c r="K120" t="s">
        <v>509</v>
      </c>
    </row>
    <row r="121" spans="1:11" x14ac:dyDescent="0.2">
      <c r="A121" t="str">
        <f>HYPERLINK("https://www.tiwall.com//p/miosof2","میخواهم میوسف را ببینم")</f>
        <v>میخواهم میوسف را ببینم</v>
      </c>
      <c r="B121">
        <v>100</v>
      </c>
      <c r="C121" t="s">
        <v>37</v>
      </c>
      <c r="D121" t="s">
        <v>217</v>
      </c>
      <c r="E121" t="s">
        <v>19</v>
      </c>
      <c r="F121" t="s">
        <v>370</v>
      </c>
      <c r="G121" t="s">
        <v>83</v>
      </c>
      <c r="H121" t="s">
        <v>84</v>
      </c>
      <c r="I121">
        <v>3.8</v>
      </c>
      <c r="J121">
        <v>39</v>
      </c>
      <c r="K121" t="s">
        <v>510</v>
      </c>
    </row>
    <row r="122" spans="1:11" x14ac:dyDescent="0.2">
      <c r="A122" t="str">
        <f>HYPERLINK("https://www.tiwall.com//p/metronine","متروی شماره ۹")</f>
        <v>متروی شماره ۹</v>
      </c>
      <c r="B122">
        <v>70</v>
      </c>
      <c r="C122" t="s">
        <v>44</v>
      </c>
      <c r="D122" t="s">
        <v>12</v>
      </c>
      <c r="E122" t="s">
        <v>303</v>
      </c>
      <c r="F122" t="s">
        <v>511</v>
      </c>
      <c r="G122" t="s">
        <v>333</v>
      </c>
      <c r="H122" t="s">
        <v>512</v>
      </c>
      <c r="I122">
        <v>2.9</v>
      </c>
      <c r="J122">
        <v>7</v>
      </c>
      <c r="K122" t="s">
        <v>513</v>
      </c>
    </row>
    <row r="123" spans="1:11" x14ac:dyDescent="0.2">
      <c r="A123" t="str">
        <f>HYPERLINK("https://www.tiwall.com//p/sweeoer","سوئیپر")</f>
        <v>سوئیپر</v>
      </c>
      <c r="B123">
        <v>30</v>
      </c>
      <c r="C123" t="s">
        <v>514</v>
      </c>
      <c r="D123" t="s">
        <v>12</v>
      </c>
      <c r="E123" t="s">
        <v>138</v>
      </c>
      <c r="F123" t="s">
        <v>515</v>
      </c>
      <c r="G123" t="s">
        <v>516</v>
      </c>
      <c r="H123" t="s">
        <v>517</v>
      </c>
      <c r="I123">
        <v>3.4</v>
      </c>
      <c r="J123">
        <v>8</v>
      </c>
      <c r="K123" t="s">
        <v>518</v>
      </c>
    </row>
    <row r="124" spans="1:11" x14ac:dyDescent="0.2">
      <c r="A124" t="str">
        <f>HYPERLINK("https://www.tiwall.com//p/tanha6","تن ها")</f>
        <v>تن ها</v>
      </c>
      <c r="B124">
        <v>40</v>
      </c>
      <c r="C124" t="s">
        <v>344</v>
      </c>
      <c r="D124" t="s">
        <v>70</v>
      </c>
      <c r="E124" t="s">
        <v>138</v>
      </c>
      <c r="F124" t="s">
        <v>519</v>
      </c>
      <c r="G124" t="s">
        <v>520</v>
      </c>
      <c r="H124" t="s">
        <v>520</v>
      </c>
      <c r="I124">
        <v>3.9</v>
      </c>
      <c r="J124">
        <v>34</v>
      </c>
      <c r="K124" t="s">
        <v>521</v>
      </c>
    </row>
    <row r="125" spans="1:11" x14ac:dyDescent="0.2">
      <c r="A125" t="str">
        <f>HYPERLINK("https://www.tiwall.com//p/cheshmha.mibinand","چشم ها چه را می بینند؟")</f>
        <v>چشم ها چه را می بینند؟</v>
      </c>
      <c r="B125">
        <v>30</v>
      </c>
      <c r="C125" t="s">
        <v>522</v>
      </c>
      <c r="D125" t="s">
        <v>87</v>
      </c>
      <c r="E125" t="s">
        <v>13</v>
      </c>
      <c r="F125" t="s">
        <v>89</v>
      </c>
      <c r="G125" t="s">
        <v>523</v>
      </c>
      <c r="H125" t="s">
        <v>523</v>
      </c>
      <c r="I125">
        <v>0</v>
      </c>
      <c r="J125">
        <v>0</v>
      </c>
      <c r="K125" t="s">
        <v>524</v>
      </c>
    </row>
    <row r="126" spans="1:11" x14ac:dyDescent="0.2">
      <c r="A126" t="str">
        <f>HYPERLINK("https://www.tiwall.com//p/siah.soltan","سیاه و سلطان")</f>
        <v>سیاه و سلطان</v>
      </c>
      <c r="B126">
        <v>50</v>
      </c>
      <c r="C126" t="s">
        <v>224</v>
      </c>
      <c r="D126" t="s">
        <v>384</v>
      </c>
      <c r="E126" t="s">
        <v>26</v>
      </c>
      <c r="F126" t="s">
        <v>525</v>
      </c>
      <c r="G126" t="s">
        <v>526</v>
      </c>
      <c r="H126" t="s">
        <v>526</v>
      </c>
      <c r="I126">
        <v>0</v>
      </c>
      <c r="J126">
        <v>0</v>
      </c>
      <c r="K126" t="s">
        <v>527</v>
      </c>
    </row>
    <row r="127" spans="1:11" x14ac:dyDescent="0.2">
      <c r="A127" t="str">
        <f>HYPERLINK("https://www.tiwall.com//p/macolar","ماکولا")</f>
        <v>ماکولا</v>
      </c>
      <c r="B127">
        <v>35</v>
      </c>
      <c r="C127" t="s">
        <v>51</v>
      </c>
      <c r="D127" t="s">
        <v>70</v>
      </c>
      <c r="E127" t="s">
        <v>194</v>
      </c>
      <c r="F127" t="s">
        <v>247</v>
      </c>
      <c r="G127" t="s">
        <v>528</v>
      </c>
      <c r="H127" t="s">
        <v>529</v>
      </c>
      <c r="I127">
        <v>0</v>
      </c>
      <c r="J127">
        <v>0</v>
      </c>
      <c r="K127" t="s">
        <v>530</v>
      </c>
    </row>
    <row r="128" spans="1:11" x14ac:dyDescent="0.2">
      <c r="A128" t="str">
        <f>HYPERLINK("https://www.tiwall.com//p/pezeshkenazanin20","پزشک نازنین")</f>
        <v>پزشک نازنین</v>
      </c>
      <c r="B128">
        <v>70</v>
      </c>
      <c r="C128" t="s">
        <v>86</v>
      </c>
      <c r="D128" t="s">
        <v>87</v>
      </c>
      <c r="E128" t="s">
        <v>13</v>
      </c>
      <c r="F128" t="s">
        <v>531</v>
      </c>
      <c r="G128" t="s">
        <v>532</v>
      </c>
      <c r="H128" t="s">
        <v>183</v>
      </c>
      <c r="I128">
        <v>3.2</v>
      </c>
      <c r="J128">
        <v>20</v>
      </c>
      <c r="K128" t="s">
        <v>533</v>
      </c>
    </row>
    <row r="129" spans="1:11" x14ac:dyDescent="0.2">
      <c r="A129" t="str">
        <f>HYPERLINK("https://www.tiwall.com//p/strendelanati","اِسترِندِ لعنتی")</f>
        <v>اِسترِندِ لعنتی</v>
      </c>
      <c r="B129">
        <v>20</v>
      </c>
      <c r="C129" t="s">
        <v>121</v>
      </c>
      <c r="D129" t="s">
        <v>217</v>
      </c>
      <c r="E129" t="s">
        <v>138</v>
      </c>
      <c r="F129" t="s">
        <v>14</v>
      </c>
      <c r="G129" t="s">
        <v>534</v>
      </c>
      <c r="H129" t="s">
        <v>534</v>
      </c>
      <c r="I129">
        <v>0</v>
      </c>
      <c r="J129">
        <v>0</v>
      </c>
      <c r="K129" t="s">
        <v>535</v>
      </c>
    </row>
    <row r="130" spans="1:11" x14ac:dyDescent="0.2">
      <c r="A130" t="str">
        <f>HYPERLINK("https://www.tiwall.com//p/asb.basham3","می خواستم اسب باشم")</f>
        <v>می خواستم اسب باشم</v>
      </c>
      <c r="B130">
        <v>60</v>
      </c>
      <c r="C130" t="s">
        <v>86</v>
      </c>
      <c r="D130" t="s">
        <v>25</v>
      </c>
      <c r="E130" t="s">
        <v>138</v>
      </c>
      <c r="F130" t="s">
        <v>536</v>
      </c>
      <c r="G130" t="s">
        <v>537</v>
      </c>
      <c r="H130" t="s">
        <v>538</v>
      </c>
      <c r="I130">
        <v>2.7</v>
      </c>
      <c r="J130">
        <v>11</v>
      </c>
      <c r="K130" t="s">
        <v>539</v>
      </c>
    </row>
    <row r="131" spans="1:11" x14ac:dyDescent="0.2">
      <c r="A131" t="str">
        <f>HYPERLINK("https://www.tiwall.com//p/mardi.keh.jahanamash","مردی که جهنمش را با خود حمل میکرد")</f>
        <v>مردی که جهنمش را با خود حمل میکرد</v>
      </c>
      <c r="B131">
        <v>70</v>
      </c>
      <c r="C131" t="s">
        <v>145</v>
      </c>
      <c r="D131" t="s">
        <v>45</v>
      </c>
      <c r="E131" t="s">
        <v>88</v>
      </c>
      <c r="F131" t="s">
        <v>540</v>
      </c>
      <c r="G131" t="s">
        <v>541</v>
      </c>
      <c r="H131" t="s">
        <v>541</v>
      </c>
      <c r="I131">
        <v>0</v>
      </c>
      <c r="J131">
        <v>0</v>
      </c>
      <c r="K131" t="s">
        <v>542</v>
      </c>
    </row>
    <row r="132" spans="1:11" x14ac:dyDescent="0.2">
      <c r="A132" t="str">
        <f>HYPERLINK("https://www.tiwall.com//p/baritmebarfpakkon3","با ریتم برف پاک کن")</f>
        <v>با ریتم برف پاک کن</v>
      </c>
      <c r="B132">
        <v>40</v>
      </c>
      <c r="C132" t="s">
        <v>180</v>
      </c>
      <c r="D132" t="s">
        <v>25</v>
      </c>
      <c r="E132" t="s">
        <v>13</v>
      </c>
      <c r="F132" t="s">
        <v>200</v>
      </c>
      <c r="G132" t="s">
        <v>543</v>
      </c>
      <c r="H132" t="s">
        <v>544</v>
      </c>
      <c r="I132">
        <v>3.2</v>
      </c>
      <c r="J132">
        <v>5</v>
      </c>
      <c r="K132" t="s">
        <v>543</v>
      </c>
    </row>
    <row r="133" spans="1:11" x14ac:dyDescent="0.2">
      <c r="A133" t="str">
        <f>HYPERLINK("https://www.tiwall.com//p/asbhaye.poshte.panjere","اسبهای پشت پنجره")</f>
        <v>اسبهای پشت پنجره</v>
      </c>
      <c r="B133">
        <v>40</v>
      </c>
      <c r="C133" t="s">
        <v>60</v>
      </c>
      <c r="D133" t="s">
        <v>12</v>
      </c>
      <c r="E133" t="s">
        <v>26</v>
      </c>
      <c r="F133" t="s">
        <v>545</v>
      </c>
      <c r="G133" t="s">
        <v>546</v>
      </c>
      <c r="H133" t="s">
        <v>79</v>
      </c>
      <c r="I133">
        <v>0</v>
      </c>
      <c r="J133">
        <v>0</v>
      </c>
      <c r="K133" t="s">
        <v>547</v>
      </c>
    </row>
    <row r="134" spans="1:11" x14ac:dyDescent="0.2">
      <c r="A134" t="str">
        <f>HYPERLINK("https://www.tiwall.com//p/ghahveghajari","قهوه قجری")</f>
        <v>قهوه قجری</v>
      </c>
      <c r="B134">
        <v>95</v>
      </c>
      <c r="C134" t="s">
        <v>362</v>
      </c>
      <c r="D134" t="s">
        <v>12</v>
      </c>
      <c r="E134" t="s">
        <v>26</v>
      </c>
      <c r="F134" t="s">
        <v>548</v>
      </c>
      <c r="G134" t="s">
        <v>549</v>
      </c>
      <c r="H134" t="s">
        <v>550</v>
      </c>
      <c r="I134">
        <v>2.9</v>
      </c>
      <c r="J134">
        <v>77</v>
      </c>
      <c r="K134" t="s">
        <v>551</v>
      </c>
    </row>
    <row r="135" spans="1:11" x14ac:dyDescent="0.2">
      <c r="A135" t="str">
        <f>HYPERLINK("https://www.tiwall.com//p/morghmahikhar","مرغ ماهیخوار")</f>
        <v>مرغ ماهیخوار</v>
      </c>
      <c r="B135">
        <v>60</v>
      </c>
      <c r="C135" t="s">
        <v>132</v>
      </c>
      <c r="D135" t="s">
        <v>65</v>
      </c>
      <c r="E135" t="s">
        <v>26</v>
      </c>
      <c r="F135" t="s">
        <v>552</v>
      </c>
      <c r="G135" t="s">
        <v>135</v>
      </c>
      <c r="H135" t="s">
        <v>135</v>
      </c>
      <c r="I135">
        <v>0</v>
      </c>
      <c r="J135">
        <v>0</v>
      </c>
      <c r="K135" t="s">
        <v>553</v>
      </c>
    </row>
    <row r="136" spans="1:11" x14ac:dyDescent="0.2">
      <c r="A136" t="str">
        <f>HYPERLINK("https://www.tiwall.com//p/philadelphia4","فیلادلفیا")</f>
        <v>فیلادلفیا</v>
      </c>
      <c r="B136">
        <v>90</v>
      </c>
      <c r="C136" t="s">
        <v>554</v>
      </c>
      <c r="D136" t="s">
        <v>265</v>
      </c>
      <c r="E136" t="s">
        <v>235</v>
      </c>
      <c r="F136" t="s">
        <v>555</v>
      </c>
      <c r="G136" t="s">
        <v>556</v>
      </c>
      <c r="H136" t="s">
        <v>557</v>
      </c>
      <c r="I136">
        <v>3.1</v>
      </c>
      <c r="J136">
        <v>8</v>
      </c>
      <c r="K136" t="s">
        <v>558</v>
      </c>
    </row>
    <row r="137" spans="1:11" x14ac:dyDescent="0.2">
      <c r="A137" t="str">
        <f>HYPERLINK("https://www.tiwall.com//p/yanki.girl2","دختر یانکی")</f>
        <v>دختر یانکی</v>
      </c>
      <c r="B137">
        <v>50</v>
      </c>
      <c r="C137" t="s">
        <v>129</v>
      </c>
      <c r="D137" t="s">
        <v>559</v>
      </c>
      <c r="E137" t="s">
        <v>71</v>
      </c>
      <c r="F137" t="s">
        <v>560</v>
      </c>
      <c r="G137" t="s">
        <v>561</v>
      </c>
      <c r="H137" t="s">
        <v>183</v>
      </c>
      <c r="I137">
        <v>0</v>
      </c>
      <c r="J137">
        <v>0</v>
      </c>
      <c r="K137" t="s">
        <v>562</v>
      </c>
    </row>
    <row r="138" spans="1:11" x14ac:dyDescent="0.2">
      <c r="A138" t="str">
        <f>HYPERLINK("https://www.tiwall.com//p/oldcity","اولدسیتی")</f>
        <v>اولدسیتی</v>
      </c>
      <c r="B138">
        <v>45</v>
      </c>
      <c r="C138" t="s">
        <v>563</v>
      </c>
      <c r="D138" t="s">
        <v>87</v>
      </c>
      <c r="E138" t="s">
        <v>13</v>
      </c>
      <c r="F138" t="s">
        <v>564</v>
      </c>
      <c r="G138" t="s">
        <v>565</v>
      </c>
      <c r="H138" t="s">
        <v>565</v>
      </c>
      <c r="I138">
        <v>0</v>
      </c>
      <c r="J138">
        <v>0</v>
      </c>
      <c r="K138" t="s">
        <v>566</v>
      </c>
    </row>
    <row r="139" spans="1:11" x14ac:dyDescent="0.2">
      <c r="A139" t="str">
        <f>HYPERLINK("https://www.tiwall.com//p/ensan.modern2","سه روایت چند وجهی از انثان مدرن، پسامدرن یا پیشامدرن(روایت دوم)")</f>
        <v>سه روایت چند وجهی از انثان مدرن، پسامدرن یا پیشامدرن(روایت دوم)</v>
      </c>
      <c r="B139">
        <v>60</v>
      </c>
      <c r="C139" t="s">
        <v>76</v>
      </c>
      <c r="D139" t="s">
        <v>25</v>
      </c>
      <c r="E139" t="s">
        <v>46</v>
      </c>
      <c r="F139" t="s">
        <v>555</v>
      </c>
      <c r="G139" t="s">
        <v>78</v>
      </c>
      <c r="H139" t="s">
        <v>79</v>
      </c>
      <c r="I139">
        <v>0</v>
      </c>
      <c r="J139">
        <v>0</v>
      </c>
      <c r="K139" t="s">
        <v>567</v>
      </c>
    </row>
    <row r="140" spans="1:11" x14ac:dyDescent="0.2">
      <c r="A140" t="str">
        <f>HYPERLINK("https://www.tiwall.com//p/atlasihayepaparshodeh","اطلسی های پرپر شده")</f>
        <v>اطلسی های پرپر شده</v>
      </c>
      <c r="B140">
        <v>30</v>
      </c>
      <c r="C140" t="s">
        <v>417</v>
      </c>
      <c r="D140" t="s">
        <v>87</v>
      </c>
      <c r="E140" t="s">
        <v>13</v>
      </c>
      <c r="F140" t="s">
        <v>568</v>
      </c>
      <c r="G140" t="s">
        <v>569</v>
      </c>
      <c r="H140" t="s">
        <v>569</v>
      </c>
      <c r="I140">
        <v>0</v>
      </c>
      <c r="J140">
        <v>0</v>
      </c>
      <c r="K140" t="s">
        <v>570</v>
      </c>
    </row>
    <row r="141" spans="1:11" x14ac:dyDescent="0.2">
      <c r="A141" t="str">
        <f>HYPERLINK("https://www.tiwall.com//p/oftadan2","بعد از افتادن")</f>
        <v>بعد از افتادن</v>
      </c>
      <c r="B141">
        <v>30</v>
      </c>
      <c r="C141" t="s">
        <v>369</v>
      </c>
      <c r="D141" t="s">
        <v>87</v>
      </c>
      <c r="E141" t="s">
        <v>194</v>
      </c>
      <c r="F141" t="s">
        <v>571</v>
      </c>
      <c r="G141" t="s">
        <v>572</v>
      </c>
      <c r="H141" t="s">
        <v>573</v>
      </c>
      <c r="I141">
        <v>3.5</v>
      </c>
      <c r="J141">
        <v>51</v>
      </c>
      <c r="K141" t="s">
        <v>574</v>
      </c>
    </row>
    <row r="142" spans="1:11" x14ac:dyDescent="0.2">
      <c r="A142" t="str">
        <f>HYPERLINK("https://www.tiwall.com//p/doroughziba2","یک دروغ زیبا")</f>
        <v>یک دروغ زیبا</v>
      </c>
      <c r="B142">
        <v>30</v>
      </c>
      <c r="C142" t="s">
        <v>81</v>
      </c>
      <c r="D142" t="s">
        <v>12</v>
      </c>
      <c r="E142" t="s">
        <v>46</v>
      </c>
      <c r="F142" t="s">
        <v>575</v>
      </c>
      <c r="G142" t="s">
        <v>576</v>
      </c>
      <c r="H142" t="s">
        <v>577</v>
      </c>
      <c r="I142">
        <v>0</v>
      </c>
      <c r="J142">
        <v>0</v>
      </c>
      <c r="K142" t="s">
        <v>578</v>
      </c>
    </row>
    <row r="143" spans="1:11" x14ac:dyDescent="0.2">
      <c r="A143" t="str">
        <f>HYPERLINK("https://www.tiwall.com//p/hamanand2","همانند")</f>
        <v>همانند</v>
      </c>
      <c r="B143">
        <v>50</v>
      </c>
      <c r="C143" t="s">
        <v>383</v>
      </c>
      <c r="D143" t="s">
        <v>25</v>
      </c>
      <c r="E143" t="s">
        <v>13</v>
      </c>
      <c r="F143" t="s">
        <v>579</v>
      </c>
      <c r="G143" t="s">
        <v>580</v>
      </c>
      <c r="H143" t="s">
        <v>580</v>
      </c>
      <c r="I143">
        <v>3</v>
      </c>
      <c r="J143">
        <v>9</v>
      </c>
      <c r="K143" t="s">
        <v>581</v>
      </c>
    </row>
    <row r="144" spans="1:11" x14ac:dyDescent="0.2">
      <c r="A144" t="str">
        <f>HYPERLINK("https://www.tiwall.com//p/pezeshkenazanin12","پزشک نازنین")</f>
        <v>پزشک نازنین</v>
      </c>
      <c r="B144">
        <v>50</v>
      </c>
      <c r="C144" t="s">
        <v>224</v>
      </c>
      <c r="D144" t="s">
        <v>146</v>
      </c>
      <c r="E144" t="s">
        <v>303</v>
      </c>
      <c r="F144" t="s">
        <v>40</v>
      </c>
      <c r="G144" t="s">
        <v>582</v>
      </c>
      <c r="H144" t="s">
        <v>183</v>
      </c>
      <c r="I144">
        <v>0</v>
      </c>
      <c r="J144">
        <v>0</v>
      </c>
      <c r="K144" t="s">
        <v>583</v>
      </c>
    </row>
    <row r="145" spans="1:11" x14ac:dyDescent="0.2">
      <c r="A145" t="str">
        <f>HYPERLINK("https://www.tiwall.com//p/faezeyousefi2","فائزه یوسفی")</f>
        <v>فائزه یوسفی</v>
      </c>
      <c r="B145">
        <v>40</v>
      </c>
      <c r="C145" t="s">
        <v>514</v>
      </c>
      <c r="D145" t="s">
        <v>12</v>
      </c>
      <c r="E145" t="s">
        <v>138</v>
      </c>
      <c r="F145" t="s">
        <v>584</v>
      </c>
      <c r="G145" t="s">
        <v>585</v>
      </c>
      <c r="H145" t="s">
        <v>585</v>
      </c>
      <c r="I145">
        <v>3.1</v>
      </c>
      <c r="J145">
        <v>42</v>
      </c>
      <c r="K145" t="s">
        <v>586</v>
      </c>
    </row>
    <row r="146" spans="1:11" x14ac:dyDescent="0.2">
      <c r="A146" t="str">
        <f>HYPERLINK("https://www.tiwall.com//p/haghayegh.mehdi","حقایق درباره‌ی مهدی پسر غلام")</f>
        <v>حقایق درباره‌ی مهدی پسر غلام</v>
      </c>
      <c r="B146">
        <v>70</v>
      </c>
      <c r="C146" t="s">
        <v>44</v>
      </c>
      <c r="D146" t="s">
        <v>65</v>
      </c>
      <c r="E146" t="s">
        <v>13</v>
      </c>
      <c r="F146" t="s">
        <v>587</v>
      </c>
      <c r="G146" t="s">
        <v>588</v>
      </c>
      <c r="H146" t="s">
        <v>589</v>
      </c>
      <c r="I146">
        <v>0</v>
      </c>
      <c r="J146">
        <v>0</v>
      </c>
      <c r="K146" t="s">
        <v>590</v>
      </c>
    </row>
    <row r="147" spans="1:11" x14ac:dyDescent="0.2">
      <c r="A147" t="str">
        <f>HYPERLINK("https://www.tiwall.com//p/takshakh","تک شاخ")</f>
        <v>تک شاخ</v>
      </c>
      <c r="B147">
        <v>60</v>
      </c>
      <c r="C147" t="s">
        <v>591</v>
      </c>
      <c r="D147" t="s">
        <v>32</v>
      </c>
      <c r="E147" t="s">
        <v>138</v>
      </c>
      <c r="F147" t="s">
        <v>592</v>
      </c>
      <c r="G147" t="s">
        <v>593</v>
      </c>
      <c r="H147" t="s">
        <v>594</v>
      </c>
      <c r="I147">
        <v>0</v>
      </c>
      <c r="J147">
        <v>0</v>
      </c>
      <c r="K147" t="s">
        <v>595</v>
      </c>
    </row>
    <row r="148" spans="1:11" x14ac:dyDescent="0.2">
      <c r="A148" t="str">
        <f>HYPERLINK("https://www.tiwall.com//p/khamushan3","خاموشان")</f>
        <v>خاموشان</v>
      </c>
      <c r="B148">
        <v>40</v>
      </c>
      <c r="C148" t="s">
        <v>145</v>
      </c>
      <c r="D148" t="s">
        <v>146</v>
      </c>
      <c r="E148" t="s">
        <v>88</v>
      </c>
      <c r="F148" t="s">
        <v>596</v>
      </c>
      <c r="G148" t="s">
        <v>597</v>
      </c>
      <c r="H148" t="s">
        <v>598</v>
      </c>
      <c r="I148">
        <v>0</v>
      </c>
      <c r="J148">
        <v>0</v>
      </c>
      <c r="K148" t="s">
        <v>599</v>
      </c>
    </row>
    <row r="149" spans="1:11" x14ac:dyDescent="0.2">
      <c r="A149" t="str">
        <f>HYPERLINK("https://www.tiwall.com//p/macbeth12","مکبث")</f>
        <v>مکبث</v>
      </c>
      <c r="B149">
        <v>40</v>
      </c>
      <c r="C149" t="s">
        <v>369</v>
      </c>
      <c r="D149" t="s">
        <v>25</v>
      </c>
      <c r="E149" t="s">
        <v>138</v>
      </c>
      <c r="F149" t="s">
        <v>188</v>
      </c>
      <c r="G149" t="s">
        <v>600</v>
      </c>
      <c r="H149" t="s">
        <v>601</v>
      </c>
      <c r="I149">
        <v>3.2</v>
      </c>
      <c r="J149">
        <v>76</v>
      </c>
      <c r="K149" t="s">
        <v>602</v>
      </c>
    </row>
    <row r="150" spans="1:11" x14ac:dyDescent="0.2">
      <c r="A150" t="str">
        <f>HYPERLINK("https://www.tiwall.com//p/alefkafshin","الف کاف شین")</f>
        <v>الف کاف شین</v>
      </c>
      <c r="B150">
        <v>35</v>
      </c>
      <c r="C150" t="s">
        <v>383</v>
      </c>
      <c r="D150" t="s">
        <v>25</v>
      </c>
      <c r="E150" t="s">
        <v>138</v>
      </c>
      <c r="F150" t="s">
        <v>603</v>
      </c>
      <c r="G150" t="s">
        <v>604</v>
      </c>
      <c r="H150" t="s">
        <v>604</v>
      </c>
      <c r="I150">
        <v>0</v>
      </c>
      <c r="J150">
        <v>0</v>
      </c>
      <c r="K150" t="s">
        <v>605</v>
      </c>
    </row>
    <row r="151" spans="1:11" x14ac:dyDescent="0.2">
      <c r="A151" t="str">
        <f>HYPERLINK("https://www.tiwall.com//p/smokingroom","اسموکینگ روم")</f>
        <v>اسموکینگ روم</v>
      </c>
      <c r="B151">
        <v>50</v>
      </c>
      <c r="C151" t="s">
        <v>31</v>
      </c>
      <c r="D151" t="s">
        <v>12</v>
      </c>
      <c r="E151" t="s">
        <v>88</v>
      </c>
      <c r="F151" t="s">
        <v>606</v>
      </c>
      <c r="G151" t="s">
        <v>607</v>
      </c>
      <c r="H151" t="s">
        <v>608</v>
      </c>
      <c r="I151">
        <v>3.5</v>
      </c>
      <c r="J151">
        <v>52</v>
      </c>
      <c r="K151" t="s">
        <v>609</v>
      </c>
    </row>
    <row r="152" spans="1:11" x14ac:dyDescent="0.2">
      <c r="A152" t="str">
        <f>HYPERLINK("https://www.tiwall.com//p/ghesas.jenayat","قصاص هنگام جنایت")</f>
        <v>قصاص هنگام جنایت</v>
      </c>
      <c r="B152">
        <v>35</v>
      </c>
      <c r="C152" t="s">
        <v>199</v>
      </c>
      <c r="D152" t="s">
        <v>384</v>
      </c>
      <c r="E152" t="s">
        <v>138</v>
      </c>
      <c r="F152" t="s">
        <v>610</v>
      </c>
      <c r="G152" t="s">
        <v>611</v>
      </c>
      <c r="H152" t="s">
        <v>611</v>
      </c>
      <c r="I152">
        <v>0</v>
      </c>
      <c r="J152">
        <v>0</v>
      </c>
      <c r="K152" t="s">
        <v>612</v>
      </c>
    </row>
    <row r="153" spans="1:11" x14ac:dyDescent="0.2">
      <c r="A153" t="str">
        <f>HYPERLINK("https://www.tiwall.com//p/mosafer.karbala","مسافر کربلا")</f>
        <v>مسافر کربلا</v>
      </c>
      <c r="B153">
        <v>50</v>
      </c>
      <c r="C153" t="s">
        <v>613</v>
      </c>
      <c r="D153" t="s">
        <v>87</v>
      </c>
      <c r="E153" t="s">
        <v>88</v>
      </c>
      <c r="F153" t="s">
        <v>614</v>
      </c>
      <c r="G153" t="s">
        <v>569</v>
      </c>
      <c r="H153" t="s">
        <v>569</v>
      </c>
      <c r="I153">
        <v>0</v>
      </c>
      <c r="J153">
        <v>0</v>
      </c>
      <c r="K153" t="s">
        <v>615</v>
      </c>
    </row>
    <row r="154" spans="1:11" x14ac:dyDescent="0.2">
      <c r="A154" t="str">
        <f>HYPERLINK("https://www.tiwall.com//p/shabihezendegi2","چیزی شبیه زندگی")</f>
        <v>چیزی شبیه زندگی</v>
      </c>
      <c r="B154">
        <v>70</v>
      </c>
      <c r="C154" t="s">
        <v>262</v>
      </c>
      <c r="D154" t="s">
        <v>217</v>
      </c>
      <c r="E154" t="s">
        <v>71</v>
      </c>
      <c r="F154" t="s">
        <v>286</v>
      </c>
      <c r="G154" t="s">
        <v>616</v>
      </c>
      <c r="H154" t="s">
        <v>617</v>
      </c>
      <c r="I154">
        <v>3.6</v>
      </c>
      <c r="J154">
        <v>16</v>
      </c>
      <c r="K154" t="s">
        <v>618</v>
      </c>
    </row>
    <row r="155" spans="1:11" x14ac:dyDescent="0.2">
      <c r="A155" t="str">
        <f>HYPERLINK("https://www.tiwall.com//p/kalantarekhoshghalb","سرکلانتر خوش قلب")</f>
        <v>سرکلانتر خوش قلب</v>
      </c>
      <c r="B155">
        <v>60</v>
      </c>
      <c r="C155" t="s">
        <v>44</v>
      </c>
      <c r="D155" t="s">
        <v>12</v>
      </c>
      <c r="E155" t="s">
        <v>138</v>
      </c>
      <c r="F155" t="s">
        <v>619</v>
      </c>
      <c r="G155" t="s">
        <v>620</v>
      </c>
      <c r="H155" t="s">
        <v>621</v>
      </c>
      <c r="I155">
        <v>0</v>
      </c>
      <c r="J155">
        <v>0</v>
      </c>
      <c r="K155" t="s">
        <v>622</v>
      </c>
    </row>
    <row r="156" spans="1:11" x14ac:dyDescent="0.2">
      <c r="A156" t="str">
        <f>HYPERLINK("https://www.tiwall.com//p/ahang.marg","آهنگ مرگ")</f>
        <v>آهنگ مرگ</v>
      </c>
      <c r="B156">
        <v>65</v>
      </c>
      <c r="C156" t="s">
        <v>51</v>
      </c>
      <c r="D156" t="s">
        <v>12</v>
      </c>
      <c r="E156" t="s">
        <v>26</v>
      </c>
      <c r="F156" t="s">
        <v>623</v>
      </c>
      <c r="G156" t="s">
        <v>624</v>
      </c>
      <c r="H156" t="s">
        <v>625</v>
      </c>
      <c r="I156">
        <v>0</v>
      </c>
      <c r="J156">
        <v>0</v>
      </c>
      <c r="K156" t="s">
        <v>626</v>
      </c>
    </row>
    <row r="157" spans="1:11" x14ac:dyDescent="0.2">
      <c r="A157" t="str">
        <f>HYPERLINK("https://www.tiwall.com//p/etefagh4","اتفاق")</f>
        <v>اتفاق</v>
      </c>
      <c r="B157">
        <v>50</v>
      </c>
      <c r="C157" t="s">
        <v>121</v>
      </c>
      <c r="D157" t="s">
        <v>45</v>
      </c>
      <c r="E157" t="s">
        <v>26</v>
      </c>
      <c r="F157" t="s">
        <v>40</v>
      </c>
      <c r="G157" t="s">
        <v>627</v>
      </c>
      <c r="H157" t="s">
        <v>628</v>
      </c>
      <c r="I157">
        <v>0</v>
      </c>
      <c r="J157">
        <v>0</v>
      </c>
      <c r="K157" t="s">
        <v>629</v>
      </c>
    </row>
    <row r="158" spans="1:11" x14ac:dyDescent="0.2">
      <c r="A158" t="str">
        <f>HYPERLINK("https://www.tiwall.com//p/shabi.dar.tehran3","شبی در طهران")</f>
        <v>شبی در طهران</v>
      </c>
      <c r="B158">
        <v>70</v>
      </c>
      <c r="C158" t="s">
        <v>230</v>
      </c>
      <c r="D158" t="s">
        <v>45</v>
      </c>
      <c r="E158" t="s">
        <v>13</v>
      </c>
      <c r="F158" t="s">
        <v>630</v>
      </c>
      <c r="G158" t="s">
        <v>631</v>
      </c>
      <c r="H158" t="s">
        <v>538</v>
      </c>
      <c r="I158">
        <v>3.1</v>
      </c>
      <c r="J158">
        <v>16</v>
      </c>
      <c r="K158" t="s">
        <v>632</v>
      </c>
    </row>
    <row r="159" spans="1:11" x14ac:dyDescent="0.2">
      <c r="A159" t="str">
        <f>HYPERLINK("https://www.tiwall.com//p/behesht2","بهشت")</f>
        <v>بهشت</v>
      </c>
      <c r="B159">
        <v>45</v>
      </c>
      <c r="C159" t="s">
        <v>633</v>
      </c>
      <c r="D159" t="s">
        <v>32</v>
      </c>
      <c r="E159" t="s">
        <v>175</v>
      </c>
      <c r="F159" t="s">
        <v>200</v>
      </c>
      <c r="G159" t="s">
        <v>634</v>
      </c>
      <c r="H159" t="s">
        <v>634</v>
      </c>
      <c r="I159">
        <v>0</v>
      </c>
      <c r="J159">
        <v>0</v>
      </c>
      <c r="K159" t="s">
        <v>635</v>
      </c>
    </row>
    <row r="160" spans="1:11" x14ac:dyDescent="0.2">
      <c r="A160" t="str">
        <f>HYPERLINK("https://www.tiwall.com//p/ajir.biseda2","آژیر بی صدا")</f>
        <v>آژیر بی صدا</v>
      </c>
      <c r="B160">
        <v>25</v>
      </c>
      <c r="C160" t="s">
        <v>636</v>
      </c>
      <c r="D160" t="s">
        <v>146</v>
      </c>
      <c r="E160" t="s">
        <v>475</v>
      </c>
      <c r="F160" t="s">
        <v>355</v>
      </c>
      <c r="G160" t="s">
        <v>637</v>
      </c>
      <c r="H160" t="s">
        <v>638</v>
      </c>
      <c r="I160">
        <v>0</v>
      </c>
      <c r="J160">
        <v>0</v>
      </c>
      <c r="K160" t="s">
        <v>639</v>
      </c>
    </row>
    <row r="161" spans="1:11" x14ac:dyDescent="0.2">
      <c r="A161" t="str">
        <f>HYPERLINK("https://www.tiwall.com//p/namayandeh.melat","نماینده ملت")</f>
        <v>نماینده ملت</v>
      </c>
      <c r="B161">
        <v>100</v>
      </c>
      <c r="C161" t="s">
        <v>24</v>
      </c>
      <c r="D161" t="s">
        <v>280</v>
      </c>
      <c r="E161" t="s">
        <v>26</v>
      </c>
      <c r="F161" t="s">
        <v>195</v>
      </c>
      <c r="G161" t="s">
        <v>640</v>
      </c>
      <c r="H161" t="s">
        <v>641</v>
      </c>
      <c r="I161">
        <v>4.0999999999999996</v>
      </c>
      <c r="J161">
        <v>50</v>
      </c>
      <c r="K161" t="s">
        <v>642</v>
      </c>
    </row>
    <row r="162" spans="1:11" x14ac:dyDescent="0.2">
      <c r="A162" t="str">
        <f>HYPERLINK("https://www.tiwall.com//p/zakhmemedeh","زخم معده")</f>
        <v>زخم معده</v>
      </c>
      <c r="B162">
        <v>35</v>
      </c>
      <c r="C162" t="s">
        <v>155</v>
      </c>
      <c r="D162" t="s">
        <v>87</v>
      </c>
      <c r="E162" t="s">
        <v>13</v>
      </c>
      <c r="F162" t="s">
        <v>643</v>
      </c>
      <c r="G162" t="s">
        <v>644</v>
      </c>
      <c r="H162" t="s">
        <v>644</v>
      </c>
      <c r="I162">
        <v>0</v>
      </c>
      <c r="J162">
        <v>0</v>
      </c>
      <c r="K162" t="s">
        <v>645</v>
      </c>
    </row>
    <row r="163" spans="1:11" x14ac:dyDescent="0.2">
      <c r="A163" t="str">
        <f>HYPERLINK("https://www.tiwall.com//p/faezeyousefi","فائزه یوسفی")</f>
        <v>فائزه یوسفی</v>
      </c>
      <c r="B163">
        <v>30</v>
      </c>
      <c r="C163" t="s">
        <v>383</v>
      </c>
      <c r="D163" t="s">
        <v>87</v>
      </c>
      <c r="E163" t="s">
        <v>46</v>
      </c>
      <c r="F163" t="s">
        <v>646</v>
      </c>
      <c r="G163" t="s">
        <v>585</v>
      </c>
      <c r="H163" t="s">
        <v>585</v>
      </c>
      <c r="I163">
        <v>3.1</v>
      </c>
      <c r="J163">
        <v>18</v>
      </c>
      <c r="K163" t="s">
        <v>586</v>
      </c>
    </row>
    <row r="164" spans="1:11" x14ac:dyDescent="0.2">
      <c r="A164" t="str">
        <f>HYPERLINK("https://www.tiwall.com//p/penhankhane3","پنهان خانه پنج در")</f>
        <v>پنهان خانه پنج در</v>
      </c>
      <c r="B164">
        <v>30</v>
      </c>
      <c r="C164" t="s">
        <v>369</v>
      </c>
      <c r="D164" t="s">
        <v>25</v>
      </c>
      <c r="E164" t="s">
        <v>26</v>
      </c>
      <c r="F164" t="s">
        <v>647</v>
      </c>
      <c r="G164" t="s">
        <v>648</v>
      </c>
      <c r="H164" t="s">
        <v>267</v>
      </c>
      <c r="I164">
        <v>3.9</v>
      </c>
      <c r="J164">
        <v>33</v>
      </c>
      <c r="K164" t="s">
        <v>649</v>
      </c>
    </row>
    <row r="165" spans="1:11" x14ac:dyDescent="0.2">
      <c r="A165" t="str">
        <f>HYPERLINK("https://www.tiwall.com//p/naghlesorkh3","نقل سرخ")</f>
        <v>نقل سرخ</v>
      </c>
      <c r="B165">
        <v>60</v>
      </c>
      <c r="C165" t="s">
        <v>137</v>
      </c>
      <c r="D165" t="s">
        <v>217</v>
      </c>
      <c r="E165" t="s">
        <v>138</v>
      </c>
      <c r="F165" t="s">
        <v>650</v>
      </c>
      <c r="G165" t="s">
        <v>651</v>
      </c>
      <c r="H165" t="s">
        <v>652</v>
      </c>
      <c r="I165">
        <v>0</v>
      </c>
      <c r="J165">
        <v>0</v>
      </c>
      <c r="K165" t="s">
        <v>653</v>
      </c>
    </row>
    <row r="166" spans="1:11" x14ac:dyDescent="0.2">
      <c r="A166" t="str">
        <f>HYPERLINK("https://www.tiwall.com//p/biganehdarkhaneh3","بیگانه در خانه")</f>
        <v>بیگانه در خانه</v>
      </c>
      <c r="B166">
        <v>60</v>
      </c>
      <c r="C166" t="s">
        <v>362</v>
      </c>
      <c r="D166" t="s">
        <v>146</v>
      </c>
      <c r="E166" t="s">
        <v>133</v>
      </c>
      <c r="F166" t="s">
        <v>385</v>
      </c>
      <c r="G166" t="s">
        <v>654</v>
      </c>
      <c r="H166" t="s">
        <v>654</v>
      </c>
      <c r="I166">
        <v>3</v>
      </c>
      <c r="J166">
        <v>21</v>
      </c>
      <c r="K166" t="s">
        <v>655</v>
      </c>
    </row>
    <row r="167" spans="1:11" x14ac:dyDescent="0.2">
      <c r="A167" t="str">
        <f>HYPERLINK("https://www.tiwall.com//p/metranpazh5","متران پاژ")</f>
        <v>متران پاژ</v>
      </c>
      <c r="B167">
        <v>35</v>
      </c>
      <c r="C167" t="s">
        <v>161</v>
      </c>
      <c r="D167" t="s">
        <v>65</v>
      </c>
      <c r="E167" t="s">
        <v>46</v>
      </c>
      <c r="F167" t="s">
        <v>222</v>
      </c>
      <c r="G167" t="s">
        <v>656</v>
      </c>
      <c r="H167" t="s">
        <v>657</v>
      </c>
      <c r="I167">
        <v>2.6</v>
      </c>
      <c r="J167">
        <v>5</v>
      </c>
      <c r="K167" t="s">
        <v>658</v>
      </c>
    </row>
    <row r="168" spans="1:11" x14ac:dyDescent="0.2">
      <c r="A168" t="str">
        <f>HYPERLINK("https://www.tiwall.com//p/ghese.aheste.bekhan3","این قصه را آهسته بخوان")</f>
        <v>این قصه را آهسته بخوان</v>
      </c>
      <c r="B168">
        <v>50</v>
      </c>
      <c r="C168" t="s">
        <v>199</v>
      </c>
      <c r="D168" t="s">
        <v>12</v>
      </c>
      <c r="E168" t="s">
        <v>26</v>
      </c>
      <c r="F168" t="s">
        <v>89</v>
      </c>
      <c r="G168" t="s">
        <v>659</v>
      </c>
      <c r="H168" t="s">
        <v>660</v>
      </c>
      <c r="I168">
        <v>0</v>
      </c>
      <c r="J168">
        <v>0</v>
      </c>
      <c r="K168" t="s">
        <v>661</v>
      </c>
    </row>
    <row r="169" spans="1:11" x14ac:dyDescent="0.2">
      <c r="A169" t="str">
        <f>HYPERLINK("https://www.tiwall.com//p/leopold","لئوپلد")</f>
        <v>لئوپلد</v>
      </c>
      <c r="B169">
        <v>35</v>
      </c>
      <c r="C169" t="s">
        <v>199</v>
      </c>
      <c r="D169" t="s">
        <v>146</v>
      </c>
      <c r="E169" t="s">
        <v>26</v>
      </c>
      <c r="F169" t="s">
        <v>662</v>
      </c>
      <c r="G169" t="s">
        <v>663</v>
      </c>
      <c r="H169" t="s">
        <v>663</v>
      </c>
      <c r="I169">
        <v>0</v>
      </c>
      <c r="J169">
        <v>0</v>
      </c>
      <c r="K169" t="s">
        <v>664</v>
      </c>
    </row>
    <row r="170" spans="1:11" x14ac:dyDescent="0.2">
      <c r="A170" t="str">
        <f>HYPERLINK("https://www.tiwall.com//p/noun.mosadegh","دکتر نون زنش را بیشتر از مصدق دوست دارد")</f>
        <v>دکتر نون زنش را بیشتر از مصدق دوست دارد</v>
      </c>
      <c r="B170">
        <v>100</v>
      </c>
      <c r="C170" t="s">
        <v>362</v>
      </c>
      <c r="D170" t="s">
        <v>25</v>
      </c>
      <c r="E170" t="s">
        <v>328</v>
      </c>
      <c r="F170" t="s">
        <v>345</v>
      </c>
      <c r="G170" t="s">
        <v>665</v>
      </c>
      <c r="H170" t="s">
        <v>666</v>
      </c>
      <c r="I170">
        <v>3.4</v>
      </c>
      <c r="J170">
        <v>112</v>
      </c>
      <c r="K170" t="s">
        <v>667</v>
      </c>
    </row>
    <row r="171" spans="1:11" x14ac:dyDescent="0.2">
      <c r="A171" t="str">
        <f>HYPERLINK("https://www.tiwall.com//p/cinderella6","برسد به دست سیندرلا")</f>
        <v>برسد به دست سیندرلا</v>
      </c>
      <c r="B171">
        <v>30</v>
      </c>
      <c r="C171" t="s">
        <v>383</v>
      </c>
      <c r="D171" t="s">
        <v>87</v>
      </c>
      <c r="E171" t="s">
        <v>235</v>
      </c>
      <c r="F171" t="s">
        <v>668</v>
      </c>
      <c r="G171" t="s">
        <v>669</v>
      </c>
      <c r="H171" t="s">
        <v>670</v>
      </c>
      <c r="I171">
        <v>0</v>
      </c>
      <c r="J171">
        <v>0</v>
      </c>
      <c r="K171" t="s">
        <v>671</v>
      </c>
    </row>
    <row r="172" spans="1:11" x14ac:dyDescent="0.2">
      <c r="A172" t="str">
        <f>HYPERLINK("https://www.tiwall.com//p/monodramzananeh2","مونودرام های زنانه")</f>
        <v>مونودرام های زنانه</v>
      </c>
      <c r="B172">
        <v>100</v>
      </c>
      <c r="C172" t="s">
        <v>170</v>
      </c>
      <c r="D172" t="s">
        <v>87</v>
      </c>
      <c r="E172" t="s">
        <v>13</v>
      </c>
      <c r="F172" t="s">
        <v>672</v>
      </c>
      <c r="G172" t="s">
        <v>673</v>
      </c>
      <c r="H172" t="s">
        <v>674</v>
      </c>
      <c r="I172">
        <v>0</v>
      </c>
      <c r="J172">
        <v>0</v>
      </c>
      <c r="K172" t="s">
        <v>675</v>
      </c>
    </row>
    <row r="173" spans="1:11" x14ac:dyDescent="0.2">
      <c r="A173" t="str">
        <f>HYPERLINK("https://www.tiwall.com//p/chekhvte2","چخفته")</f>
        <v>چخفته</v>
      </c>
      <c r="B173">
        <v>110</v>
      </c>
      <c r="C173" t="s">
        <v>344</v>
      </c>
      <c r="D173" t="s">
        <v>38</v>
      </c>
      <c r="E173" t="s">
        <v>26</v>
      </c>
      <c r="F173" t="s">
        <v>676</v>
      </c>
      <c r="G173" t="s">
        <v>677</v>
      </c>
      <c r="H173" t="s">
        <v>678</v>
      </c>
      <c r="I173">
        <v>0</v>
      </c>
      <c r="J173">
        <v>0</v>
      </c>
      <c r="K173" t="s">
        <v>679</v>
      </c>
    </row>
    <row r="174" spans="1:11" x14ac:dyDescent="0.2">
      <c r="A174" t="str">
        <f>HYPERLINK("https://www.tiwall.com//p/fanous2","فانوس")</f>
        <v>فانوس</v>
      </c>
      <c r="B174">
        <v>40</v>
      </c>
      <c r="C174" t="s">
        <v>137</v>
      </c>
      <c r="D174" t="s">
        <v>32</v>
      </c>
      <c r="E174" t="s">
        <v>138</v>
      </c>
      <c r="F174" t="s">
        <v>200</v>
      </c>
      <c r="G174" t="s">
        <v>680</v>
      </c>
      <c r="H174" t="s">
        <v>681</v>
      </c>
      <c r="I174">
        <v>0</v>
      </c>
      <c r="J174">
        <v>0</v>
      </c>
      <c r="K174" t="s">
        <v>682</v>
      </c>
    </row>
    <row r="175" spans="1:11" x14ac:dyDescent="0.2">
      <c r="A175" t="str">
        <f>HYPERLINK("https://www.tiwall.com//p/godofcornage10","خدای کشتار")</f>
        <v>خدای کشتار</v>
      </c>
      <c r="B175">
        <v>40</v>
      </c>
      <c r="C175" t="s">
        <v>64</v>
      </c>
      <c r="D175" t="s">
        <v>32</v>
      </c>
      <c r="E175" t="s">
        <v>19</v>
      </c>
      <c r="F175" t="s">
        <v>683</v>
      </c>
      <c r="G175" t="s">
        <v>684</v>
      </c>
      <c r="H175" t="s">
        <v>685</v>
      </c>
      <c r="I175">
        <v>0</v>
      </c>
      <c r="J175">
        <v>0</v>
      </c>
      <c r="K175" t="s">
        <v>686</v>
      </c>
    </row>
    <row r="176" spans="1:11" x14ac:dyDescent="0.2">
      <c r="A176" t="str">
        <f>HYPERLINK("https://www.tiwall.com//p/mamouli","کاملاً معمولی")</f>
        <v>کاملاً معمولی</v>
      </c>
      <c r="B176">
        <v>40</v>
      </c>
      <c r="C176" t="s">
        <v>687</v>
      </c>
      <c r="D176" t="s">
        <v>12</v>
      </c>
      <c r="E176" t="s">
        <v>303</v>
      </c>
      <c r="F176" t="s">
        <v>688</v>
      </c>
      <c r="G176" t="s">
        <v>689</v>
      </c>
      <c r="H176" t="s">
        <v>689</v>
      </c>
      <c r="I176">
        <v>0</v>
      </c>
      <c r="J176">
        <v>0</v>
      </c>
      <c r="K176" t="s">
        <v>690</v>
      </c>
    </row>
    <row r="177" spans="1:11" x14ac:dyDescent="0.2">
      <c r="A177" t="str">
        <f>HYPERLINK("https://www.tiwall.com//p/deathcompany","کمپانی مرگ")</f>
        <v>کمپانی مرگ</v>
      </c>
      <c r="B177">
        <v>25</v>
      </c>
      <c r="C177" t="s">
        <v>117</v>
      </c>
      <c r="D177" t="s">
        <v>32</v>
      </c>
      <c r="E177" t="s">
        <v>19</v>
      </c>
      <c r="F177" t="s">
        <v>691</v>
      </c>
      <c r="G177" t="s">
        <v>692</v>
      </c>
      <c r="H177" t="s">
        <v>692</v>
      </c>
      <c r="I177">
        <v>0</v>
      </c>
      <c r="J177">
        <v>0</v>
      </c>
      <c r="K177" t="s">
        <v>693</v>
      </c>
    </row>
    <row r="178" spans="1:11" x14ac:dyDescent="0.2">
      <c r="A178" t="str">
        <f>HYPERLINK("https://www.tiwall.com//p/azbiroun","از بیرون")</f>
        <v>از بیرون</v>
      </c>
      <c r="B178">
        <v>25</v>
      </c>
      <c r="C178" t="s">
        <v>137</v>
      </c>
      <c r="D178" t="s">
        <v>12</v>
      </c>
      <c r="E178" t="s">
        <v>13</v>
      </c>
      <c r="F178" t="s">
        <v>694</v>
      </c>
      <c r="G178" t="s">
        <v>58</v>
      </c>
      <c r="H178" t="s">
        <v>695</v>
      </c>
      <c r="I178">
        <v>0</v>
      </c>
      <c r="J178">
        <v>0</v>
      </c>
      <c r="K178" t="s">
        <v>696</v>
      </c>
    </row>
    <row r="179" spans="1:11" x14ac:dyDescent="0.2">
      <c r="A179" t="str">
        <f>HYPERLINK("https://www.tiwall.com//p/rasm2","رسم بر این است")</f>
        <v>رسم بر این است</v>
      </c>
      <c r="B179">
        <v>50</v>
      </c>
      <c r="C179" t="s">
        <v>224</v>
      </c>
      <c r="D179" t="s">
        <v>265</v>
      </c>
      <c r="E179" t="s">
        <v>475</v>
      </c>
      <c r="F179" t="s">
        <v>329</v>
      </c>
      <c r="G179" t="s">
        <v>697</v>
      </c>
      <c r="H179" t="s">
        <v>698</v>
      </c>
      <c r="I179">
        <v>0</v>
      </c>
      <c r="J179">
        <v>0</v>
      </c>
      <c r="K179" t="s">
        <v>699</v>
      </c>
    </row>
    <row r="180" spans="1:11" x14ac:dyDescent="0.2">
      <c r="A180" t="str">
        <f>HYPERLINK("https://www.tiwall.com//p/jankah2","جان کاه")</f>
        <v>جان کاه</v>
      </c>
      <c r="B180">
        <v>30</v>
      </c>
      <c r="C180" t="s">
        <v>369</v>
      </c>
      <c r="D180" t="s">
        <v>87</v>
      </c>
      <c r="E180" t="s">
        <v>13</v>
      </c>
      <c r="F180" t="s">
        <v>700</v>
      </c>
      <c r="G180" t="s">
        <v>701</v>
      </c>
      <c r="H180" t="s">
        <v>701</v>
      </c>
      <c r="I180">
        <v>2.4</v>
      </c>
      <c r="J180">
        <v>7</v>
      </c>
      <c r="K180" t="s">
        <v>702</v>
      </c>
    </row>
    <row r="181" spans="1:11" x14ac:dyDescent="0.2">
      <c r="A181" t="str">
        <f>HYPERLINK("https://www.tiwall.com//p/myfairlady","بانوی محبوب من")</f>
        <v>بانوی محبوب من</v>
      </c>
      <c r="B181">
        <v>90</v>
      </c>
      <c r="C181" t="s">
        <v>362</v>
      </c>
      <c r="D181" t="s">
        <v>70</v>
      </c>
      <c r="E181" t="s">
        <v>703</v>
      </c>
      <c r="F181" t="s">
        <v>536</v>
      </c>
      <c r="G181" t="s">
        <v>704</v>
      </c>
      <c r="H181" t="s">
        <v>705</v>
      </c>
      <c r="I181">
        <v>4.4000000000000004</v>
      </c>
      <c r="J181">
        <v>182</v>
      </c>
      <c r="K181" t="s">
        <v>706</v>
      </c>
    </row>
    <row r="182" spans="1:11" x14ac:dyDescent="0.2">
      <c r="A182" t="str">
        <f>HYPERLINK("https://www.tiwall.com//p/behaminsadegi4","به همین سادگی")</f>
        <v>به همین سادگی</v>
      </c>
      <c r="B182">
        <v>30</v>
      </c>
      <c r="C182" t="s">
        <v>64</v>
      </c>
      <c r="D182" t="s">
        <v>65</v>
      </c>
      <c r="E182" t="s">
        <v>26</v>
      </c>
      <c r="F182" t="s">
        <v>707</v>
      </c>
      <c r="G182" t="s">
        <v>708</v>
      </c>
      <c r="H182" t="s">
        <v>663</v>
      </c>
      <c r="I182">
        <v>0</v>
      </c>
      <c r="J182">
        <v>0</v>
      </c>
      <c r="K182" t="s">
        <v>709</v>
      </c>
    </row>
    <row r="183" spans="1:11" x14ac:dyDescent="0.2">
      <c r="A183" t="str">
        <f>HYPERLINK("https://www.tiwall.com//p/majhool","مجهول")</f>
        <v>مجهول</v>
      </c>
      <c r="B183">
        <v>45</v>
      </c>
      <c r="C183" t="s">
        <v>155</v>
      </c>
      <c r="D183" t="s">
        <v>470</v>
      </c>
      <c r="E183" t="s">
        <v>194</v>
      </c>
      <c r="F183" t="s">
        <v>710</v>
      </c>
      <c r="G183" t="s">
        <v>711</v>
      </c>
      <c r="H183" t="s">
        <v>711</v>
      </c>
      <c r="I183">
        <v>0</v>
      </c>
      <c r="J183">
        <v>0</v>
      </c>
      <c r="K183" t="s">
        <v>712</v>
      </c>
    </row>
    <row r="184" spans="1:11" x14ac:dyDescent="0.2">
      <c r="A184" t="str">
        <f>HYPERLINK("https://www.tiwall.com//p/sokot.avazekhan","سکوت آوازخوان")</f>
        <v>سکوت آوازخوان</v>
      </c>
      <c r="B184">
        <v>80</v>
      </c>
      <c r="C184" t="s">
        <v>713</v>
      </c>
      <c r="D184" t="s">
        <v>256</v>
      </c>
      <c r="E184" t="s">
        <v>208</v>
      </c>
      <c r="F184" t="s">
        <v>176</v>
      </c>
      <c r="G184" t="s">
        <v>714</v>
      </c>
      <c r="H184" t="s">
        <v>715</v>
      </c>
      <c r="I184">
        <v>0</v>
      </c>
      <c r="J184">
        <v>0</v>
      </c>
      <c r="K184" t="s">
        <v>716</v>
      </c>
    </row>
    <row r="185" spans="1:11" x14ac:dyDescent="0.2">
      <c r="A185" t="str">
        <f>HYPERLINK("https://www.tiwall.com//p/bisahab","بی صاحاب")</f>
        <v>بی صاحاب</v>
      </c>
      <c r="B185">
        <v>70</v>
      </c>
      <c r="C185" t="s">
        <v>132</v>
      </c>
      <c r="D185" t="s">
        <v>146</v>
      </c>
      <c r="E185" t="s">
        <v>19</v>
      </c>
      <c r="F185" t="s">
        <v>650</v>
      </c>
      <c r="G185" t="s">
        <v>717</v>
      </c>
      <c r="H185" t="s">
        <v>717</v>
      </c>
      <c r="I185">
        <v>3.9</v>
      </c>
      <c r="J185">
        <v>13</v>
      </c>
      <c r="K185" t="s">
        <v>718</v>
      </c>
    </row>
    <row r="186" spans="1:11" x14ac:dyDescent="0.2">
      <c r="A186" t="str">
        <f>HYPERLINK("https://www.tiwall.com//p/shak2","شک")</f>
        <v>شک</v>
      </c>
      <c r="B186">
        <v>40</v>
      </c>
      <c r="C186" t="s">
        <v>204</v>
      </c>
      <c r="D186" t="s">
        <v>65</v>
      </c>
      <c r="E186" t="s">
        <v>13</v>
      </c>
      <c r="F186" t="s">
        <v>643</v>
      </c>
      <c r="G186" t="s">
        <v>719</v>
      </c>
      <c r="H186" t="s">
        <v>301</v>
      </c>
      <c r="I186">
        <v>0</v>
      </c>
      <c r="J186">
        <v>0</v>
      </c>
      <c r="K186" t="s">
        <v>720</v>
      </c>
    </row>
    <row r="187" spans="1:11" x14ac:dyDescent="0.2">
      <c r="A187" t="str">
        <f>HYPERLINK("https://www.tiwall.com//p/shab.jenayatkaran","شب جنایتکاران")</f>
        <v>شب جنایتکاران</v>
      </c>
      <c r="B187">
        <v>50</v>
      </c>
      <c r="C187" t="s">
        <v>24</v>
      </c>
      <c r="D187" t="s">
        <v>25</v>
      </c>
      <c r="E187" t="s">
        <v>88</v>
      </c>
      <c r="F187" t="s">
        <v>721</v>
      </c>
      <c r="G187" t="s">
        <v>722</v>
      </c>
      <c r="H187" t="s">
        <v>723</v>
      </c>
      <c r="I187">
        <v>3.4</v>
      </c>
      <c r="J187">
        <v>21</v>
      </c>
      <c r="K187" t="s">
        <v>724</v>
      </c>
    </row>
    <row r="188" spans="1:11" x14ac:dyDescent="0.2">
      <c r="A188" t="str">
        <f>HYPERLINK("https://www.tiwall.com//p/doroughziba","یک دروغ زیبا")</f>
        <v>یک دروغ زیبا</v>
      </c>
      <c r="B188">
        <v>35</v>
      </c>
      <c r="C188" t="s">
        <v>81</v>
      </c>
      <c r="D188" t="s">
        <v>32</v>
      </c>
      <c r="E188" t="s">
        <v>138</v>
      </c>
      <c r="F188" t="s">
        <v>725</v>
      </c>
      <c r="G188" t="s">
        <v>726</v>
      </c>
      <c r="H188" t="s">
        <v>577</v>
      </c>
      <c r="I188">
        <v>0</v>
      </c>
      <c r="J188">
        <v>0</v>
      </c>
      <c r="K188" t="s">
        <v>727</v>
      </c>
    </row>
    <row r="189" spans="1:11" x14ac:dyDescent="0.2">
      <c r="A189" t="str">
        <f>HYPERLINK("https://www.tiwall.com//p/avazhaye.khaste","آوازهای خسته")</f>
        <v>آوازهای خسته</v>
      </c>
      <c r="B189">
        <v>25</v>
      </c>
      <c r="C189" t="s">
        <v>728</v>
      </c>
      <c r="D189" t="s">
        <v>32</v>
      </c>
      <c r="E189" t="s">
        <v>46</v>
      </c>
      <c r="F189" t="s">
        <v>281</v>
      </c>
      <c r="G189" t="s">
        <v>729</v>
      </c>
      <c r="H189" t="s">
        <v>730</v>
      </c>
      <c r="I189">
        <v>0</v>
      </c>
      <c r="J189">
        <v>0</v>
      </c>
      <c r="K189" t="s">
        <v>731</v>
      </c>
    </row>
    <row r="190" spans="1:11" x14ac:dyDescent="0.2">
      <c r="A190" t="str">
        <f>HYPERLINK("https://www.tiwall.com//p/chashmhayebasteh3","چشم های بسته از خواب")</f>
        <v>چشم های بسته از خواب</v>
      </c>
      <c r="B190">
        <v>20</v>
      </c>
      <c r="C190" t="s">
        <v>383</v>
      </c>
      <c r="D190" t="s">
        <v>146</v>
      </c>
      <c r="E190" t="s">
        <v>194</v>
      </c>
      <c r="F190" t="s">
        <v>732</v>
      </c>
      <c r="G190" t="s">
        <v>733</v>
      </c>
      <c r="H190" t="s">
        <v>538</v>
      </c>
      <c r="I190">
        <v>0</v>
      </c>
      <c r="J190">
        <v>0</v>
      </c>
      <c r="K190" t="s">
        <v>734</v>
      </c>
    </row>
    <row r="191" spans="1:11" x14ac:dyDescent="0.2">
      <c r="A191" t="str">
        <f>HYPERLINK("https://www.tiwall.com//p/mamour","مأمور")</f>
        <v>مأمور</v>
      </c>
      <c r="B191">
        <v>30</v>
      </c>
      <c r="C191" t="s">
        <v>735</v>
      </c>
      <c r="D191" t="s">
        <v>12</v>
      </c>
      <c r="E191" t="s">
        <v>138</v>
      </c>
      <c r="F191" t="s">
        <v>736</v>
      </c>
      <c r="G191" t="s">
        <v>737</v>
      </c>
      <c r="H191" t="s">
        <v>737</v>
      </c>
      <c r="I191">
        <v>0</v>
      </c>
      <c r="J191">
        <v>0</v>
      </c>
      <c r="K191" t="s">
        <v>738</v>
      </c>
    </row>
    <row r="192" spans="1:11" x14ac:dyDescent="0.2">
      <c r="A192" t="str">
        <f>HYPERLINK("https://www.tiwall.com//p/koluchehjaduei2","کلوچه جادویی")</f>
        <v>کلوچه جادویی</v>
      </c>
      <c r="B192">
        <v>40</v>
      </c>
      <c r="C192" t="s">
        <v>739</v>
      </c>
      <c r="D192" t="s">
        <v>12</v>
      </c>
      <c r="E192" t="s">
        <v>138</v>
      </c>
      <c r="F192" t="s">
        <v>740</v>
      </c>
      <c r="G192" t="s">
        <v>741</v>
      </c>
      <c r="H192" t="s">
        <v>742</v>
      </c>
      <c r="I192">
        <v>0</v>
      </c>
      <c r="J192">
        <v>0</v>
      </c>
      <c r="K192" t="s">
        <v>743</v>
      </c>
    </row>
    <row r="193" spans="1:11" x14ac:dyDescent="0.2">
      <c r="A193" t="str">
        <f>HYPERLINK("https://www.tiwall.com//p/zendegi.roya","زندگی یک رؤیاست")</f>
        <v>زندگی یک رؤیاست</v>
      </c>
      <c r="B193">
        <v>30</v>
      </c>
      <c r="C193" t="s">
        <v>64</v>
      </c>
      <c r="D193" t="s">
        <v>45</v>
      </c>
      <c r="E193" t="s">
        <v>26</v>
      </c>
      <c r="F193" t="s">
        <v>744</v>
      </c>
      <c r="G193" t="s">
        <v>745</v>
      </c>
      <c r="H193" t="s">
        <v>746</v>
      </c>
      <c r="I193">
        <v>0</v>
      </c>
      <c r="J193">
        <v>0</v>
      </c>
      <c r="K193" t="s">
        <v>747</v>
      </c>
    </row>
    <row r="194" spans="1:11" x14ac:dyDescent="0.2">
      <c r="A194" t="str">
        <f>HYPERLINK("https://www.tiwall.com//p/vachanddastanedigar4","و چند داستان دیگر")</f>
        <v>و چند داستان دیگر</v>
      </c>
      <c r="B194">
        <v>55</v>
      </c>
      <c r="C194" t="s">
        <v>591</v>
      </c>
      <c r="D194" t="s">
        <v>146</v>
      </c>
      <c r="E194" t="s">
        <v>303</v>
      </c>
      <c r="F194" t="s">
        <v>502</v>
      </c>
      <c r="G194" t="s">
        <v>748</v>
      </c>
      <c r="H194" t="s">
        <v>749</v>
      </c>
      <c r="I194">
        <v>0</v>
      </c>
      <c r="J194">
        <v>0</v>
      </c>
      <c r="K194" t="s">
        <v>750</v>
      </c>
    </row>
    <row r="195" spans="1:11" x14ac:dyDescent="0.2">
      <c r="A195" t="str">
        <f>HYPERLINK("https://www.tiwall.com//p/naan3","نان")</f>
        <v>نان</v>
      </c>
      <c r="B195">
        <v>60</v>
      </c>
      <c r="C195" t="s">
        <v>60</v>
      </c>
      <c r="D195" t="s">
        <v>217</v>
      </c>
      <c r="E195" t="s">
        <v>303</v>
      </c>
      <c r="F195" t="s">
        <v>751</v>
      </c>
      <c r="G195" t="s">
        <v>376</v>
      </c>
      <c r="H195" t="s">
        <v>376</v>
      </c>
      <c r="I195">
        <v>3.2</v>
      </c>
      <c r="J195">
        <v>35</v>
      </c>
      <c r="K195" t="s">
        <v>752</v>
      </c>
    </row>
    <row r="196" spans="1:11" x14ac:dyDescent="0.2">
      <c r="A196" t="str">
        <f>HYPERLINK("https://www.tiwall.com//p/roobah.shekari","روباه شکاری")</f>
        <v>روباه شکاری</v>
      </c>
      <c r="B196">
        <v>80</v>
      </c>
      <c r="C196" t="s">
        <v>170</v>
      </c>
      <c r="D196" t="s">
        <v>12</v>
      </c>
      <c r="E196" t="s">
        <v>26</v>
      </c>
      <c r="F196" t="s">
        <v>753</v>
      </c>
      <c r="G196" t="s">
        <v>754</v>
      </c>
      <c r="H196" t="s">
        <v>755</v>
      </c>
      <c r="I196">
        <v>0</v>
      </c>
      <c r="J196">
        <v>0</v>
      </c>
      <c r="K196" t="s">
        <v>756</v>
      </c>
    </row>
    <row r="197" spans="1:11" x14ac:dyDescent="0.2">
      <c r="A197" t="str">
        <f>HYPERLINK("https://www.tiwall.com//p/soetafahom16","سوءتفاهم")</f>
        <v>سوءتفاهم</v>
      </c>
      <c r="B197">
        <v>50</v>
      </c>
      <c r="C197" t="s">
        <v>121</v>
      </c>
      <c r="D197" t="s">
        <v>12</v>
      </c>
      <c r="E197" t="s">
        <v>26</v>
      </c>
      <c r="F197" t="s">
        <v>623</v>
      </c>
      <c r="G197" t="s">
        <v>757</v>
      </c>
      <c r="H197" t="s">
        <v>758</v>
      </c>
      <c r="I197">
        <v>3.6</v>
      </c>
      <c r="J197">
        <v>9</v>
      </c>
      <c r="K197" t="s">
        <v>759</v>
      </c>
    </row>
    <row r="198" spans="1:11" x14ac:dyDescent="0.2">
      <c r="A198" t="str">
        <f>HYPERLINK("https://www.tiwall.com//p/baghal2","بَغَل")</f>
        <v>بَغَل</v>
      </c>
      <c r="B198">
        <v>70</v>
      </c>
      <c r="C198" t="s">
        <v>31</v>
      </c>
      <c r="D198" t="s">
        <v>87</v>
      </c>
      <c r="E198" t="s">
        <v>194</v>
      </c>
      <c r="F198" t="s">
        <v>760</v>
      </c>
      <c r="G198" t="s">
        <v>761</v>
      </c>
      <c r="H198" t="s">
        <v>762</v>
      </c>
      <c r="I198">
        <v>2.9</v>
      </c>
      <c r="J198">
        <v>26</v>
      </c>
      <c r="K198" t="s">
        <v>763</v>
      </c>
    </row>
    <row r="199" spans="1:11" x14ac:dyDescent="0.2">
      <c r="A199" t="str">
        <f>HYPERLINK("https://www.tiwall.com//p/screenshot2","اسکرین شات")</f>
        <v>اسکرین شات</v>
      </c>
      <c r="B199">
        <v>110</v>
      </c>
      <c r="C199" t="s">
        <v>24</v>
      </c>
      <c r="D199" t="s">
        <v>38</v>
      </c>
      <c r="E199" t="s">
        <v>13</v>
      </c>
      <c r="F199" t="s">
        <v>764</v>
      </c>
      <c r="G199" t="s">
        <v>765</v>
      </c>
      <c r="H199" t="s">
        <v>766</v>
      </c>
      <c r="I199">
        <v>0</v>
      </c>
      <c r="J199">
        <v>0</v>
      </c>
      <c r="K199" t="s">
        <v>767</v>
      </c>
    </row>
    <row r="200" spans="1:11" x14ac:dyDescent="0.2">
      <c r="A200" t="str">
        <f>HYPERLINK("https://www.tiwall.com//p/sarbazkhune","سربازخونه")</f>
        <v>سربازخونه</v>
      </c>
      <c r="B200">
        <v>40</v>
      </c>
      <c r="C200" t="s">
        <v>81</v>
      </c>
      <c r="D200" t="s">
        <v>12</v>
      </c>
      <c r="E200" t="s">
        <v>235</v>
      </c>
      <c r="F200" t="s">
        <v>623</v>
      </c>
      <c r="G200" t="s">
        <v>768</v>
      </c>
      <c r="H200" t="s">
        <v>769</v>
      </c>
      <c r="I200">
        <v>0</v>
      </c>
      <c r="J200">
        <v>0</v>
      </c>
      <c r="K200" t="s">
        <v>770</v>
      </c>
    </row>
    <row r="201" spans="1:11" x14ac:dyDescent="0.2">
      <c r="A201" t="str">
        <f>HYPERLINK("https://www.tiwall.com//p/bichera.zendegan","بی چرا زندگان")</f>
        <v>بی چرا زندگان</v>
      </c>
      <c r="B201">
        <v>60</v>
      </c>
      <c r="C201" t="s">
        <v>151</v>
      </c>
      <c r="D201" t="s">
        <v>217</v>
      </c>
      <c r="E201" t="s">
        <v>19</v>
      </c>
      <c r="F201" t="s">
        <v>771</v>
      </c>
      <c r="G201" t="s">
        <v>772</v>
      </c>
      <c r="H201" t="s">
        <v>773</v>
      </c>
      <c r="I201">
        <v>4</v>
      </c>
      <c r="J201">
        <v>87</v>
      </c>
      <c r="K201" t="s">
        <v>774</v>
      </c>
    </row>
    <row r="202" spans="1:11" x14ac:dyDescent="0.2">
      <c r="A202" t="str">
        <f>HYPERLINK("https://www.tiwall.com//p/kalbodshekafi2","کالبدشکافی یک ذهن")</f>
        <v>کالبدشکافی یک ذهن</v>
      </c>
      <c r="B202">
        <v>60</v>
      </c>
      <c r="C202" t="s">
        <v>230</v>
      </c>
      <c r="D202" t="s">
        <v>32</v>
      </c>
      <c r="E202" t="s">
        <v>26</v>
      </c>
      <c r="F202" t="s">
        <v>775</v>
      </c>
      <c r="G202" t="s">
        <v>776</v>
      </c>
      <c r="H202" t="s">
        <v>776</v>
      </c>
      <c r="I202">
        <v>0</v>
      </c>
      <c r="J202">
        <v>0</v>
      </c>
      <c r="K202" t="s">
        <v>777</v>
      </c>
    </row>
    <row r="203" spans="1:11" x14ac:dyDescent="0.2">
      <c r="A203" t="str">
        <f>HYPERLINK("https://www.tiwall.com//p/taoun2","تااون")</f>
        <v>تااون</v>
      </c>
      <c r="B203">
        <v>80</v>
      </c>
      <c r="C203" t="s">
        <v>344</v>
      </c>
      <c r="D203" t="s">
        <v>217</v>
      </c>
      <c r="E203" t="s">
        <v>19</v>
      </c>
      <c r="F203" t="s">
        <v>778</v>
      </c>
      <c r="G203" t="s">
        <v>779</v>
      </c>
      <c r="H203" t="s">
        <v>779</v>
      </c>
      <c r="I203">
        <v>4.2</v>
      </c>
      <c r="J203">
        <v>71</v>
      </c>
      <c r="K203" t="s">
        <v>780</v>
      </c>
    </row>
    <row r="204" spans="1:11" x14ac:dyDescent="0.2">
      <c r="A204" t="str">
        <f>HYPERLINK("https://www.tiwall.com//p/florina","فلورینا فلوسی")</f>
        <v>فلورینا فلوسی</v>
      </c>
      <c r="B204">
        <v>75</v>
      </c>
      <c r="C204" t="s">
        <v>103</v>
      </c>
      <c r="D204" t="s">
        <v>65</v>
      </c>
      <c r="E204" t="s">
        <v>13</v>
      </c>
      <c r="F204" t="s">
        <v>314</v>
      </c>
      <c r="G204" t="s">
        <v>781</v>
      </c>
      <c r="H204" t="s">
        <v>781</v>
      </c>
      <c r="I204">
        <v>3.9</v>
      </c>
      <c r="J204">
        <v>50</v>
      </c>
      <c r="K204" t="s">
        <v>782</v>
      </c>
    </row>
    <row r="205" spans="1:11" x14ac:dyDescent="0.2">
      <c r="A205" t="str">
        <f>HYPERLINK("https://www.tiwall.com//p/cherk2","چرک")</f>
        <v>چرک</v>
      </c>
      <c r="B205">
        <v>40</v>
      </c>
      <c r="C205" t="s">
        <v>24</v>
      </c>
      <c r="D205" t="s">
        <v>87</v>
      </c>
      <c r="E205" t="s">
        <v>235</v>
      </c>
      <c r="F205" t="s">
        <v>732</v>
      </c>
      <c r="G205" t="s">
        <v>783</v>
      </c>
      <c r="H205" t="s">
        <v>783</v>
      </c>
      <c r="I205">
        <v>0</v>
      </c>
      <c r="J205">
        <v>0</v>
      </c>
      <c r="K205" t="s">
        <v>784</v>
      </c>
    </row>
    <row r="206" spans="1:11" x14ac:dyDescent="0.2">
      <c r="A206" t="str">
        <f>HYPERLINK("https://www.tiwall.com//p/sangkaghazgheychi","سنگ کاغذ قیچی")</f>
        <v>سنگ کاغذ قیچی</v>
      </c>
      <c r="B206">
        <v>70</v>
      </c>
      <c r="C206" t="s">
        <v>501</v>
      </c>
      <c r="D206" t="s">
        <v>256</v>
      </c>
      <c r="E206" t="s">
        <v>88</v>
      </c>
      <c r="F206" t="s">
        <v>188</v>
      </c>
      <c r="G206" t="s">
        <v>785</v>
      </c>
      <c r="H206" t="s">
        <v>785</v>
      </c>
      <c r="I206">
        <v>3.7</v>
      </c>
      <c r="J206">
        <v>13</v>
      </c>
      <c r="K206" t="s">
        <v>786</v>
      </c>
    </row>
    <row r="207" spans="1:11" x14ac:dyDescent="0.2">
      <c r="A207" t="str">
        <f>HYPERLINK("https://www.tiwall.com//p/baghealbalou5","باغ آلبالو")</f>
        <v>باغ آلبالو</v>
      </c>
      <c r="B207">
        <v>35</v>
      </c>
      <c r="C207" t="s">
        <v>199</v>
      </c>
      <c r="D207" t="s">
        <v>12</v>
      </c>
      <c r="E207" t="s">
        <v>303</v>
      </c>
      <c r="F207" t="s">
        <v>787</v>
      </c>
      <c r="G207" t="s">
        <v>788</v>
      </c>
      <c r="H207" t="s">
        <v>352</v>
      </c>
      <c r="I207">
        <v>3.5</v>
      </c>
      <c r="J207">
        <v>6</v>
      </c>
      <c r="K207" t="s">
        <v>789</v>
      </c>
    </row>
    <row r="208" spans="1:11" x14ac:dyDescent="0.2">
      <c r="A208" t="str">
        <f>HYPERLINK("https://www.tiwall.com//p/chopan","چوپان")</f>
        <v>چوپان</v>
      </c>
      <c r="B208">
        <v>100</v>
      </c>
      <c r="C208" t="s">
        <v>790</v>
      </c>
      <c r="D208" t="s">
        <v>45</v>
      </c>
      <c r="E208" t="s">
        <v>13</v>
      </c>
      <c r="F208" t="s">
        <v>317</v>
      </c>
      <c r="G208" t="s">
        <v>791</v>
      </c>
      <c r="H208" t="s">
        <v>791</v>
      </c>
      <c r="I208">
        <v>0</v>
      </c>
      <c r="J208">
        <v>0</v>
      </c>
      <c r="K208" t="s">
        <v>792</v>
      </c>
    </row>
    <row r="209" spans="1:11" x14ac:dyDescent="0.2">
      <c r="A209" t="str">
        <f>HYPERLINK("https://www.tiwall.com//p/azhdehak8","اژدهاک")</f>
        <v>اژدهاک</v>
      </c>
      <c r="B209">
        <v>50</v>
      </c>
      <c r="C209" t="s">
        <v>117</v>
      </c>
      <c r="D209" t="s">
        <v>12</v>
      </c>
      <c r="E209" t="s">
        <v>415</v>
      </c>
      <c r="F209" t="s">
        <v>555</v>
      </c>
      <c r="G209" t="s">
        <v>793</v>
      </c>
      <c r="H209" t="s">
        <v>793</v>
      </c>
      <c r="I209">
        <v>0</v>
      </c>
      <c r="J209">
        <v>0</v>
      </c>
      <c r="K209" t="s">
        <v>794</v>
      </c>
    </row>
    <row r="210" spans="1:11" x14ac:dyDescent="0.2">
      <c r="A210" t="str">
        <f>HYPERLINK("https://www.tiwall.com//p/stranger4","غریبه")</f>
        <v>غریبه</v>
      </c>
      <c r="B210">
        <v>20</v>
      </c>
      <c r="C210" t="s">
        <v>242</v>
      </c>
      <c r="D210" t="s">
        <v>87</v>
      </c>
      <c r="E210" t="s">
        <v>138</v>
      </c>
      <c r="F210" t="s">
        <v>795</v>
      </c>
      <c r="G210" t="s">
        <v>796</v>
      </c>
      <c r="H210" t="s">
        <v>797</v>
      </c>
      <c r="I210">
        <v>0</v>
      </c>
      <c r="J210">
        <v>0</v>
      </c>
      <c r="K210" t="s">
        <v>798</v>
      </c>
    </row>
    <row r="211" spans="1:11" x14ac:dyDescent="0.2">
      <c r="A211" t="str">
        <f>HYPERLINK("https://www.tiwall.com//p/tamamebisimha2","۱۴ نوامبر ۱۹۱۷ تمام بیسیم ها...")</f>
        <v>۱۴ نوامبر ۱۹۱۷ تمام بیسیم ها...</v>
      </c>
      <c r="B211">
        <v>45</v>
      </c>
      <c r="C211" t="s">
        <v>86</v>
      </c>
      <c r="D211" t="s">
        <v>799</v>
      </c>
      <c r="E211" t="s">
        <v>13</v>
      </c>
      <c r="F211" t="s">
        <v>800</v>
      </c>
      <c r="G211" t="s">
        <v>801</v>
      </c>
      <c r="H211" t="s">
        <v>801</v>
      </c>
      <c r="I211">
        <v>0</v>
      </c>
      <c r="J211">
        <v>0</v>
      </c>
      <c r="K211" t="s">
        <v>801</v>
      </c>
    </row>
    <row r="212" spans="1:11" x14ac:dyDescent="0.2">
      <c r="A212" t="str">
        <f>HYPERLINK("https://www.tiwall.com//p/royayelakerangi","رویای لاک رنگی")</f>
        <v>رویای لاک رنگی</v>
      </c>
      <c r="B212">
        <v>20</v>
      </c>
      <c r="C212" t="s">
        <v>137</v>
      </c>
      <c r="D212" t="s">
        <v>12</v>
      </c>
      <c r="E212" t="s">
        <v>46</v>
      </c>
      <c r="F212" t="s">
        <v>802</v>
      </c>
      <c r="G212" t="s">
        <v>803</v>
      </c>
      <c r="H212" t="s">
        <v>804</v>
      </c>
      <c r="I212">
        <v>0</v>
      </c>
      <c r="J212">
        <v>0</v>
      </c>
      <c r="K212" t="s">
        <v>805</v>
      </c>
    </row>
    <row r="213" spans="1:11" x14ac:dyDescent="0.2">
      <c r="A213" t="str">
        <f>HYPERLINK("https://www.tiwall.com//p/antipod","آنتی پُد")</f>
        <v>آنتی پُد</v>
      </c>
      <c r="B213">
        <v>75</v>
      </c>
      <c r="C213" t="s">
        <v>44</v>
      </c>
      <c r="D213" t="s">
        <v>12</v>
      </c>
      <c r="E213" t="s">
        <v>13</v>
      </c>
      <c r="F213" t="s">
        <v>314</v>
      </c>
      <c r="G213" t="s">
        <v>806</v>
      </c>
      <c r="H213" t="s">
        <v>806</v>
      </c>
      <c r="I213">
        <v>3.2</v>
      </c>
      <c r="J213">
        <v>5</v>
      </c>
      <c r="K213" t="s">
        <v>807</v>
      </c>
    </row>
    <row r="214" spans="1:11" x14ac:dyDescent="0.2">
      <c r="A214" t="str">
        <f>HYPERLINK("https://www.tiwall.com//p/father3","پدر")</f>
        <v>پدر</v>
      </c>
      <c r="B214">
        <v>150</v>
      </c>
      <c r="C214" t="s">
        <v>362</v>
      </c>
      <c r="D214" t="s">
        <v>217</v>
      </c>
      <c r="E214" t="s">
        <v>303</v>
      </c>
      <c r="F214" t="s">
        <v>619</v>
      </c>
      <c r="G214" t="s">
        <v>808</v>
      </c>
      <c r="H214" t="s">
        <v>91</v>
      </c>
      <c r="I214">
        <v>3.6</v>
      </c>
      <c r="J214">
        <v>101</v>
      </c>
      <c r="K214" t="s">
        <v>809</v>
      </c>
    </row>
    <row r="215" spans="1:11" x14ac:dyDescent="0.2">
      <c r="A215" t="str">
        <f>HYPERLINK("https://www.tiwall.com//p/mehmansaraye.dodonya19","مهمانسرای دو دنیا")</f>
        <v>مهمانسرای دو دنیا</v>
      </c>
      <c r="B215">
        <v>50</v>
      </c>
      <c r="C215" t="s">
        <v>44</v>
      </c>
      <c r="D215" t="s">
        <v>12</v>
      </c>
      <c r="E215" t="s">
        <v>26</v>
      </c>
      <c r="F215" t="s">
        <v>480</v>
      </c>
      <c r="G215" t="s">
        <v>810</v>
      </c>
      <c r="H215" t="s">
        <v>438</v>
      </c>
      <c r="I215">
        <v>0</v>
      </c>
      <c r="J215">
        <v>0</v>
      </c>
      <c r="K215" t="s">
        <v>811</v>
      </c>
    </row>
    <row r="216" spans="1:11" x14ac:dyDescent="0.2">
      <c r="A216" t="str">
        <f>HYPERLINK("https://www.tiwall.com//p/aramesh.dar.calamity","آرامش در کالمیتی")</f>
        <v>آرامش در کالمیتی</v>
      </c>
      <c r="B216">
        <v>70</v>
      </c>
      <c r="C216" t="s">
        <v>117</v>
      </c>
      <c r="D216" t="s">
        <v>45</v>
      </c>
      <c r="E216" t="s">
        <v>138</v>
      </c>
      <c r="F216" t="s">
        <v>812</v>
      </c>
      <c r="G216" t="s">
        <v>813</v>
      </c>
      <c r="H216" t="s">
        <v>814</v>
      </c>
      <c r="I216">
        <v>0</v>
      </c>
      <c r="J216">
        <v>0</v>
      </c>
      <c r="K216" t="s">
        <v>815</v>
      </c>
    </row>
    <row r="217" spans="1:11" x14ac:dyDescent="0.2">
      <c r="A217" t="str">
        <f>HYPERLINK("https://www.tiwall.com//p/khabar.adam","خبری نیست آدم ساده")</f>
        <v>خبری نیست آدم ساده</v>
      </c>
      <c r="B217">
        <v>100</v>
      </c>
      <c r="C217" t="s">
        <v>11</v>
      </c>
      <c r="D217" t="s">
        <v>799</v>
      </c>
      <c r="E217" t="s">
        <v>19</v>
      </c>
      <c r="F217" t="s">
        <v>816</v>
      </c>
      <c r="G217" t="s">
        <v>817</v>
      </c>
      <c r="H217" t="s">
        <v>817</v>
      </c>
      <c r="I217">
        <v>0</v>
      </c>
      <c r="J217">
        <v>0</v>
      </c>
      <c r="K217" t="s">
        <v>818</v>
      </c>
    </row>
    <row r="218" spans="1:11" x14ac:dyDescent="0.2">
      <c r="A218" t="str">
        <f>HYPERLINK("https://www.tiwall.com//p/hioshima","هیوشیما")</f>
        <v>هیوشیما</v>
      </c>
      <c r="B218">
        <v>40</v>
      </c>
      <c r="C218" t="s">
        <v>369</v>
      </c>
      <c r="D218" t="s">
        <v>217</v>
      </c>
      <c r="E218" t="s">
        <v>71</v>
      </c>
      <c r="F218" t="s">
        <v>584</v>
      </c>
      <c r="G218" t="s">
        <v>819</v>
      </c>
      <c r="H218" t="s">
        <v>819</v>
      </c>
      <c r="I218">
        <v>3.2</v>
      </c>
      <c r="J218">
        <v>72</v>
      </c>
      <c r="K218" t="s">
        <v>820</v>
      </c>
    </row>
    <row r="219" spans="1:11" x14ac:dyDescent="0.2">
      <c r="A219" t="str">
        <f>HYPERLINK("https://www.tiwall.com//p/ballistic.wound5","بالستیک زخم")</f>
        <v>بالستیک زخم</v>
      </c>
      <c r="B219">
        <v>35</v>
      </c>
      <c r="C219" t="s">
        <v>821</v>
      </c>
      <c r="D219" t="s">
        <v>12</v>
      </c>
      <c r="E219" t="s">
        <v>26</v>
      </c>
      <c r="F219" t="s">
        <v>822</v>
      </c>
      <c r="G219" t="s">
        <v>823</v>
      </c>
      <c r="H219" t="s">
        <v>749</v>
      </c>
      <c r="I219">
        <v>0</v>
      </c>
      <c r="J219">
        <v>0</v>
      </c>
      <c r="K219" t="s">
        <v>824</v>
      </c>
    </row>
    <row r="220" spans="1:11" x14ac:dyDescent="0.2">
      <c r="A220" t="str">
        <f>HYPERLINK("https://www.tiwall.com//p/loutimostafa","لوطی مصطفی")</f>
        <v>لوطی مصطفی</v>
      </c>
      <c r="B220">
        <v>20</v>
      </c>
      <c r="C220" t="s">
        <v>825</v>
      </c>
      <c r="D220" t="s">
        <v>217</v>
      </c>
      <c r="E220" t="s">
        <v>39</v>
      </c>
      <c r="F220" t="s">
        <v>826</v>
      </c>
      <c r="G220" t="s">
        <v>827</v>
      </c>
      <c r="H220" t="s">
        <v>827</v>
      </c>
      <c r="I220">
        <v>0</v>
      </c>
      <c r="J220">
        <v>0</v>
      </c>
      <c r="K220" t="s">
        <v>828</v>
      </c>
    </row>
    <row r="221" spans="1:11" x14ac:dyDescent="0.2">
      <c r="A221" t="str">
        <f>HYPERLINK("https://www.tiwall.com//p/kalepookha24","کله پوک ها")</f>
        <v>کله پوک ها</v>
      </c>
      <c r="B221">
        <v>70</v>
      </c>
      <c r="C221" t="s">
        <v>224</v>
      </c>
      <c r="D221" t="s">
        <v>12</v>
      </c>
      <c r="E221" t="s">
        <v>71</v>
      </c>
      <c r="F221" t="s">
        <v>829</v>
      </c>
      <c r="G221" t="s">
        <v>830</v>
      </c>
      <c r="H221" t="s">
        <v>183</v>
      </c>
      <c r="I221">
        <v>4</v>
      </c>
      <c r="J221">
        <v>10</v>
      </c>
      <c r="K221" t="s">
        <v>831</v>
      </c>
    </row>
    <row r="222" spans="1:11" x14ac:dyDescent="0.2">
      <c r="A222" t="str">
        <f>HYPERLINK("https://www.tiwall.com//p/shayeat5","شایعات")</f>
        <v>شایعات</v>
      </c>
      <c r="B222">
        <v>50</v>
      </c>
      <c r="C222" t="s">
        <v>832</v>
      </c>
      <c r="D222" t="s">
        <v>87</v>
      </c>
      <c r="E222" t="s">
        <v>13</v>
      </c>
      <c r="F222" t="s">
        <v>833</v>
      </c>
      <c r="G222" t="s">
        <v>834</v>
      </c>
      <c r="H222" t="s">
        <v>183</v>
      </c>
      <c r="I222">
        <v>0</v>
      </c>
      <c r="J222">
        <v>0</v>
      </c>
      <c r="K222" t="s">
        <v>835</v>
      </c>
    </row>
    <row r="223" spans="1:11" x14ac:dyDescent="0.2">
      <c r="A223" t="str">
        <f>HYPERLINK("https://www.tiwall.com//p/tashilat2","تسهیلات")</f>
        <v>تسهیلات</v>
      </c>
      <c r="B223">
        <v>35</v>
      </c>
      <c r="C223" t="s">
        <v>383</v>
      </c>
      <c r="D223" t="s">
        <v>25</v>
      </c>
      <c r="E223" t="s">
        <v>138</v>
      </c>
      <c r="F223" t="s">
        <v>836</v>
      </c>
      <c r="G223" t="s">
        <v>837</v>
      </c>
      <c r="H223" t="s">
        <v>837</v>
      </c>
      <c r="I223">
        <v>0</v>
      </c>
      <c r="J223">
        <v>0</v>
      </c>
      <c r="K223" t="s">
        <v>838</v>
      </c>
    </row>
    <row r="224" spans="1:11" x14ac:dyDescent="0.2">
      <c r="A224" t="str">
        <f>HYPERLINK("https://www.tiwall.com//p/doncamillo4","دن کامیلو")</f>
        <v>دن کامیلو</v>
      </c>
      <c r="B224">
        <v>50</v>
      </c>
      <c r="C224" t="s">
        <v>324</v>
      </c>
      <c r="D224" t="s">
        <v>45</v>
      </c>
      <c r="E224" t="s">
        <v>303</v>
      </c>
      <c r="F224" t="s">
        <v>314</v>
      </c>
      <c r="G224" t="s">
        <v>839</v>
      </c>
      <c r="H224" t="s">
        <v>840</v>
      </c>
      <c r="I224">
        <v>0</v>
      </c>
      <c r="J224">
        <v>0</v>
      </c>
      <c r="K224" t="s">
        <v>841</v>
      </c>
    </row>
    <row r="225" spans="1:11" x14ac:dyDescent="0.2">
      <c r="A225" t="str">
        <f>HYPERLINK("https://www.tiwall.com//p/virjiniawolf","چه کسی از ویرجینیا وولف میترسد؟")</f>
        <v>چه کسی از ویرجینیا وولف میترسد؟</v>
      </c>
      <c r="B225">
        <v>70</v>
      </c>
      <c r="C225" t="s">
        <v>204</v>
      </c>
      <c r="D225" t="s">
        <v>12</v>
      </c>
      <c r="E225" t="s">
        <v>19</v>
      </c>
      <c r="F225" t="s">
        <v>842</v>
      </c>
      <c r="G225" t="s">
        <v>843</v>
      </c>
      <c r="H225" t="s">
        <v>334</v>
      </c>
      <c r="I225">
        <v>4</v>
      </c>
      <c r="J225">
        <v>19</v>
      </c>
      <c r="K225" t="s">
        <v>844</v>
      </c>
    </row>
    <row r="226" spans="1:11" x14ac:dyDescent="0.2">
      <c r="A226" t="str">
        <f>HYPERLINK("https://www.tiwall.com//p/sorb5","سرب")</f>
        <v>سرب</v>
      </c>
      <c r="B226">
        <v>35</v>
      </c>
      <c r="C226" t="s">
        <v>845</v>
      </c>
      <c r="D226" t="s">
        <v>45</v>
      </c>
      <c r="E226" t="s">
        <v>235</v>
      </c>
      <c r="F226" t="s">
        <v>846</v>
      </c>
      <c r="G226" t="s">
        <v>847</v>
      </c>
      <c r="H226" t="s">
        <v>848</v>
      </c>
      <c r="I226">
        <v>0</v>
      </c>
      <c r="J226">
        <v>0</v>
      </c>
      <c r="K226" t="s">
        <v>849</v>
      </c>
    </row>
    <row r="227" spans="1:11" x14ac:dyDescent="0.2">
      <c r="A227" t="str">
        <f>HYPERLINK("https://www.tiwall.com//p/shahrema","شهر ما")</f>
        <v>شهر ما</v>
      </c>
      <c r="B227">
        <v>40</v>
      </c>
      <c r="C227" t="s">
        <v>204</v>
      </c>
      <c r="D227" t="s">
        <v>65</v>
      </c>
      <c r="E227" t="s">
        <v>13</v>
      </c>
      <c r="F227" t="s">
        <v>850</v>
      </c>
      <c r="G227" t="s">
        <v>851</v>
      </c>
      <c r="H227" t="s">
        <v>852</v>
      </c>
      <c r="I227">
        <v>3.3</v>
      </c>
      <c r="J227">
        <v>8</v>
      </c>
      <c r="K227" t="s">
        <v>853</v>
      </c>
    </row>
    <row r="228" spans="1:11" x14ac:dyDescent="0.2">
      <c r="A228" t="str">
        <f>HYPERLINK("https://www.tiwall.com//p/lokomotiv2","لوکوموتیو")</f>
        <v>لوکوموتیو</v>
      </c>
      <c r="B228">
        <v>50</v>
      </c>
      <c r="C228" t="s">
        <v>854</v>
      </c>
      <c r="D228" t="s">
        <v>280</v>
      </c>
      <c r="E228" t="s">
        <v>71</v>
      </c>
      <c r="F228" t="s">
        <v>855</v>
      </c>
      <c r="G228" t="s">
        <v>856</v>
      </c>
      <c r="H228" t="s">
        <v>856</v>
      </c>
      <c r="I228">
        <v>0</v>
      </c>
      <c r="J228">
        <v>0</v>
      </c>
      <c r="K228" t="s">
        <v>857</v>
      </c>
    </row>
    <row r="229" spans="1:11" x14ac:dyDescent="0.2">
      <c r="A229" t="str">
        <f>HYPERLINK("https://www.tiwall.com//p/khoronjack","خرونجک")</f>
        <v>خرونجک</v>
      </c>
      <c r="B229">
        <v>25</v>
      </c>
      <c r="C229" t="s">
        <v>121</v>
      </c>
      <c r="D229" t="s">
        <v>146</v>
      </c>
      <c r="E229" t="s">
        <v>13</v>
      </c>
      <c r="F229" t="s">
        <v>643</v>
      </c>
      <c r="G229" t="s">
        <v>858</v>
      </c>
      <c r="H229" t="s">
        <v>858</v>
      </c>
      <c r="I229">
        <v>0</v>
      </c>
      <c r="J229">
        <v>0</v>
      </c>
      <c r="K229" t="s">
        <v>859</v>
      </c>
    </row>
    <row r="230" spans="1:11" x14ac:dyDescent="0.2">
      <c r="A230" t="str">
        <f>HYPERLINK("https://www.tiwall.com//p/alfa","آلفا")</f>
        <v>آلفا</v>
      </c>
      <c r="B230">
        <v>45</v>
      </c>
      <c r="C230" t="s">
        <v>86</v>
      </c>
      <c r="D230" t="s">
        <v>65</v>
      </c>
      <c r="E230" t="s">
        <v>46</v>
      </c>
      <c r="F230" t="s">
        <v>860</v>
      </c>
      <c r="G230" t="s">
        <v>861</v>
      </c>
      <c r="H230" t="s">
        <v>861</v>
      </c>
      <c r="I230">
        <v>0</v>
      </c>
      <c r="J230">
        <v>0</v>
      </c>
      <c r="K230" t="s">
        <v>862</v>
      </c>
    </row>
    <row r="231" spans="1:11" x14ac:dyDescent="0.2">
      <c r="A231" t="str">
        <f>HYPERLINK("https://www.tiwall.com//p/zemestoun2","زمستون")</f>
        <v>زمستون</v>
      </c>
      <c r="B231">
        <v>60</v>
      </c>
      <c r="C231" t="s">
        <v>137</v>
      </c>
      <c r="D231" t="s">
        <v>12</v>
      </c>
      <c r="E231" t="s">
        <v>13</v>
      </c>
      <c r="F231" t="s">
        <v>863</v>
      </c>
      <c r="G231" t="s">
        <v>864</v>
      </c>
      <c r="H231" t="s">
        <v>864</v>
      </c>
      <c r="I231">
        <v>0</v>
      </c>
      <c r="J231">
        <v>0</v>
      </c>
      <c r="K231" t="s">
        <v>864</v>
      </c>
    </row>
    <row r="232" spans="1:11" x14ac:dyDescent="0.2">
      <c r="A232" t="str">
        <f>HYPERLINK("https://www.tiwall.com//p/zojnajoor","زوج ناجور")</f>
        <v>زوج ناجور</v>
      </c>
      <c r="B232">
        <v>100</v>
      </c>
      <c r="C232" t="s">
        <v>151</v>
      </c>
      <c r="D232" t="s">
        <v>217</v>
      </c>
      <c r="E232" t="s">
        <v>19</v>
      </c>
      <c r="F232" t="s">
        <v>270</v>
      </c>
      <c r="G232" t="s">
        <v>865</v>
      </c>
      <c r="H232" t="s">
        <v>183</v>
      </c>
      <c r="I232">
        <v>4</v>
      </c>
      <c r="J232">
        <v>44</v>
      </c>
      <c r="K232" t="s">
        <v>866</v>
      </c>
    </row>
    <row r="233" spans="1:11" x14ac:dyDescent="0.2">
      <c r="A233" t="str">
        <f>HYPERLINK("https://www.tiwall.com//p/shaamarousi","شام عروسی")</f>
        <v>شام عروسی</v>
      </c>
      <c r="B233">
        <v>60</v>
      </c>
      <c r="C233" t="s">
        <v>230</v>
      </c>
      <c r="D233" t="s">
        <v>32</v>
      </c>
      <c r="E233" t="s">
        <v>13</v>
      </c>
      <c r="F233" t="s">
        <v>27</v>
      </c>
      <c r="G233" t="s">
        <v>867</v>
      </c>
      <c r="H233" t="s">
        <v>867</v>
      </c>
      <c r="I233">
        <v>4.7</v>
      </c>
      <c r="J233">
        <v>6</v>
      </c>
      <c r="K233" t="s">
        <v>868</v>
      </c>
    </row>
    <row r="234" spans="1:11" x14ac:dyDescent="0.2">
      <c r="A234" t="str">
        <f>HYPERLINK("https://www.tiwall.com//p/salibsefid","صلیب سفید")</f>
        <v>صلیب سفید</v>
      </c>
      <c r="B234">
        <v>50</v>
      </c>
      <c r="C234" t="s">
        <v>230</v>
      </c>
      <c r="D234" t="s">
        <v>470</v>
      </c>
      <c r="E234" t="s">
        <v>71</v>
      </c>
      <c r="F234" t="s">
        <v>869</v>
      </c>
      <c r="G234" t="s">
        <v>870</v>
      </c>
      <c r="H234" t="s">
        <v>871</v>
      </c>
      <c r="I234">
        <v>2.8</v>
      </c>
      <c r="J234">
        <v>8</v>
      </c>
      <c r="K234" t="s">
        <v>872</v>
      </c>
    </row>
    <row r="235" spans="1:11" x14ac:dyDescent="0.2">
      <c r="A235" t="str">
        <f>HYPERLINK("https://www.tiwall.com//p/hesar2","حصار")</f>
        <v>حصار</v>
      </c>
      <c r="B235">
        <v>100</v>
      </c>
      <c r="C235" t="s">
        <v>873</v>
      </c>
      <c r="D235" t="s">
        <v>45</v>
      </c>
      <c r="E235" t="s">
        <v>26</v>
      </c>
      <c r="F235" t="s">
        <v>874</v>
      </c>
      <c r="G235" t="s">
        <v>875</v>
      </c>
      <c r="H235" t="s">
        <v>876</v>
      </c>
      <c r="I235">
        <v>0</v>
      </c>
      <c r="J235">
        <v>0</v>
      </c>
      <c r="K235" t="s">
        <v>877</v>
      </c>
    </row>
    <row r="236" spans="1:11" x14ac:dyDescent="0.2">
      <c r="A236" t="str">
        <f>HYPERLINK("https://www.tiwall.com//p/robinsonvajome","رابینسون کروزوئه و جمعه")</f>
        <v>رابینسون کروزوئه و جمعه</v>
      </c>
      <c r="B236">
        <v>45</v>
      </c>
      <c r="C236" t="s">
        <v>832</v>
      </c>
      <c r="D236" t="s">
        <v>146</v>
      </c>
      <c r="E236" t="s">
        <v>13</v>
      </c>
      <c r="F236" t="s">
        <v>630</v>
      </c>
      <c r="G236" t="s">
        <v>878</v>
      </c>
      <c r="H236" t="s">
        <v>879</v>
      </c>
      <c r="I236">
        <v>0</v>
      </c>
      <c r="J236">
        <v>0</v>
      </c>
      <c r="K236" t="s">
        <v>880</v>
      </c>
    </row>
    <row r="237" spans="1:11" x14ac:dyDescent="0.2">
      <c r="A237" t="str">
        <f>HYPERLINK("https://www.tiwall.com//p/khakestari3","خاکستری")</f>
        <v>خاکستری</v>
      </c>
      <c r="B237">
        <v>70</v>
      </c>
      <c r="C237" t="s">
        <v>224</v>
      </c>
      <c r="D237" t="s">
        <v>65</v>
      </c>
      <c r="E237" t="s">
        <v>46</v>
      </c>
      <c r="F237" t="s">
        <v>214</v>
      </c>
      <c r="G237" t="s">
        <v>881</v>
      </c>
      <c r="H237" t="s">
        <v>882</v>
      </c>
      <c r="I237">
        <v>0</v>
      </c>
      <c r="J237">
        <v>0</v>
      </c>
      <c r="K237" t="s">
        <v>883</v>
      </c>
    </row>
    <row r="238" spans="1:11" x14ac:dyDescent="0.2">
      <c r="A238" t="str">
        <f>HYPERLINK("https://www.tiwall.com//p/gardangiri","مجلس گردن گیری")</f>
        <v>مجلس گردن گیری</v>
      </c>
      <c r="B238">
        <v>60</v>
      </c>
      <c r="C238" t="s">
        <v>224</v>
      </c>
      <c r="D238" t="s">
        <v>12</v>
      </c>
      <c r="E238" t="s">
        <v>13</v>
      </c>
      <c r="F238" t="s">
        <v>884</v>
      </c>
      <c r="G238" t="s">
        <v>885</v>
      </c>
      <c r="H238" t="s">
        <v>886</v>
      </c>
      <c r="I238">
        <v>4.0999999999999996</v>
      </c>
      <c r="J238">
        <v>8</v>
      </c>
      <c r="K238" t="s">
        <v>887</v>
      </c>
    </row>
    <row r="239" spans="1:11" x14ac:dyDescent="0.2">
      <c r="A239" t="str">
        <f>HYPERLINK("https://www.tiwall.com//p/sotvan.inishmour5","ستوان آینیشمور")</f>
        <v>ستوان آینیشمور</v>
      </c>
      <c r="B239">
        <v>50</v>
      </c>
      <c r="C239" t="s">
        <v>224</v>
      </c>
      <c r="D239" t="s">
        <v>470</v>
      </c>
      <c r="E239" t="s">
        <v>303</v>
      </c>
      <c r="F239" t="s">
        <v>888</v>
      </c>
      <c r="G239" t="s">
        <v>889</v>
      </c>
      <c r="H239" t="s">
        <v>755</v>
      </c>
      <c r="I239">
        <v>4.8</v>
      </c>
      <c r="J239">
        <v>8</v>
      </c>
      <c r="K239" t="s">
        <v>890</v>
      </c>
    </row>
    <row r="240" spans="1:11" x14ac:dyDescent="0.2">
      <c r="A240" t="str">
        <f>HYPERLINK("https://www.tiwall.com//p/zani.dar.matbakh","شرحی کشاف درباب زندگی و مرگ نابهنگام زنی در مطبخ")</f>
        <v>شرحی کشاف درباب زندگی و مرگ نابهنگام زنی در مطبخ</v>
      </c>
      <c r="B240">
        <v>40</v>
      </c>
      <c r="C240" t="s">
        <v>514</v>
      </c>
      <c r="D240" t="s">
        <v>12</v>
      </c>
      <c r="E240" t="s">
        <v>415</v>
      </c>
      <c r="F240" t="s">
        <v>829</v>
      </c>
      <c r="G240" t="s">
        <v>891</v>
      </c>
      <c r="H240" t="s">
        <v>538</v>
      </c>
      <c r="I240">
        <v>3</v>
      </c>
      <c r="J240">
        <v>16</v>
      </c>
      <c r="K240" t="s">
        <v>891</v>
      </c>
    </row>
    <row r="241" spans="1:11" x14ac:dyDescent="0.2">
      <c r="A241" t="str">
        <f>HYPERLINK("https://www.tiwall.com//p/shagheyekhun","شقه خون")</f>
        <v>شقه خون</v>
      </c>
      <c r="B241">
        <v>40</v>
      </c>
      <c r="C241" t="s">
        <v>892</v>
      </c>
      <c r="D241" t="s">
        <v>65</v>
      </c>
      <c r="E241" t="s">
        <v>71</v>
      </c>
      <c r="F241" t="s">
        <v>893</v>
      </c>
      <c r="G241" t="s">
        <v>894</v>
      </c>
      <c r="H241" t="s">
        <v>895</v>
      </c>
      <c r="I241">
        <v>0</v>
      </c>
      <c r="J241">
        <v>0</v>
      </c>
      <c r="K241" t="s">
        <v>896</v>
      </c>
    </row>
    <row r="242" spans="1:11" x14ac:dyDescent="0.2">
      <c r="A242" t="str">
        <f>HYPERLINK("https://www.tiwall.com//p/marsiehzhaleh3","مرثیه ای برای ژاله.م و قاتلش")</f>
        <v>مرثیه ای برای ژاله.م و قاتلش</v>
      </c>
      <c r="B242">
        <v>45</v>
      </c>
      <c r="C242" t="s">
        <v>37</v>
      </c>
      <c r="D242" t="s">
        <v>32</v>
      </c>
      <c r="E242" t="s">
        <v>88</v>
      </c>
      <c r="F242" t="s">
        <v>897</v>
      </c>
      <c r="G242" t="s">
        <v>898</v>
      </c>
      <c r="H242" t="s">
        <v>898</v>
      </c>
      <c r="I242">
        <v>0</v>
      </c>
      <c r="J242">
        <v>0</v>
      </c>
      <c r="K242" t="s">
        <v>899</v>
      </c>
    </row>
    <row r="243" spans="1:11" x14ac:dyDescent="0.2">
      <c r="A243" t="str">
        <f>HYPERLINK("https://www.tiwall.com//p/moshahedat","مشاهدات")</f>
        <v>مشاهدات</v>
      </c>
      <c r="B243">
        <v>50</v>
      </c>
      <c r="C243" t="s">
        <v>204</v>
      </c>
      <c r="D243" t="s">
        <v>12</v>
      </c>
      <c r="E243" t="s">
        <v>194</v>
      </c>
      <c r="F243" t="s">
        <v>900</v>
      </c>
      <c r="G243" t="s">
        <v>901</v>
      </c>
      <c r="H243" t="s">
        <v>901</v>
      </c>
      <c r="I243">
        <v>4.5</v>
      </c>
      <c r="J243">
        <v>30</v>
      </c>
      <c r="K243" t="s">
        <v>902</v>
      </c>
    </row>
    <row r="244" spans="1:11" x14ac:dyDescent="0.2">
      <c r="A244" t="str">
        <f>HYPERLINK("https://www.tiwall.com//p/had4","حاد")</f>
        <v>حاد</v>
      </c>
      <c r="B244">
        <v>30</v>
      </c>
      <c r="C244" t="s">
        <v>514</v>
      </c>
      <c r="D244" t="s">
        <v>12</v>
      </c>
      <c r="E244" t="s">
        <v>235</v>
      </c>
      <c r="F244" t="s">
        <v>732</v>
      </c>
      <c r="G244" t="s">
        <v>903</v>
      </c>
      <c r="H244" t="s">
        <v>904</v>
      </c>
      <c r="I244">
        <v>3.4</v>
      </c>
      <c r="J244">
        <v>5</v>
      </c>
      <c r="K244" t="s">
        <v>905</v>
      </c>
    </row>
    <row r="245" spans="1:11" x14ac:dyDescent="0.2">
      <c r="A245" t="str">
        <f>HYPERLINK("https://www.tiwall.com//p/galmax","گالمکس")</f>
        <v>گالمکس</v>
      </c>
      <c r="B245">
        <v>80</v>
      </c>
      <c r="C245" t="s">
        <v>180</v>
      </c>
      <c r="D245" t="s">
        <v>25</v>
      </c>
      <c r="E245" t="s">
        <v>71</v>
      </c>
      <c r="F245" t="s">
        <v>906</v>
      </c>
      <c r="G245" t="s">
        <v>907</v>
      </c>
      <c r="H245" t="s">
        <v>907</v>
      </c>
      <c r="I245">
        <v>4.2</v>
      </c>
      <c r="J245">
        <v>39</v>
      </c>
      <c r="K245" t="s">
        <v>908</v>
      </c>
    </row>
    <row r="246" spans="1:11" x14ac:dyDescent="0.2">
      <c r="A246" t="str">
        <f>HYPERLINK("https://www.tiwall.com//p/tanha2","تنها")</f>
        <v>تنها</v>
      </c>
      <c r="B246">
        <v>25</v>
      </c>
      <c r="C246" t="s">
        <v>383</v>
      </c>
      <c r="D246" t="s">
        <v>32</v>
      </c>
      <c r="E246" t="s">
        <v>909</v>
      </c>
      <c r="F246" t="s">
        <v>910</v>
      </c>
      <c r="G246" t="s">
        <v>911</v>
      </c>
      <c r="H246" t="s">
        <v>911</v>
      </c>
      <c r="I246">
        <v>0</v>
      </c>
      <c r="J246">
        <v>0</v>
      </c>
      <c r="K246" t="s">
        <v>912</v>
      </c>
    </row>
    <row r="247" spans="1:11" x14ac:dyDescent="0.2">
      <c r="A247" t="str">
        <f>HYPERLINK("https://www.tiwall.com//p/spoken17","مراسم قطع دست در اسپوکن")</f>
        <v>مراسم قطع دست در اسپوکن</v>
      </c>
      <c r="B247">
        <v>100</v>
      </c>
      <c r="C247" t="s">
        <v>11</v>
      </c>
      <c r="D247" t="s">
        <v>12</v>
      </c>
      <c r="E247" t="s">
        <v>13</v>
      </c>
      <c r="F247" t="s">
        <v>592</v>
      </c>
      <c r="G247" t="s">
        <v>913</v>
      </c>
      <c r="H247" t="s">
        <v>755</v>
      </c>
      <c r="I247">
        <v>4</v>
      </c>
      <c r="J247">
        <v>5</v>
      </c>
      <c r="K247" t="s">
        <v>914</v>
      </c>
    </row>
    <row r="248" spans="1:11" x14ac:dyDescent="0.2">
      <c r="A248" t="str">
        <f>HYPERLINK("https://www.tiwall.com//p/noorikehast","نوری که هست")</f>
        <v>نوری که هست</v>
      </c>
      <c r="B248">
        <v>80</v>
      </c>
      <c r="C248" t="s">
        <v>224</v>
      </c>
      <c r="D248" t="s">
        <v>217</v>
      </c>
      <c r="E248" t="s">
        <v>13</v>
      </c>
      <c r="F248" t="s">
        <v>445</v>
      </c>
      <c r="G248" t="s">
        <v>915</v>
      </c>
      <c r="H248" t="s">
        <v>916</v>
      </c>
      <c r="I248">
        <v>4.0999999999999996</v>
      </c>
      <c r="J248">
        <v>14</v>
      </c>
      <c r="K248" t="s">
        <v>917</v>
      </c>
    </row>
    <row r="249" spans="1:11" x14ac:dyDescent="0.2">
      <c r="A249" t="str">
        <f>HYPERLINK("https://www.tiwall.com//p/tajrobehayeakhir11","تجربه های اخیر")</f>
        <v>تجربه های اخیر</v>
      </c>
      <c r="B249">
        <v>30</v>
      </c>
      <c r="C249" t="s">
        <v>918</v>
      </c>
      <c r="D249" t="s">
        <v>32</v>
      </c>
      <c r="E249" t="s">
        <v>88</v>
      </c>
      <c r="F249" t="s">
        <v>919</v>
      </c>
      <c r="G249" t="s">
        <v>733</v>
      </c>
      <c r="H249" t="s">
        <v>920</v>
      </c>
      <c r="I249">
        <v>0</v>
      </c>
      <c r="J249">
        <v>0</v>
      </c>
      <c r="K249" t="s">
        <v>921</v>
      </c>
    </row>
    <row r="250" spans="1:11" x14ac:dyDescent="0.2">
      <c r="A250" t="str">
        <f>HYPERLINK("https://www.tiwall.com//p/masloub","مصلوب")</f>
        <v>مصلوب</v>
      </c>
      <c r="B250">
        <v>30</v>
      </c>
      <c r="C250" t="s">
        <v>199</v>
      </c>
      <c r="D250" t="s">
        <v>87</v>
      </c>
      <c r="E250" t="s">
        <v>26</v>
      </c>
      <c r="F250" t="s">
        <v>922</v>
      </c>
      <c r="G250" t="s">
        <v>923</v>
      </c>
      <c r="H250" t="s">
        <v>923</v>
      </c>
      <c r="I250">
        <v>0</v>
      </c>
      <c r="J250">
        <v>0</v>
      </c>
      <c r="K250" t="s">
        <v>924</v>
      </c>
    </row>
    <row r="251" spans="1:11" x14ac:dyDescent="0.2">
      <c r="A251" t="str">
        <f>HYPERLINK("https://www.tiwall.com//p/malakout2","ملکوت")</f>
        <v>ملکوت</v>
      </c>
      <c r="B251">
        <v>35</v>
      </c>
      <c r="C251" t="s">
        <v>155</v>
      </c>
      <c r="D251" t="s">
        <v>87</v>
      </c>
      <c r="E251" t="s">
        <v>26</v>
      </c>
      <c r="F251" t="s">
        <v>694</v>
      </c>
      <c r="G251" t="s">
        <v>925</v>
      </c>
      <c r="H251" t="s">
        <v>926</v>
      </c>
      <c r="I251">
        <v>2.6</v>
      </c>
      <c r="J251">
        <v>7</v>
      </c>
      <c r="K251" t="s">
        <v>927</v>
      </c>
    </row>
    <row r="252" spans="1:11" x14ac:dyDescent="0.2">
      <c r="A252" t="str">
        <f>HYPERLINK("https://www.tiwall.com//p/comedy.kazaei2","کمدی کذایی")</f>
        <v>کمدی کذایی</v>
      </c>
      <c r="B252">
        <v>100</v>
      </c>
      <c r="C252" t="s">
        <v>928</v>
      </c>
      <c r="D252" t="s">
        <v>87</v>
      </c>
      <c r="E252" t="s">
        <v>26</v>
      </c>
      <c r="F252" t="s">
        <v>929</v>
      </c>
      <c r="G252" t="s">
        <v>930</v>
      </c>
      <c r="H252" t="s">
        <v>930</v>
      </c>
      <c r="I252">
        <v>4.9000000000000004</v>
      </c>
      <c r="J252">
        <v>9</v>
      </c>
      <c r="K252" t="s">
        <v>931</v>
      </c>
    </row>
    <row r="253" spans="1:11" x14ac:dyDescent="0.2">
      <c r="A253" t="str">
        <f>HYPERLINK("https://www.tiwall.com//p/symphony.sokut2","موزیکادرام سمفونی سکوت")</f>
        <v>موزیکادرام سمفونی سکوت</v>
      </c>
      <c r="B253">
        <v>50</v>
      </c>
      <c r="C253" t="s">
        <v>199</v>
      </c>
      <c r="D253" t="s">
        <v>25</v>
      </c>
      <c r="E253" t="s">
        <v>19</v>
      </c>
      <c r="F253" t="s">
        <v>932</v>
      </c>
      <c r="G253" t="s">
        <v>933</v>
      </c>
      <c r="H253" t="s">
        <v>933</v>
      </c>
      <c r="I253">
        <v>0</v>
      </c>
      <c r="J253">
        <v>0</v>
      </c>
      <c r="K253" t="s">
        <v>934</v>
      </c>
    </row>
    <row r="254" spans="1:11" x14ac:dyDescent="0.2">
      <c r="A254" t="str">
        <f>HYPERLINK("https://www.tiwall.com//p/amanwho","مردی که...")</f>
        <v>مردی که...</v>
      </c>
      <c r="B254">
        <v>35</v>
      </c>
      <c r="C254" t="s">
        <v>204</v>
      </c>
      <c r="D254" t="s">
        <v>384</v>
      </c>
      <c r="E254" t="s">
        <v>26</v>
      </c>
      <c r="F254" t="s">
        <v>385</v>
      </c>
      <c r="G254" t="s">
        <v>935</v>
      </c>
      <c r="H254" t="s">
        <v>936</v>
      </c>
      <c r="I254">
        <v>3.3</v>
      </c>
      <c r="J254">
        <v>45</v>
      </c>
      <c r="K254" t="s">
        <v>937</v>
      </c>
    </row>
    <row r="255" spans="1:11" x14ac:dyDescent="0.2">
      <c r="A255" t="str">
        <f>HYPERLINK("https://www.tiwall.com//p/zozesag","زوزه سگ")</f>
        <v>زوزه سگ</v>
      </c>
      <c r="B255">
        <v>30</v>
      </c>
      <c r="C255" t="s">
        <v>166</v>
      </c>
      <c r="D255" t="s">
        <v>12</v>
      </c>
      <c r="E255" t="s">
        <v>138</v>
      </c>
      <c r="F255" t="s">
        <v>938</v>
      </c>
      <c r="G255" t="s">
        <v>168</v>
      </c>
      <c r="H255" t="s">
        <v>168</v>
      </c>
      <c r="I255">
        <v>0</v>
      </c>
      <c r="J255">
        <v>0</v>
      </c>
      <c r="K255" t="s">
        <v>939</v>
      </c>
    </row>
    <row r="256" spans="1:11" x14ac:dyDescent="0.2">
      <c r="A256" t="str">
        <f>HYPERLINK("https://www.tiwall.com//p/tavafoghname","توافقنامه")</f>
        <v>توافقنامه</v>
      </c>
      <c r="B256">
        <v>50</v>
      </c>
      <c r="C256" t="s">
        <v>224</v>
      </c>
      <c r="D256" t="s">
        <v>12</v>
      </c>
      <c r="E256" t="s">
        <v>26</v>
      </c>
      <c r="F256" t="s">
        <v>940</v>
      </c>
      <c r="G256" t="s">
        <v>941</v>
      </c>
      <c r="H256" t="s">
        <v>942</v>
      </c>
      <c r="I256">
        <v>0</v>
      </c>
      <c r="J256">
        <v>0</v>
      </c>
      <c r="K256" t="s">
        <v>943</v>
      </c>
    </row>
    <row r="257" spans="1:11" x14ac:dyDescent="0.2">
      <c r="A257" t="str">
        <f>HYPERLINK("https://www.tiwall.com//p/hamechiz9","همه چیز می‌گذرد، تو نمی‌گذری")</f>
        <v>همه چیز می‌گذرد، تو نمی‌گذری</v>
      </c>
      <c r="B257">
        <v>80</v>
      </c>
      <c r="C257" t="s">
        <v>344</v>
      </c>
      <c r="D257" t="s">
        <v>217</v>
      </c>
      <c r="E257" t="s">
        <v>26</v>
      </c>
      <c r="F257" t="s">
        <v>944</v>
      </c>
      <c r="G257" t="s">
        <v>945</v>
      </c>
      <c r="H257" t="s">
        <v>538</v>
      </c>
      <c r="I257">
        <v>3.5</v>
      </c>
      <c r="J257">
        <v>30</v>
      </c>
      <c r="K257" t="s">
        <v>946</v>
      </c>
    </row>
    <row r="258" spans="1:11" x14ac:dyDescent="0.2">
      <c r="A258" t="str">
        <f>HYPERLINK("https://www.tiwall.com//p/hamechiz6","همه چیز می گذرد تو نمی گذری")</f>
        <v>همه چیز می گذرد تو نمی گذری</v>
      </c>
      <c r="B258">
        <v>35</v>
      </c>
      <c r="C258" t="s">
        <v>103</v>
      </c>
      <c r="D258" t="s">
        <v>12</v>
      </c>
      <c r="E258" t="s">
        <v>235</v>
      </c>
      <c r="F258" t="s">
        <v>947</v>
      </c>
      <c r="G258" t="s">
        <v>948</v>
      </c>
      <c r="H258" t="s">
        <v>538</v>
      </c>
      <c r="I258">
        <v>3.1</v>
      </c>
      <c r="J258">
        <v>7</v>
      </c>
      <c r="K258" t="s">
        <v>948</v>
      </c>
    </row>
    <row r="259" spans="1:11" x14ac:dyDescent="0.2">
      <c r="A259" t="str">
        <f>HYPERLINK("https://www.tiwall.com//p/dosarbaz2","داستان فراموش نشدنی دو سرباز فداکار... یا روزنگرانتز و گیلدنسترن زنده اند")</f>
        <v>داستان فراموش نشدنی دو سرباز فداکار... یا روزنگرانتز و گیلدنسترن زنده اند</v>
      </c>
      <c r="B259">
        <v>70</v>
      </c>
      <c r="C259" t="s">
        <v>56</v>
      </c>
      <c r="D259" t="s">
        <v>45</v>
      </c>
      <c r="E259" t="s">
        <v>13</v>
      </c>
      <c r="F259" t="s">
        <v>949</v>
      </c>
      <c r="G259" t="s">
        <v>950</v>
      </c>
      <c r="H259" t="s">
        <v>950</v>
      </c>
      <c r="I259">
        <v>0</v>
      </c>
      <c r="J259">
        <v>0</v>
      </c>
      <c r="K259" t="s">
        <v>951</v>
      </c>
    </row>
    <row r="260" spans="1:11" x14ac:dyDescent="0.2">
      <c r="A260" t="str">
        <f>HYPERLINK("https://www.tiwall.com//p/gharbhaqiqi2","غرب حقیقی")</f>
        <v>غرب حقیقی</v>
      </c>
      <c r="B260">
        <v>30</v>
      </c>
      <c r="C260" t="s">
        <v>369</v>
      </c>
      <c r="D260" t="s">
        <v>87</v>
      </c>
      <c r="E260" t="s">
        <v>13</v>
      </c>
      <c r="F260" t="s">
        <v>952</v>
      </c>
      <c r="G260" t="s">
        <v>953</v>
      </c>
      <c r="H260" t="s">
        <v>954</v>
      </c>
      <c r="I260">
        <v>3.7</v>
      </c>
      <c r="J260">
        <v>11</v>
      </c>
      <c r="K260" t="s">
        <v>955</v>
      </c>
    </row>
    <row r="261" spans="1:11" x14ac:dyDescent="0.2">
      <c r="A261" t="str">
        <f>HYPERLINK("https://www.tiwall.com//p/khial3","خیال")</f>
        <v>خیال</v>
      </c>
      <c r="B261">
        <v>25</v>
      </c>
      <c r="C261" t="s">
        <v>956</v>
      </c>
      <c r="D261" t="s">
        <v>957</v>
      </c>
      <c r="E261" t="s">
        <v>46</v>
      </c>
      <c r="F261" t="s">
        <v>498</v>
      </c>
      <c r="G261" t="s">
        <v>958</v>
      </c>
      <c r="H261" t="s">
        <v>959</v>
      </c>
      <c r="I261">
        <v>0</v>
      </c>
      <c r="J261">
        <v>0</v>
      </c>
      <c r="K261" t="s">
        <v>960</v>
      </c>
    </row>
    <row r="262" spans="1:11" x14ac:dyDescent="0.2">
      <c r="A262" t="str">
        <f>HYPERLINK("https://www.tiwall.com//p/madarnazadeh","مادر نزاییده")</f>
        <v>مادر نزاییده</v>
      </c>
      <c r="B262">
        <v>30</v>
      </c>
      <c r="C262" t="s">
        <v>44</v>
      </c>
      <c r="D262" t="s">
        <v>65</v>
      </c>
      <c r="E262" t="s">
        <v>71</v>
      </c>
      <c r="F262" t="s">
        <v>961</v>
      </c>
      <c r="G262" t="s">
        <v>962</v>
      </c>
      <c r="H262" t="s">
        <v>963</v>
      </c>
      <c r="I262">
        <v>3.4</v>
      </c>
      <c r="J262">
        <v>14</v>
      </c>
      <c r="K262" t="s">
        <v>964</v>
      </c>
    </row>
    <row r="263" spans="1:11" x14ac:dyDescent="0.2">
      <c r="A263" t="str">
        <f>HYPERLINK("https://www.tiwall.com//p/ashghalmard4","آشغال مرد")</f>
        <v>آشغال مرد</v>
      </c>
      <c r="B263">
        <v>60</v>
      </c>
      <c r="C263" t="s">
        <v>44</v>
      </c>
      <c r="D263" t="s">
        <v>65</v>
      </c>
      <c r="E263" t="s">
        <v>13</v>
      </c>
      <c r="F263" t="s">
        <v>181</v>
      </c>
      <c r="G263" t="s">
        <v>965</v>
      </c>
      <c r="H263" t="s">
        <v>79</v>
      </c>
      <c r="I263">
        <v>0</v>
      </c>
      <c r="J263">
        <v>0</v>
      </c>
      <c r="K263" t="s">
        <v>966</v>
      </c>
    </row>
    <row r="264" spans="1:11" x14ac:dyDescent="0.2">
      <c r="A264" t="str">
        <f>HYPERLINK("https://www.tiwall.com//p/shokoofegilas","شکوفه های گیلاس")</f>
        <v>شکوفه های گیلاس</v>
      </c>
      <c r="B264">
        <v>120</v>
      </c>
      <c r="C264" t="s">
        <v>31</v>
      </c>
      <c r="D264" t="s">
        <v>65</v>
      </c>
      <c r="E264" t="s">
        <v>39</v>
      </c>
      <c r="F264" t="s">
        <v>623</v>
      </c>
      <c r="G264" t="s">
        <v>654</v>
      </c>
      <c r="H264" t="s">
        <v>654</v>
      </c>
      <c r="I264">
        <v>4.2</v>
      </c>
      <c r="J264">
        <v>220</v>
      </c>
      <c r="K264" t="s">
        <v>967</v>
      </c>
    </row>
    <row r="265" spans="1:11" x14ac:dyDescent="0.2">
      <c r="A265" t="str">
        <f>HYPERLINK("https://www.tiwall.com//p/pozehcharmi2","پوزه چرمی")</f>
        <v>پوزه چرمی</v>
      </c>
      <c r="B265">
        <v>60</v>
      </c>
      <c r="C265" t="s">
        <v>44</v>
      </c>
      <c r="D265" t="s">
        <v>12</v>
      </c>
      <c r="E265" t="s">
        <v>19</v>
      </c>
      <c r="F265" t="s">
        <v>402</v>
      </c>
      <c r="G265" t="s">
        <v>968</v>
      </c>
      <c r="H265" t="s">
        <v>969</v>
      </c>
      <c r="I265">
        <v>3.8</v>
      </c>
      <c r="J265">
        <v>5</v>
      </c>
      <c r="K265" t="s">
        <v>970</v>
      </c>
    </row>
    <row r="266" spans="1:11" x14ac:dyDescent="0.2">
      <c r="A266" t="str">
        <f>HYPERLINK("https://www.tiwall.com//p/kalantari.cheraghbargh5","پشت کلانتری")</f>
        <v>پشت کلانتری</v>
      </c>
      <c r="B266">
        <v>60</v>
      </c>
      <c r="C266" t="s">
        <v>103</v>
      </c>
      <c r="D266" t="s">
        <v>559</v>
      </c>
      <c r="E266" t="s">
        <v>13</v>
      </c>
      <c r="F266" t="s">
        <v>971</v>
      </c>
      <c r="G266" t="s">
        <v>972</v>
      </c>
      <c r="H266" t="s">
        <v>973</v>
      </c>
      <c r="I266">
        <v>3.7</v>
      </c>
      <c r="J266">
        <v>6</v>
      </c>
      <c r="K266" t="s">
        <v>974</v>
      </c>
    </row>
    <row r="267" spans="1:11" x14ac:dyDescent="0.2">
      <c r="A267" t="str">
        <f>HYPERLINK("https://www.tiwall.com//p/yaghin","یقین")</f>
        <v>یقین</v>
      </c>
      <c r="B267">
        <v>60</v>
      </c>
      <c r="C267" t="s">
        <v>262</v>
      </c>
      <c r="D267" t="s">
        <v>65</v>
      </c>
      <c r="E267" t="s">
        <v>13</v>
      </c>
      <c r="F267" t="s">
        <v>359</v>
      </c>
      <c r="G267" t="s">
        <v>975</v>
      </c>
      <c r="H267" t="s">
        <v>975</v>
      </c>
      <c r="I267">
        <v>3.3</v>
      </c>
      <c r="J267">
        <v>15</v>
      </c>
      <c r="K267" t="s">
        <v>976</v>
      </c>
    </row>
    <row r="268" spans="1:11" x14ac:dyDescent="0.2">
      <c r="A268" t="str">
        <f>HYPERLINK("https://www.tiwall.com//p/khershayepanda3","داستان خرس های پاندا")</f>
        <v>داستان خرس های پاندا</v>
      </c>
      <c r="B268">
        <v>50</v>
      </c>
      <c r="C268" t="s">
        <v>121</v>
      </c>
      <c r="D268" t="s">
        <v>25</v>
      </c>
      <c r="E268" t="s">
        <v>71</v>
      </c>
      <c r="F268" t="s">
        <v>688</v>
      </c>
      <c r="G268" t="s">
        <v>977</v>
      </c>
      <c r="H268" t="s">
        <v>79</v>
      </c>
      <c r="I268">
        <v>0</v>
      </c>
      <c r="J268">
        <v>0</v>
      </c>
      <c r="K268" t="s">
        <v>978</v>
      </c>
    </row>
    <row r="269" spans="1:11" x14ac:dyDescent="0.2">
      <c r="A269" t="str">
        <f>HYPERLINK("https://www.tiwall.com//p/sagha.ostekhanha2","سگ‌ها و استخوان های مادرم")</f>
        <v>سگ‌ها و استخوان های مادرم</v>
      </c>
      <c r="B269">
        <v>80</v>
      </c>
      <c r="C269" t="s">
        <v>358</v>
      </c>
      <c r="D269" t="s">
        <v>25</v>
      </c>
      <c r="E269" t="s">
        <v>13</v>
      </c>
      <c r="F269" t="s">
        <v>778</v>
      </c>
      <c r="G269" t="s">
        <v>979</v>
      </c>
      <c r="H269" t="s">
        <v>979</v>
      </c>
      <c r="I269">
        <v>3.6</v>
      </c>
      <c r="J269">
        <v>21</v>
      </c>
      <c r="K269" t="s">
        <v>980</v>
      </c>
    </row>
    <row r="270" spans="1:11" x14ac:dyDescent="0.2">
      <c r="A270" t="str">
        <f>HYPERLINK("https://www.tiwall.com//p/marziyejan","مرضیه جان")</f>
        <v>مرضیه جان</v>
      </c>
      <c r="B270">
        <v>90</v>
      </c>
      <c r="C270" t="s">
        <v>86</v>
      </c>
      <c r="D270" t="s">
        <v>87</v>
      </c>
      <c r="E270" t="s">
        <v>13</v>
      </c>
      <c r="F270" t="s">
        <v>273</v>
      </c>
      <c r="G270" t="s">
        <v>981</v>
      </c>
      <c r="H270" t="s">
        <v>982</v>
      </c>
      <c r="I270">
        <v>4.2</v>
      </c>
      <c r="J270">
        <v>10</v>
      </c>
      <c r="K270" t="s">
        <v>983</v>
      </c>
    </row>
    <row r="271" spans="1:11" x14ac:dyDescent="0.2">
      <c r="A271" t="str">
        <f>HYPERLINK("https://www.tiwall.com//p/pishazsobhane4","پیش از صبحانه")</f>
        <v>پیش از صبحانه</v>
      </c>
      <c r="B271">
        <v>30</v>
      </c>
      <c r="C271" t="s">
        <v>64</v>
      </c>
      <c r="D271" t="s">
        <v>384</v>
      </c>
      <c r="E271" t="s">
        <v>984</v>
      </c>
      <c r="F271" t="s">
        <v>725</v>
      </c>
      <c r="G271" t="s">
        <v>219</v>
      </c>
      <c r="H271" t="s">
        <v>985</v>
      </c>
      <c r="I271">
        <v>3.8</v>
      </c>
      <c r="J271">
        <v>11</v>
      </c>
      <c r="K271" t="s">
        <v>986</v>
      </c>
    </row>
    <row r="272" spans="1:11" x14ac:dyDescent="0.2">
      <c r="A272" t="str">
        <f>HYPERLINK("https://www.tiwall.com//p/azadiazgheidtalogh","آزادی از قید تعلق")</f>
        <v>آزادی از قید تعلق</v>
      </c>
      <c r="B272">
        <v>40</v>
      </c>
      <c r="C272" t="s">
        <v>86</v>
      </c>
      <c r="D272" t="s">
        <v>12</v>
      </c>
      <c r="E272" t="s">
        <v>88</v>
      </c>
      <c r="F272" t="s">
        <v>860</v>
      </c>
      <c r="G272" t="s">
        <v>987</v>
      </c>
      <c r="H272" t="s">
        <v>987</v>
      </c>
      <c r="I272">
        <v>0</v>
      </c>
      <c r="J272">
        <v>0</v>
      </c>
      <c r="K272" t="s">
        <v>988</v>
      </c>
    </row>
    <row r="273" spans="1:11" x14ac:dyDescent="0.2">
      <c r="A273" t="str">
        <f>HYPERLINK("https://www.tiwall.com//p/sefrdarajeh","صفر درجه سانتیگراد زیر صفر")</f>
        <v>صفر درجه سانتیگراد زیر صفر</v>
      </c>
      <c r="B273">
        <v>45</v>
      </c>
      <c r="C273" t="s">
        <v>204</v>
      </c>
      <c r="D273" t="s">
        <v>384</v>
      </c>
      <c r="E273" t="s">
        <v>194</v>
      </c>
      <c r="F273" t="s">
        <v>989</v>
      </c>
      <c r="G273" t="s">
        <v>990</v>
      </c>
      <c r="H273" t="s">
        <v>990</v>
      </c>
      <c r="I273">
        <v>4.3</v>
      </c>
      <c r="J273">
        <v>8</v>
      </c>
      <c r="K273" t="s">
        <v>991</v>
      </c>
    </row>
    <row r="274" spans="1:11" x14ac:dyDescent="0.2">
      <c r="A274" t="str">
        <f>HYPERLINK("https://www.tiwall.com//p/richardsevom2","ریچارد سوم")</f>
        <v>ریچارد سوم</v>
      </c>
      <c r="B274">
        <v>60</v>
      </c>
      <c r="C274" t="s">
        <v>180</v>
      </c>
      <c r="D274" t="s">
        <v>25</v>
      </c>
      <c r="E274" t="s">
        <v>13</v>
      </c>
      <c r="F274" t="s">
        <v>992</v>
      </c>
      <c r="G274" t="s">
        <v>993</v>
      </c>
      <c r="H274" t="s">
        <v>993</v>
      </c>
      <c r="I274">
        <v>0</v>
      </c>
      <c r="J274">
        <v>0</v>
      </c>
      <c r="K274" t="s">
        <v>994</v>
      </c>
    </row>
    <row r="275" spans="1:11" x14ac:dyDescent="0.2">
      <c r="A275" t="str">
        <f>HYPERLINK("https://www.tiwall.com//p/yektir","یک تیر متمایل به ساعت بیست و پنج")</f>
        <v>یک تیر متمایل به ساعت بیست و پنج</v>
      </c>
      <c r="B275">
        <v>40</v>
      </c>
      <c r="C275" t="s">
        <v>995</v>
      </c>
      <c r="D275" t="s">
        <v>12</v>
      </c>
      <c r="E275" t="s">
        <v>235</v>
      </c>
      <c r="F275" t="s">
        <v>996</v>
      </c>
      <c r="G275" t="s">
        <v>997</v>
      </c>
      <c r="H275" t="s">
        <v>997</v>
      </c>
      <c r="I275">
        <v>0</v>
      </c>
      <c r="J275">
        <v>0</v>
      </c>
      <c r="K275" t="s">
        <v>998</v>
      </c>
    </row>
    <row r="276" spans="1:11" x14ac:dyDescent="0.2">
      <c r="A276" t="str">
        <f>HYPERLINK("https://www.tiwall.com//p/peykar.tarashi","پیکرتراشی")</f>
        <v>پیکرتراشی</v>
      </c>
      <c r="B276">
        <v>40</v>
      </c>
      <c r="C276" t="s">
        <v>369</v>
      </c>
      <c r="D276" t="s">
        <v>32</v>
      </c>
      <c r="E276" t="s">
        <v>13</v>
      </c>
      <c r="F276" t="s">
        <v>113</v>
      </c>
      <c r="G276" t="s">
        <v>999</v>
      </c>
      <c r="H276" t="s">
        <v>1000</v>
      </c>
      <c r="I276">
        <v>3.2</v>
      </c>
      <c r="J276">
        <v>25</v>
      </c>
      <c r="K276" t="s">
        <v>1001</v>
      </c>
    </row>
    <row r="277" spans="1:11" x14ac:dyDescent="0.2">
      <c r="A277" t="str">
        <f>HYPERLINK("https://www.tiwall.com//p/gorbeh.kalagh","گربه کلاغ پارکی")</f>
        <v>گربه کلاغ پارکی</v>
      </c>
      <c r="B277">
        <v>35</v>
      </c>
      <c r="C277" t="s">
        <v>11</v>
      </c>
      <c r="D277" t="s">
        <v>32</v>
      </c>
      <c r="E277" t="s">
        <v>46</v>
      </c>
      <c r="F277" t="s">
        <v>359</v>
      </c>
      <c r="G277" t="s">
        <v>1002</v>
      </c>
      <c r="H277" t="s">
        <v>1002</v>
      </c>
      <c r="I277">
        <v>0</v>
      </c>
      <c r="J277">
        <v>0</v>
      </c>
      <c r="K277" t="s">
        <v>1003</v>
      </c>
    </row>
    <row r="278" spans="1:11" x14ac:dyDescent="0.2">
      <c r="A278" t="str">
        <f>HYPERLINK("https://www.tiwall.com//p/sodolos","سودولوس")</f>
        <v>سودولوس</v>
      </c>
      <c r="B278">
        <v>70</v>
      </c>
      <c r="C278" t="s">
        <v>132</v>
      </c>
      <c r="D278" t="s">
        <v>12</v>
      </c>
      <c r="E278" t="s">
        <v>26</v>
      </c>
      <c r="F278" t="s">
        <v>1004</v>
      </c>
      <c r="G278" t="s">
        <v>1005</v>
      </c>
      <c r="H278" t="s">
        <v>1005</v>
      </c>
      <c r="I278">
        <v>2.8</v>
      </c>
      <c r="J278">
        <v>24</v>
      </c>
      <c r="K278" t="s">
        <v>1006</v>
      </c>
    </row>
    <row r="279" spans="1:11" x14ac:dyDescent="0.2">
      <c r="A279" t="str">
        <f>HYPERLINK("https://www.tiwall.com//p/arazel","اون و اراذل کوچه پشتی یا از پیراهن دموکراسی خون می چکد")</f>
        <v>اون و اراذل کوچه پشتی یا از پیراهن دموکراسی خون می چکد</v>
      </c>
      <c r="B279">
        <v>40</v>
      </c>
      <c r="C279" t="s">
        <v>86</v>
      </c>
      <c r="D279" t="s">
        <v>146</v>
      </c>
      <c r="E279" t="s">
        <v>71</v>
      </c>
      <c r="F279" t="s">
        <v>1007</v>
      </c>
      <c r="G279" t="s">
        <v>1008</v>
      </c>
      <c r="H279" t="s">
        <v>1008</v>
      </c>
      <c r="I279">
        <v>2.7</v>
      </c>
      <c r="J279">
        <v>11</v>
      </c>
      <c r="K279" t="s">
        <v>1009</v>
      </c>
    </row>
    <row r="280" spans="1:11" x14ac:dyDescent="0.2">
      <c r="A280" t="str">
        <f>HYPERLINK("https://www.tiwall.com//p/zanan.chamedan","زنانی با چمدان های پر از شکلات")</f>
        <v>زنانی با چمدان های پر از شکلات</v>
      </c>
      <c r="B280">
        <v>50</v>
      </c>
      <c r="C280" t="s">
        <v>121</v>
      </c>
      <c r="D280" t="s">
        <v>12</v>
      </c>
      <c r="E280" t="s">
        <v>13</v>
      </c>
      <c r="F280" t="s">
        <v>1010</v>
      </c>
      <c r="G280" t="s">
        <v>1011</v>
      </c>
      <c r="H280" t="s">
        <v>1011</v>
      </c>
      <c r="I280">
        <v>0</v>
      </c>
      <c r="J280">
        <v>0</v>
      </c>
      <c r="K280" t="s">
        <v>1012</v>
      </c>
    </row>
    <row r="281" spans="1:11" x14ac:dyDescent="0.2">
      <c r="A281" t="str">
        <f>HYPERLINK("https://www.tiwall.com//p/daryayemorgh","دریایی مرغ")</f>
        <v>دریایی مرغ</v>
      </c>
      <c r="B281">
        <v>65</v>
      </c>
      <c r="C281" t="s">
        <v>180</v>
      </c>
      <c r="D281" t="s">
        <v>25</v>
      </c>
      <c r="E281" t="s">
        <v>26</v>
      </c>
      <c r="F281" t="s">
        <v>1013</v>
      </c>
      <c r="G281" t="s">
        <v>1014</v>
      </c>
      <c r="H281" t="s">
        <v>1014</v>
      </c>
      <c r="I281">
        <v>3.8</v>
      </c>
      <c r="J281">
        <v>12</v>
      </c>
      <c r="K281" t="s">
        <v>1015</v>
      </c>
    </row>
    <row r="282" spans="1:11" x14ac:dyDescent="0.2">
      <c r="A282" t="str">
        <f>HYPERLINK("https://www.tiwall.com//p/eisenhower","آیزنهاور ۴:۵۷")</f>
        <v>آیزنهاور ۴:۵۷</v>
      </c>
      <c r="B282">
        <v>60</v>
      </c>
      <c r="C282" t="s">
        <v>132</v>
      </c>
      <c r="D282" t="s">
        <v>384</v>
      </c>
      <c r="E282" t="s">
        <v>303</v>
      </c>
      <c r="F282" t="s">
        <v>1016</v>
      </c>
      <c r="G282" t="s">
        <v>1017</v>
      </c>
      <c r="H282" t="s">
        <v>1018</v>
      </c>
      <c r="I282">
        <v>3.1</v>
      </c>
      <c r="J282">
        <v>14</v>
      </c>
      <c r="K282" t="s">
        <v>1019</v>
      </c>
    </row>
    <row r="283" spans="1:11" x14ac:dyDescent="0.2">
      <c r="A283" t="str">
        <f>HYPERLINK("https://www.tiwall.com//p/soetafahom17","سوءتفاهم")</f>
        <v>سوءتفاهم</v>
      </c>
      <c r="B283">
        <v>60</v>
      </c>
      <c r="C283" t="s">
        <v>224</v>
      </c>
      <c r="D283" t="s">
        <v>799</v>
      </c>
      <c r="E283" t="s">
        <v>71</v>
      </c>
      <c r="F283" t="s">
        <v>822</v>
      </c>
      <c r="G283" t="s">
        <v>1020</v>
      </c>
      <c r="H283" t="s">
        <v>758</v>
      </c>
      <c r="I283">
        <v>0</v>
      </c>
      <c r="J283">
        <v>0</v>
      </c>
      <c r="K283" t="s">
        <v>1021</v>
      </c>
    </row>
    <row r="284" spans="1:11" x14ac:dyDescent="0.2">
      <c r="A284" t="str">
        <f>HYPERLINK("https://www.tiwall.com//p/gheyremostaghim","مسئله غیرمستقیم")</f>
        <v>مسئله غیرمستقیم</v>
      </c>
      <c r="B284">
        <v>35</v>
      </c>
      <c r="C284" t="s">
        <v>11</v>
      </c>
      <c r="D284" t="s">
        <v>217</v>
      </c>
      <c r="E284" t="s">
        <v>194</v>
      </c>
      <c r="F284" t="s">
        <v>736</v>
      </c>
      <c r="G284" t="s">
        <v>1022</v>
      </c>
      <c r="H284" t="s">
        <v>1022</v>
      </c>
      <c r="I284">
        <v>0</v>
      </c>
      <c r="J284">
        <v>0</v>
      </c>
      <c r="K284" t="s">
        <v>1023</v>
      </c>
    </row>
    <row r="285" spans="1:11" x14ac:dyDescent="0.2">
      <c r="A285" t="str">
        <f>HYPERLINK("https://www.tiwall.com//p/daghayegh.jonoun","دقایقی از جنون")</f>
        <v>دقایقی از جنون</v>
      </c>
      <c r="B285">
        <v>35</v>
      </c>
      <c r="C285" t="s">
        <v>44</v>
      </c>
      <c r="D285" t="s">
        <v>146</v>
      </c>
      <c r="E285" t="s">
        <v>13</v>
      </c>
      <c r="F285" t="s">
        <v>1024</v>
      </c>
      <c r="G285" t="s">
        <v>810</v>
      </c>
      <c r="H285" t="s">
        <v>810</v>
      </c>
      <c r="I285">
        <v>0</v>
      </c>
      <c r="J285">
        <v>0</v>
      </c>
      <c r="K285" t="s">
        <v>1025</v>
      </c>
    </row>
    <row r="286" spans="1:11" x14ac:dyDescent="0.2">
      <c r="A286" t="str">
        <f>HYPERLINK("https://www.tiwall.com//p/rokh","رُخ در رُخ")</f>
        <v>رُخ در رُخ</v>
      </c>
      <c r="B286">
        <v>90</v>
      </c>
      <c r="C286" t="s">
        <v>324</v>
      </c>
      <c r="D286" t="s">
        <v>217</v>
      </c>
      <c r="E286" t="s">
        <v>13</v>
      </c>
      <c r="F286" t="s">
        <v>623</v>
      </c>
      <c r="G286" t="s">
        <v>1026</v>
      </c>
      <c r="H286" t="s">
        <v>1027</v>
      </c>
      <c r="I286">
        <v>0</v>
      </c>
      <c r="J286">
        <v>0</v>
      </c>
      <c r="K286" t="s">
        <v>1028</v>
      </c>
    </row>
    <row r="287" spans="1:11" x14ac:dyDescent="0.2">
      <c r="A287" t="str">
        <f>HYPERLINK("https://www.tiwall.com//p/gholamrezalabkhandi2","غلامرضا لبخندی")</f>
        <v>غلامرضا لبخندی</v>
      </c>
      <c r="B287">
        <v>60</v>
      </c>
      <c r="C287" t="s">
        <v>31</v>
      </c>
      <c r="D287" t="s">
        <v>12</v>
      </c>
      <c r="E287" t="s">
        <v>26</v>
      </c>
      <c r="F287" t="s">
        <v>519</v>
      </c>
      <c r="G287" t="s">
        <v>762</v>
      </c>
      <c r="H287" t="s">
        <v>762</v>
      </c>
      <c r="I287">
        <v>3.8</v>
      </c>
      <c r="J287">
        <v>70</v>
      </c>
      <c r="K287" t="s">
        <v>1029</v>
      </c>
    </row>
    <row r="288" spans="1:11" x14ac:dyDescent="0.2">
      <c r="A288" t="str">
        <f>HYPERLINK("https://www.tiwall.com//p/poonez","پونز")</f>
        <v>پونز</v>
      </c>
      <c r="B288">
        <v>35</v>
      </c>
      <c r="C288" t="s">
        <v>31</v>
      </c>
      <c r="D288" t="s">
        <v>957</v>
      </c>
      <c r="E288" t="s">
        <v>13</v>
      </c>
      <c r="F288" t="s">
        <v>185</v>
      </c>
      <c r="G288" t="s">
        <v>1030</v>
      </c>
      <c r="H288" t="s">
        <v>1030</v>
      </c>
      <c r="I288">
        <v>2</v>
      </c>
      <c r="J288">
        <v>9</v>
      </c>
      <c r="K288" t="s">
        <v>1031</v>
      </c>
    </row>
    <row r="289" spans="1:11" x14ac:dyDescent="0.2">
      <c r="A289" t="str">
        <f>HYPERLINK("https://www.tiwall.com//p/royayeyekshab6","رویای شب نیمه تابستان")</f>
        <v>رویای شب نیمه تابستان</v>
      </c>
      <c r="B289">
        <v>50</v>
      </c>
      <c r="C289" t="s">
        <v>37</v>
      </c>
      <c r="D289" t="s">
        <v>25</v>
      </c>
      <c r="E289" t="s">
        <v>303</v>
      </c>
      <c r="F289" t="s">
        <v>1032</v>
      </c>
      <c r="G289" t="s">
        <v>1033</v>
      </c>
      <c r="H289" t="s">
        <v>1034</v>
      </c>
      <c r="I289">
        <v>3.8</v>
      </c>
      <c r="J289">
        <v>20</v>
      </c>
      <c r="K289" t="s">
        <v>1035</v>
      </c>
    </row>
    <row r="290" spans="1:11" x14ac:dyDescent="0.2">
      <c r="A290" t="str">
        <f>HYPERLINK("https://www.tiwall.com//p/fatemeh3","فاطمه")</f>
        <v>فاطمه</v>
      </c>
      <c r="B290">
        <v>100</v>
      </c>
      <c r="C290" t="s">
        <v>1036</v>
      </c>
      <c r="D290" t="s">
        <v>87</v>
      </c>
      <c r="E290" t="s">
        <v>71</v>
      </c>
      <c r="F290" t="s">
        <v>1037</v>
      </c>
      <c r="G290" t="s">
        <v>1038</v>
      </c>
      <c r="H290" t="s">
        <v>1038</v>
      </c>
      <c r="I290">
        <v>0</v>
      </c>
      <c r="J290">
        <v>0</v>
      </c>
      <c r="K290" t="s">
        <v>1039</v>
      </c>
    </row>
    <row r="291" spans="1:11" x14ac:dyDescent="0.2">
      <c r="A291" t="str">
        <f>HYPERLINK("https://www.tiwall.com//p/seshanbeh.bahman","سه شنبه شانزده بهمن ساعت ۲ نیمه شب")</f>
        <v>سه شنبه شانزده بهمن ساعت ۲ نیمه شب</v>
      </c>
      <c r="B291">
        <v>50</v>
      </c>
      <c r="C291" t="s">
        <v>51</v>
      </c>
      <c r="D291" t="s">
        <v>25</v>
      </c>
      <c r="E291" t="s">
        <v>13</v>
      </c>
      <c r="F291" t="s">
        <v>1040</v>
      </c>
      <c r="G291" t="s">
        <v>419</v>
      </c>
      <c r="H291" t="s">
        <v>1041</v>
      </c>
      <c r="I291">
        <v>2.8</v>
      </c>
      <c r="J291">
        <v>5</v>
      </c>
      <c r="K291" t="s">
        <v>1042</v>
      </c>
    </row>
    <row r="292" spans="1:11" x14ac:dyDescent="0.2">
      <c r="A292" t="str">
        <f>HYPERLINK("https://www.tiwall.com//p/godofcornage8","خدای کشتار")</f>
        <v>خدای کشتار</v>
      </c>
      <c r="B292">
        <v>40</v>
      </c>
      <c r="C292" t="s">
        <v>121</v>
      </c>
      <c r="D292" t="s">
        <v>217</v>
      </c>
      <c r="E292" t="s">
        <v>26</v>
      </c>
      <c r="F292" t="s">
        <v>1043</v>
      </c>
      <c r="G292" t="s">
        <v>1044</v>
      </c>
      <c r="H292" t="s">
        <v>685</v>
      </c>
      <c r="I292">
        <v>0</v>
      </c>
      <c r="J292">
        <v>0</v>
      </c>
      <c r="K292" t="s">
        <v>1045</v>
      </c>
    </row>
    <row r="293" spans="1:11" x14ac:dyDescent="0.2">
      <c r="A293" t="str">
        <f>HYPERLINK("https://www.tiwall.com//p/biheivan8","تئاتر بی حیوان")</f>
        <v>تئاتر بی حیوان</v>
      </c>
      <c r="B293">
        <v>70</v>
      </c>
      <c r="C293" t="s">
        <v>522</v>
      </c>
      <c r="D293" t="s">
        <v>87</v>
      </c>
      <c r="E293" t="s">
        <v>138</v>
      </c>
      <c r="F293" t="s">
        <v>1046</v>
      </c>
      <c r="G293" t="s">
        <v>941</v>
      </c>
      <c r="H293" t="s">
        <v>1047</v>
      </c>
      <c r="I293">
        <v>4.3</v>
      </c>
      <c r="J293">
        <v>6</v>
      </c>
      <c r="K293" t="s">
        <v>1048</v>
      </c>
    </row>
    <row r="294" spans="1:11" x14ac:dyDescent="0.2">
      <c r="A294" t="str">
        <f>HYPERLINK("https://www.tiwall.com//p/nazgol","نازگل")</f>
        <v>نازگل</v>
      </c>
      <c r="B294">
        <v>50</v>
      </c>
      <c r="C294" t="s">
        <v>145</v>
      </c>
      <c r="D294" t="s">
        <v>45</v>
      </c>
      <c r="E294" t="s">
        <v>303</v>
      </c>
      <c r="F294" t="s">
        <v>822</v>
      </c>
      <c r="G294" t="s">
        <v>1049</v>
      </c>
      <c r="H294" t="s">
        <v>1041</v>
      </c>
      <c r="I294">
        <v>3.8</v>
      </c>
      <c r="J294">
        <v>25</v>
      </c>
      <c r="K294" t="s">
        <v>1050</v>
      </c>
    </row>
    <row r="295" spans="1:11" x14ac:dyDescent="0.2">
      <c r="A295" t="str">
        <f>HYPERLINK("https://www.tiwall.com//p/bihesi","بی حسی موضعی")</f>
        <v>بی حسی موضعی</v>
      </c>
      <c r="B295">
        <v>50</v>
      </c>
      <c r="C295" t="s">
        <v>51</v>
      </c>
      <c r="D295" t="s">
        <v>12</v>
      </c>
      <c r="E295" t="s">
        <v>13</v>
      </c>
      <c r="F295" t="s">
        <v>1051</v>
      </c>
      <c r="G295" t="s">
        <v>1052</v>
      </c>
      <c r="H295" t="s">
        <v>1052</v>
      </c>
      <c r="I295">
        <v>0</v>
      </c>
      <c r="J295">
        <v>0</v>
      </c>
      <c r="K295" t="s">
        <v>1053</v>
      </c>
    </row>
    <row r="296" spans="1:11" x14ac:dyDescent="0.2">
      <c r="A296" t="str">
        <f>HYPERLINK("https://www.tiwall.com//p/hatfnoum","حتف نوم")</f>
        <v>حتف نوم</v>
      </c>
      <c r="B296">
        <v>45</v>
      </c>
      <c r="C296" t="s">
        <v>1054</v>
      </c>
      <c r="D296" t="s">
        <v>12</v>
      </c>
      <c r="E296" t="s">
        <v>13</v>
      </c>
      <c r="F296" t="s">
        <v>1055</v>
      </c>
      <c r="G296" t="s">
        <v>1056</v>
      </c>
      <c r="H296" t="s">
        <v>1056</v>
      </c>
      <c r="I296">
        <v>5</v>
      </c>
      <c r="J296">
        <v>7</v>
      </c>
      <c r="K296" t="s">
        <v>1057</v>
      </c>
    </row>
    <row r="297" spans="1:11" x14ac:dyDescent="0.2">
      <c r="A297" t="str">
        <f>HYPERLINK("https://www.tiwall.com//p/sarbazkhune2","سربازخونه")</f>
        <v>سربازخونه</v>
      </c>
      <c r="B297">
        <v>60</v>
      </c>
      <c r="C297" t="s">
        <v>1058</v>
      </c>
      <c r="D297" t="s">
        <v>12</v>
      </c>
      <c r="E297" t="s">
        <v>235</v>
      </c>
      <c r="F297" t="s">
        <v>457</v>
      </c>
      <c r="G297" t="s">
        <v>1059</v>
      </c>
      <c r="H297" t="s">
        <v>1060</v>
      </c>
      <c r="I297">
        <v>0</v>
      </c>
      <c r="J297">
        <v>0</v>
      </c>
      <c r="K297" t="s">
        <v>1061</v>
      </c>
    </row>
    <row r="298" spans="1:11" x14ac:dyDescent="0.2">
      <c r="A298" t="str">
        <f>HYPERLINK("https://www.tiwall.com//p/lectra3","الکترا")</f>
        <v>الکترا</v>
      </c>
      <c r="B298">
        <v>90</v>
      </c>
      <c r="C298" t="s">
        <v>1062</v>
      </c>
      <c r="D298" t="s">
        <v>217</v>
      </c>
      <c r="E298" t="s">
        <v>1063</v>
      </c>
      <c r="F298" t="s">
        <v>277</v>
      </c>
      <c r="G298" t="s">
        <v>1064</v>
      </c>
      <c r="H298" t="s">
        <v>1064</v>
      </c>
      <c r="I298">
        <v>0</v>
      </c>
      <c r="J298">
        <v>0</v>
      </c>
      <c r="K298" t="s">
        <v>1065</v>
      </c>
    </row>
    <row r="299" spans="1:11" x14ac:dyDescent="0.2">
      <c r="A299" t="str">
        <f>HYPERLINK("https://www.tiwall.com//p/bistohaft","بیست و هفت")</f>
        <v>بیست و هفت</v>
      </c>
      <c r="B299">
        <v>40</v>
      </c>
      <c r="C299" t="s">
        <v>1066</v>
      </c>
      <c r="D299" t="s">
        <v>87</v>
      </c>
      <c r="E299" t="s">
        <v>13</v>
      </c>
      <c r="F299" t="s">
        <v>688</v>
      </c>
      <c r="G299" t="s">
        <v>1067</v>
      </c>
      <c r="H299" t="s">
        <v>1067</v>
      </c>
      <c r="I299">
        <v>0</v>
      </c>
      <c r="J299">
        <v>0</v>
      </c>
      <c r="K299" t="s">
        <v>1068</v>
      </c>
    </row>
    <row r="300" spans="1:11" x14ac:dyDescent="0.2">
      <c r="A300" t="str">
        <f>HYPERLINK("https://www.tiwall.com//p/hich.miyanema2","هیچ میان ما")</f>
        <v>هیچ میان ما</v>
      </c>
      <c r="B300">
        <v>30</v>
      </c>
      <c r="C300" t="s">
        <v>369</v>
      </c>
      <c r="D300" t="s">
        <v>45</v>
      </c>
      <c r="E300" t="s">
        <v>194</v>
      </c>
      <c r="F300" t="s">
        <v>1032</v>
      </c>
      <c r="G300" t="s">
        <v>1069</v>
      </c>
      <c r="H300" t="s">
        <v>1069</v>
      </c>
      <c r="I300">
        <v>3.5</v>
      </c>
      <c r="J300">
        <v>18</v>
      </c>
      <c r="K300" t="s">
        <v>1070</v>
      </c>
    </row>
    <row r="301" spans="1:11" x14ac:dyDescent="0.2">
      <c r="A301" t="str">
        <f>HYPERLINK("https://www.tiwall.com//p/riversidedrive","ریورساید درایو")</f>
        <v>ریورساید درایو</v>
      </c>
      <c r="B301">
        <v>45</v>
      </c>
      <c r="C301" t="s">
        <v>24</v>
      </c>
      <c r="D301" t="s">
        <v>12</v>
      </c>
      <c r="E301" t="s">
        <v>13</v>
      </c>
      <c r="F301" t="s">
        <v>1071</v>
      </c>
      <c r="G301" t="s">
        <v>1072</v>
      </c>
      <c r="H301" t="s">
        <v>1073</v>
      </c>
      <c r="I301">
        <v>3.8</v>
      </c>
      <c r="J301">
        <v>9</v>
      </c>
      <c r="K301" t="s">
        <v>1074</v>
      </c>
    </row>
    <row r="302" spans="1:11" x14ac:dyDescent="0.2">
      <c r="A302" t="str">
        <f>HYPERLINK("https://www.tiwall.com//p/banksy","بنکسی بزرگ")</f>
        <v>بنکسی بزرگ</v>
      </c>
      <c r="B302">
        <v>80</v>
      </c>
      <c r="C302" t="s">
        <v>44</v>
      </c>
      <c r="D302" t="s">
        <v>12</v>
      </c>
      <c r="E302" t="s">
        <v>26</v>
      </c>
      <c r="F302" t="s">
        <v>1075</v>
      </c>
      <c r="G302" t="s">
        <v>1076</v>
      </c>
      <c r="H302" t="s">
        <v>1077</v>
      </c>
      <c r="I302">
        <v>4.0999999999999996</v>
      </c>
      <c r="J302">
        <v>50</v>
      </c>
      <c r="K302" t="s">
        <v>1078</v>
      </c>
    </row>
    <row r="303" spans="1:11" x14ac:dyDescent="0.2">
      <c r="A303" t="str">
        <f>HYPERLINK("https://www.tiwall.com//p/tasvir.mozafari","تصویر مصور مظفری")</f>
        <v>تصویر مصور مظفری</v>
      </c>
      <c r="B303">
        <v>60</v>
      </c>
      <c r="C303" t="s">
        <v>37</v>
      </c>
      <c r="D303" t="s">
        <v>25</v>
      </c>
      <c r="E303" t="s">
        <v>26</v>
      </c>
      <c r="F303" t="s">
        <v>668</v>
      </c>
      <c r="G303" t="s">
        <v>1079</v>
      </c>
      <c r="H303" t="s">
        <v>1080</v>
      </c>
      <c r="I303">
        <v>3.8</v>
      </c>
      <c r="J303">
        <v>35</v>
      </c>
      <c r="K303" t="s">
        <v>1081</v>
      </c>
    </row>
    <row r="304" spans="1:11" x14ac:dyDescent="0.2">
      <c r="A304" t="str">
        <f>HYPERLINK("https://www.tiwall.com//p/virtuousburglar","همه دزدها که دزد نیستند!")</f>
        <v>همه دزدها که دزد نیستند!</v>
      </c>
      <c r="B304">
        <v>40</v>
      </c>
      <c r="C304" t="s">
        <v>155</v>
      </c>
      <c r="D304" t="s">
        <v>299</v>
      </c>
      <c r="E304" t="s">
        <v>13</v>
      </c>
      <c r="F304" t="s">
        <v>1082</v>
      </c>
      <c r="G304" t="s">
        <v>1083</v>
      </c>
      <c r="H304" t="s">
        <v>1084</v>
      </c>
      <c r="I304">
        <v>2</v>
      </c>
      <c r="J304">
        <v>6</v>
      </c>
      <c r="K304" t="s">
        <v>1085</v>
      </c>
    </row>
    <row r="305" spans="1:11" x14ac:dyDescent="0.2">
      <c r="A305" t="str">
        <f>HYPERLINK("https://www.tiwall.com//p/art","آرت")</f>
        <v>آرت</v>
      </c>
      <c r="B305">
        <v>40</v>
      </c>
      <c r="C305" t="s">
        <v>199</v>
      </c>
      <c r="D305" t="s">
        <v>146</v>
      </c>
      <c r="E305" t="s">
        <v>19</v>
      </c>
      <c r="F305" t="s">
        <v>1086</v>
      </c>
      <c r="G305" t="s">
        <v>1087</v>
      </c>
      <c r="H305" t="s">
        <v>685</v>
      </c>
      <c r="I305">
        <v>3.4</v>
      </c>
      <c r="J305">
        <v>7</v>
      </c>
      <c r="K305" t="s">
        <v>1088</v>
      </c>
    </row>
    <row r="306" spans="1:11" x14ac:dyDescent="0.2">
      <c r="A306" t="str">
        <f>HYPERLINK("https://www.tiwall.com//p/sadeynhe2","ص.عه")</f>
        <v>ص.عه</v>
      </c>
      <c r="B306">
        <v>80</v>
      </c>
      <c r="C306" t="s">
        <v>44</v>
      </c>
      <c r="D306" t="s">
        <v>12</v>
      </c>
      <c r="E306" t="s">
        <v>71</v>
      </c>
      <c r="F306" t="s">
        <v>1089</v>
      </c>
      <c r="G306" t="s">
        <v>781</v>
      </c>
      <c r="H306" t="s">
        <v>1090</v>
      </c>
      <c r="I306">
        <v>3.1</v>
      </c>
      <c r="J306">
        <v>12</v>
      </c>
      <c r="K306" t="s">
        <v>1091</v>
      </c>
    </row>
    <row r="307" spans="1:11" x14ac:dyDescent="0.2">
      <c r="A307" t="str">
        <f>HYPERLINK("https://www.tiwall.com//p/3audit14","۳/۱۴")</f>
        <v>۳/۱۴</v>
      </c>
      <c r="B307">
        <v>35</v>
      </c>
      <c r="C307" t="s">
        <v>1092</v>
      </c>
      <c r="D307" t="s">
        <v>45</v>
      </c>
      <c r="E307" t="s">
        <v>13</v>
      </c>
      <c r="F307" t="s">
        <v>385</v>
      </c>
      <c r="G307" t="s">
        <v>1093</v>
      </c>
      <c r="H307" t="s">
        <v>1093</v>
      </c>
      <c r="I307">
        <v>2.7</v>
      </c>
      <c r="J307">
        <v>19</v>
      </c>
      <c r="K307" t="s">
        <v>1094</v>
      </c>
    </row>
    <row r="308" spans="1:11" x14ac:dyDescent="0.2">
      <c r="A308" t="str">
        <f>HYPERLINK("https://www.tiwall.com//p/andouhsepid","اندوه سپید دخترکان")</f>
        <v>اندوه سپید دخترکان</v>
      </c>
      <c r="B308">
        <v>50</v>
      </c>
      <c r="C308" t="s">
        <v>103</v>
      </c>
      <c r="D308" t="s">
        <v>559</v>
      </c>
      <c r="E308" t="s">
        <v>13</v>
      </c>
      <c r="F308" t="s">
        <v>1095</v>
      </c>
      <c r="G308" t="s">
        <v>1096</v>
      </c>
      <c r="H308" t="s">
        <v>1097</v>
      </c>
      <c r="I308">
        <v>0</v>
      </c>
      <c r="J308">
        <v>0</v>
      </c>
      <c r="K308" t="s">
        <v>1098</v>
      </c>
    </row>
    <row r="309" spans="1:11" x14ac:dyDescent="0.2">
      <c r="A309" t="str">
        <f>HYPERLINK("https://www.tiwall.com//p/don.quixote3","دن کیشوت")</f>
        <v>دن کیشوت</v>
      </c>
      <c r="B309">
        <v>65</v>
      </c>
      <c r="C309" t="s">
        <v>86</v>
      </c>
      <c r="D309" t="s">
        <v>38</v>
      </c>
      <c r="E309" t="s">
        <v>39</v>
      </c>
      <c r="F309" t="s">
        <v>480</v>
      </c>
      <c r="G309" t="s">
        <v>1099</v>
      </c>
      <c r="H309" t="s">
        <v>1099</v>
      </c>
      <c r="I309">
        <v>4.0999999999999996</v>
      </c>
      <c r="J309">
        <v>25</v>
      </c>
      <c r="K309" t="s">
        <v>1100</v>
      </c>
    </row>
    <row r="310" spans="1:11" x14ac:dyDescent="0.2">
      <c r="A310" t="str">
        <f>HYPERLINK("https://www.tiwall.com//p/marz5","مرز")</f>
        <v>مرز</v>
      </c>
      <c r="B310">
        <v>35</v>
      </c>
      <c r="C310" t="s">
        <v>1101</v>
      </c>
      <c r="D310" t="s">
        <v>25</v>
      </c>
      <c r="E310" t="s">
        <v>138</v>
      </c>
      <c r="F310" t="s">
        <v>1102</v>
      </c>
      <c r="G310" t="s">
        <v>1103</v>
      </c>
      <c r="H310" t="s">
        <v>1103</v>
      </c>
      <c r="I310">
        <v>0</v>
      </c>
      <c r="J310">
        <v>0</v>
      </c>
      <c r="K310" t="s">
        <v>1104</v>
      </c>
    </row>
    <row r="311" spans="1:11" x14ac:dyDescent="0.2">
      <c r="A311" t="str">
        <f>HYPERLINK("https://www.tiwall.com//p/masalanarghavani","مثلاً ارغوانی")</f>
        <v>مثلاً ارغوانی</v>
      </c>
      <c r="B311">
        <v>70</v>
      </c>
      <c r="C311" t="s">
        <v>11</v>
      </c>
      <c r="D311" t="s">
        <v>65</v>
      </c>
      <c r="E311" t="s">
        <v>26</v>
      </c>
      <c r="F311" t="s">
        <v>1105</v>
      </c>
      <c r="G311" t="s">
        <v>1106</v>
      </c>
      <c r="H311" t="s">
        <v>1106</v>
      </c>
      <c r="I311">
        <v>0</v>
      </c>
      <c r="J311">
        <v>0</v>
      </c>
      <c r="K311" t="s">
        <v>1107</v>
      </c>
    </row>
    <row r="312" spans="1:11" x14ac:dyDescent="0.2">
      <c r="A312" t="str">
        <f>HYPERLINK("https://www.tiwall.com//p/hamlet21","هملت")</f>
        <v>هملت</v>
      </c>
      <c r="B312">
        <v>30</v>
      </c>
      <c r="C312" t="s">
        <v>369</v>
      </c>
      <c r="D312" t="s">
        <v>45</v>
      </c>
      <c r="E312" t="s">
        <v>194</v>
      </c>
      <c r="F312" t="s">
        <v>1108</v>
      </c>
      <c r="G312" t="s">
        <v>1109</v>
      </c>
      <c r="H312" t="s">
        <v>1110</v>
      </c>
      <c r="I312">
        <v>3.4</v>
      </c>
      <c r="J312">
        <v>56</v>
      </c>
      <c r="K312" t="s">
        <v>1111</v>
      </c>
    </row>
    <row r="313" spans="1:11" x14ac:dyDescent="0.2">
      <c r="A313" t="str">
        <f>HYPERLINK("https://www.tiwall.com//p/monologue4","مونولوگ!")</f>
        <v>مونولوگ!</v>
      </c>
      <c r="B313">
        <v>80</v>
      </c>
      <c r="C313" t="s">
        <v>514</v>
      </c>
      <c r="D313" t="s">
        <v>12</v>
      </c>
      <c r="E313" t="s">
        <v>13</v>
      </c>
      <c r="F313" t="s">
        <v>20</v>
      </c>
      <c r="G313" t="s">
        <v>1112</v>
      </c>
      <c r="H313" t="s">
        <v>1113</v>
      </c>
      <c r="I313">
        <v>3.8</v>
      </c>
      <c r="J313">
        <v>12</v>
      </c>
      <c r="K313" t="s">
        <v>1114</v>
      </c>
    </row>
    <row r="314" spans="1:11" x14ac:dyDescent="0.2">
      <c r="A314" t="str">
        <f>HYPERLINK("https://www.tiwall.com//p/shooting","شوتینگ")</f>
        <v>شوتینگ</v>
      </c>
      <c r="B314">
        <v>70</v>
      </c>
      <c r="C314" t="s">
        <v>117</v>
      </c>
      <c r="D314" t="s">
        <v>12</v>
      </c>
      <c r="E314" t="s">
        <v>26</v>
      </c>
      <c r="F314" t="s">
        <v>273</v>
      </c>
      <c r="G314" t="s">
        <v>1115</v>
      </c>
      <c r="H314" t="s">
        <v>1115</v>
      </c>
      <c r="I314">
        <v>0</v>
      </c>
      <c r="J314">
        <v>0</v>
      </c>
      <c r="K314" t="s">
        <v>1116</v>
      </c>
    </row>
    <row r="315" spans="1:11" x14ac:dyDescent="0.2">
      <c r="A315" t="str">
        <f>HYPERLINK("https://www.tiwall.com//p/underdeveloped","عقب افتاده")</f>
        <v>عقب افتاده</v>
      </c>
      <c r="B315">
        <v>50</v>
      </c>
      <c r="C315" t="s">
        <v>199</v>
      </c>
      <c r="D315" t="s">
        <v>384</v>
      </c>
      <c r="E315" t="s">
        <v>26</v>
      </c>
      <c r="F315" t="s">
        <v>243</v>
      </c>
      <c r="G315" t="s">
        <v>1117</v>
      </c>
      <c r="H315" t="s">
        <v>1118</v>
      </c>
      <c r="I315">
        <v>4</v>
      </c>
      <c r="J315">
        <v>9</v>
      </c>
      <c r="K315" t="s">
        <v>1119</v>
      </c>
    </row>
    <row r="316" spans="1:11" x14ac:dyDescent="0.2">
      <c r="A316" t="str">
        <f>HYPERLINK("https://www.tiwall.com//p/restouran","رستوران")</f>
        <v>رستوران</v>
      </c>
      <c r="B316">
        <v>50</v>
      </c>
      <c r="C316" t="s">
        <v>1120</v>
      </c>
      <c r="D316" t="s">
        <v>12</v>
      </c>
      <c r="E316" t="s">
        <v>138</v>
      </c>
      <c r="F316" t="s">
        <v>490</v>
      </c>
      <c r="G316" t="s">
        <v>1121</v>
      </c>
      <c r="H316" t="s">
        <v>1122</v>
      </c>
      <c r="I316">
        <v>0</v>
      </c>
      <c r="J316">
        <v>0</v>
      </c>
      <c r="K316" t="s">
        <v>1123</v>
      </c>
    </row>
    <row r="317" spans="1:11" x14ac:dyDescent="0.2">
      <c r="A317" t="str">
        <f>HYPERLINK("https://www.tiwall.com//p/otagh.shomareh.shesh","اتاق شماره ۶")</f>
        <v>اتاق شماره ۶</v>
      </c>
      <c r="B317">
        <v>90</v>
      </c>
      <c r="C317" t="s">
        <v>24</v>
      </c>
      <c r="D317" t="s">
        <v>25</v>
      </c>
      <c r="E317" t="s">
        <v>13</v>
      </c>
      <c r="F317" t="s">
        <v>195</v>
      </c>
      <c r="G317" t="s">
        <v>1124</v>
      </c>
      <c r="H317" t="s">
        <v>352</v>
      </c>
      <c r="I317">
        <v>3</v>
      </c>
      <c r="J317">
        <v>13</v>
      </c>
      <c r="K317" t="s">
        <v>1125</v>
      </c>
    </row>
    <row r="318" spans="1:11" x14ac:dyDescent="0.2">
      <c r="A318" t="str">
        <f>HYPERLINK("https://www.tiwall.com//p/panj.sanieh.barf2","پنج ثانیه برف")</f>
        <v>پنج ثانیه برف</v>
      </c>
      <c r="B318">
        <v>60</v>
      </c>
      <c r="C318" t="s">
        <v>24</v>
      </c>
      <c r="D318" t="s">
        <v>87</v>
      </c>
      <c r="E318" t="s">
        <v>71</v>
      </c>
      <c r="F318" t="s">
        <v>1126</v>
      </c>
      <c r="G318" t="s">
        <v>1127</v>
      </c>
      <c r="H318" t="s">
        <v>1128</v>
      </c>
      <c r="I318">
        <v>0</v>
      </c>
      <c r="J318">
        <v>0</v>
      </c>
      <c r="K318" t="s">
        <v>1129</v>
      </c>
    </row>
    <row r="319" spans="1:11" x14ac:dyDescent="0.2">
      <c r="A319" t="str">
        <f>HYPERLINK("https://www.tiwall.com//p/dalghak3","دلقک")</f>
        <v>دلقک</v>
      </c>
      <c r="B319">
        <v>50</v>
      </c>
      <c r="C319" t="s">
        <v>44</v>
      </c>
      <c r="D319" t="s">
        <v>12</v>
      </c>
      <c r="E319" t="s">
        <v>13</v>
      </c>
      <c r="F319" t="s">
        <v>571</v>
      </c>
      <c r="G319" t="s">
        <v>1130</v>
      </c>
      <c r="H319" t="s">
        <v>1130</v>
      </c>
      <c r="I319">
        <v>0</v>
      </c>
      <c r="J319">
        <v>0</v>
      </c>
      <c r="K319" t="s">
        <v>1131</v>
      </c>
    </row>
    <row r="320" spans="1:11" x14ac:dyDescent="0.2">
      <c r="A320" t="str">
        <f>HYPERLINK("https://www.tiwall.com//p/yegazekocholou3","یه گاز کوچولو")</f>
        <v>یه گاز کوچولو</v>
      </c>
      <c r="B320">
        <v>35</v>
      </c>
      <c r="C320" t="s">
        <v>344</v>
      </c>
      <c r="D320" t="s">
        <v>45</v>
      </c>
      <c r="E320" t="s">
        <v>26</v>
      </c>
      <c r="F320" t="s">
        <v>109</v>
      </c>
      <c r="G320" t="s">
        <v>1132</v>
      </c>
      <c r="H320" t="s">
        <v>1133</v>
      </c>
      <c r="I320">
        <v>3.1</v>
      </c>
      <c r="J320">
        <v>10</v>
      </c>
      <c r="K320" t="s">
        <v>1134</v>
      </c>
    </row>
    <row r="321" spans="1:11" x14ac:dyDescent="0.2">
      <c r="A321" t="str">
        <f>HYPERLINK("https://www.tiwall.com//p/noghte.virgul","نقطه ویرگول")</f>
        <v>نقطه ویرگول</v>
      </c>
      <c r="B321">
        <v>90</v>
      </c>
      <c r="C321" t="s">
        <v>151</v>
      </c>
      <c r="D321" t="s">
        <v>32</v>
      </c>
      <c r="E321" t="s">
        <v>138</v>
      </c>
      <c r="F321" t="s">
        <v>270</v>
      </c>
      <c r="G321" t="s">
        <v>1135</v>
      </c>
      <c r="H321" t="s">
        <v>1136</v>
      </c>
      <c r="I321">
        <v>4.0999999999999996</v>
      </c>
      <c r="J321">
        <v>8</v>
      </c>
      <c r="K321" t="s">
        <v>1137</v>
      </c>
    </row>
    <row r="322" spans="1:11" x14ac:dyDescent="0.2">
      <c r="A322" t="str">
        <f>HYPERLINK("https://www.tiwall.com//p/oodo","او دو")</f>
        <v>او دو</v>
      </c>
      <c r="B322">
        <v>80</v>
      </c>
      <c r="C322" t="s">
        <v>230</v>
      </c>
      <c r="D322" t="s">
        <v>146</v>
      </c>
      <c r="E322" t="s">
        <v>303</v>
      </c>
      <c r="F322" t="s">
        <v>1138</v>
      </c>
      <c r="G322" t="s">
        <v>1139</v>
      </c>
      <c r="H322" t="s">
        <v>1140</v>
      </c>
      <c r="I322">
        <v>3.5</v>
      </c>
      <c r="J322">
        <v>13</v>
      </c>
      <c r="K322" t="s">
        <v>1141</v>
      </c>
    </row>
    <row r="323" spans="1:11" x14ac:dyDescent="0.2">
      <c r="A323" t="str">
        <f>HYPERLINK("https://www.tiwall.com//p/house.bernarda.alba9","خانه برناردا آلبا")</f>
        <v>خانه برناردا آلبا</v>
      </c>
      <c r="B323">
        <v>70</v>
      </c>
      <c r="C323" t="s">
        <v>11</v>
      </c>
      <c r="D323" t="s">
        <v>146</v>
      </c>
      <c r="E323" t="s">
        <v>19</v>
      </c>
      <c r="F323" t="s">
        <v>1142</v>
      </c>
      <c r="G323" t="s">
        <v>1143</v>
      </c>
      <c r="H323" t="s">
        <v>447</v>
      </c>
      <c r="I323">
        <v>4.2</v>
      </c>
      <c r="J323">
        <v>9</v>
      </c>
      <c r="K323" t="s">
        <v>1144</v>
      </c>
    </row>
    <row r="324" spans="1:11" x14ac:dyDescent="0.2">
      <c r="A324" t="str">
        <f>HYPERLINK("https://www.tiwall.com//p/asb.zemestan","اسب ها هیچ زمستانی کوچ نمی کنند")</f>
        <v>اسب ها هیچ زمستانی کوچ نمی کنند</v>
      </c>
      <c r="B324">
        <v>60</v>
      </c>
      <c r="C324" t="s">
        <v>117</v>
      </c>
      <c r="D324" t="s">
        <v>12</v>
      </c>
      <c r="E324" t="s">
        <v>175</v>
      </c>
      <c r="F324" t="s">
        <v>1145</v>
      </c>
      <c r="G324" t="s">
        <v>1146</v>
      </c>
      <c r="H324" t="s">
        <v>1147</v>
      </c>
      <c r="I324">
        <v>0</v>
      </c>
      <c r="J324">
        <v>0</v>
      </c>
      <c r="K324" t="s">
        <v>1148</v>
      </c>
    </row>
    <row r="325" spans="1:11" x14ac:dyDescent="0.2">
      <c r="A325" t="str">
        <f>HYPERLINK("https://www.tiwall.com//p/esm4","اسم")</f>
        <v>اسم</v>
      </c>
      <c r="B325">
        <v>25</v>
      </c>
      <c r="C325" t="s">
        <v>121</v>
      </c>
      <c r="D325" t="s">
        <v>65</v>
      </c>
      <c r="E325" t="s">
        <v>303</v>
      </c>
      <c r="F325" t="s">
        <v>134</v>
      </c>
      <c r="G325" t="s">
        <v>1149</v>
      </c>
      <c r="H325" t="s">
        <v>1150</v>
      </c>
      <c r="I325">
        <v>0</v>
      </c>
      <c r="J325">
        <v>0</v>
      </c>
      <c r="K325" t="s">
        <v>1151</v>
      </c>
    </row>
    <row r="326" spans="1:11" x14ac:dyDescent="0.2">
      <c r="A326" t="str">
        <f>HYPERLINK("https://www.tiwall.com//p/khokehendi2","خوک هندی")</f>
        <v>خوک هندی</v>
      </c>
      <c r="B326">
        <v>45</v>
      </c>
      <c r="C326" t="s">
        <v>199</v>
      </c>
      <c r="D326" t="s">
        <v>32</v>
      </c>
      <c r="E326" t="s">
        <v>88</v>
      </c>
      <c r="F326" t="s">
        <v>1152</v>
      </c>
      <c r="G326" t="s">
        <v>1153</v>
      </c>
      <c r="H326" t="s">
        <v>1154</v>
      </c>
      <c r="I326">
        <v>3.6</v>
      </c>
      <c r="J326">
        <v>7</v>
      </c>
      <c r="K326" t="s">
        <v>1155</v>
      </c>
    </row>
    <row r="327" spans="1:11" x14ac:dyDescent="0.2">
      <c r="A327" t="str">
        <f>HYPERLINK("https://www.tiwall.com//p/dorevayat.majhul","دو روایت مجهول")</f>
        <v>دو روایت مجهول</v>
      </c>
      <c r="B327">
        <v>65</v>
      </c>
      <c r="C327" t="s">
        <v>11</v>
      </c>
      <c r="D327" t="s">
        <v>65</v>
      </c>
      <c r="E327" t="s">
        <v>138</v>
      </c>
      <c r="F327" t="s">
        <v>1156</v>
      </c>
      <c r="G327" t="s">
        <v>1157</v>
      </c>
      <c r="H327" t="s">
        <v>1158</v>
      </c>
      <c r="I327">
        <v>0</v>
      </c>
      <c r="J327">
        <v>0</v>
      </c>
      <c r="K327" t="s">
        <v>1159</v>
      </c>
    </row>
    <row r="328" spans="1:11" x14ac:dyDescent="0.2">
      <c r="A328" t="str">
        <f>HYPERLINK("https://www.tiwall.com//p/shab.yalda2","شب طولانی یلدا")</f>
        <v>شب طولانی یلدا</v>
      </c>
      <c r="B328">
        <v>40</v>
      </c>
      <c r="C328" t="s">
        <v>145</v>
      </c>
      <c r="D328" t="s">
        <v>32</v>
      </c>
      <c r="E328" t="s">
        <v>13</v>
      </c>
      <c r="F328" t="s">
        <v>89</v>
      </c>
      <c r="G328" t="s">
        <v>1160</v>
      </c>
      <c r="H328" t="s">
        <v>1161</v>
      </c>
      <c r="I328">
        <v>0</v>
      </c>
      <c r="J328">
        <v>0</v>
      </c>
      <c r="K328" t="s">
        <v>1162</v>
      </c>
    </row>
    <row r="329" spans="1:11" x14ac:dyDescent="0.2">
      <c r="A329" t="str">
        <f>HYPERLINK("https://www.tiwall.com//p/khatareobour2","خطر عبور حیوانات وحشی")</f>
        <v>خطر عبور حیوانات وحشی</v>
      </c>
      <c r="B329">
        <v>40</v>
      </c>
      <c r="C329" t="s">
        <v>44</v>
      </c>
      <c r="D329" t="s">
        <v>12</v>
      </c>
      <c r="E329" t="s">
        <v>13</v>
      </c>
      <c r="F329" t="s">
        <v>1163</v>
      </c>
      <c r="G329" t="s">
        <v>1164</v>
      </c>
      <c r="H329" t="s">
        <v>79</v>
      </c>
      <c r="I329">
        <v>3</v>
      </c>
      <c r="J329">
        <v>9</v>
      </c>
      <c r="K329" t="s">
        <v>1165</v>
      </c>
    </row>
    <row r="330" spans="1:11" x14ac:dyDescent="0.2">
      <c r="A330" t="str">
        <f>HYPERLINK("https://www.tiwall.com//p/etefaq","اتفاق")</f>
        <v>اتفاق</v>
      </c>
      <c r="B330">
        <v>30</v>
      </c>
      <c r="C330" t="s">
        <v>121</v>
      </c>
      <c r="D330" t="s">
        <v>87</v>
      </c>
      <c r="E330" t="s">
        <v>235</v>
      </c>
      <c r="F330" t="s">
        <v>1166</v>
      </c>
      <c r="G330" t="s">
        <v>1167</v>
      </c>
      <c r="H330" t="s">
        <v>1167</v>
      </c>
      <c r="I330">
        <v>0</v>
      </c>
      <c r="J330">
        <v>0</v>
      </c>
      <c r="K330" t="s">
        <v>1168</v>
      </c>
    </row>
    <row r="331" spans="1:11" x14ac:dyDescent="0.2">
      <c r="A331" t="str">
        <f>HYPERLINK("https://www.tiwall.com//p/ash2","آش")</f>
        <v>آش</v>
      </c>
      <c r="B331">
        <v>40</v>
      </c>
      <c r="C331" t="s">
        <v>918</v>
      </c>
      <c r="D331" t="s">
        <v>217</v>
      </c>
      <c r="E331" t="s">
        <v>328</v>
      </c>
      <c r="F331" t="s">
        <v>1169</v>
      </c>
      <c r="G331" t="s">
        <v>1170</v>
      </c>
      <c r="H331" t="s">
        <v>1171</v>
      </c>
      <c r="I331">
        <v>0</v>
      </c>
      <c r="J331">
        <v>0</v>
      </c>
      <c r="K331" t="s">
        <v>1172</v>
      </c>
    </row>
    <row r="332" spans="1:11" x14ac:dyDescent="0.2">
      <c r="A332" t="str">
        <f>HYPERLINK("https://www.tiwall.com//p/mr.robinson","آقای رابینسون")</f>
        <v>آقای رابینسون</v>
      </c>
      <c r="B332">
        <v>40</v>
      </c>
      <c r="C332" t="s">
        <v>892</v>
      </c>
      <c r="D332" t="s">
        <v>45</v>
      </c>
      <c r="E332" t="s">
        <v>138</v>
      </c>
      <c r="F332" t="s">
        <v>1173</v>
      </c>
      <c r="G332" t="s">
        <v>1174</v>
      </c>
      <c r="H332" t="s">
        <v>1174</v>
      </c>
      <c r="I332">
        <v>0</v>
      </c>
      <c r="J332">
        <v>0</v>
      </c>
      <c r="K332" t="s">
        <v>1175</v>
      </c>
    </row>
    <row r="333" spans="1:11" x14ac:dyDescent="0.2">
      <c r="A333" t="str">
        <f>HYPERLINK("https://www.tiwall.com//p/maradona","مارادونا")</f>
        <v>مارادونا</v>
      </c>
      <c r="B333">
        <v>80</v>
      </c>
      <c r="C333" t="s">
        <v>86</v>
      </c>
      <c r="D333" t="s">
        <v>12</v>
      </c>
      <c r="E333" t="s">
        <v>13</v>
      </c>
      <c r="F333" t="s">
        <v>200</v>
      </c>
      <c r="G333" t="s">
        <v>143</v>
      </c>
      <c r="H333" t="s">
        <v>143</v>
      </c>
      <c r="I333">
        <v>3.5</v>
      </c>
      <c r="J333">
        <v>49</v>
      </c>
      <c r="K333" t="s">
        <v>1176</v>
      </c>
    </row>
    <row r="334" spans="1:11" x14ac:dyDescent="0.2">
      <c r="A334" t="str">
        <f>HYPERLINK("https://www.tiwall.com//p/oghab","عقاب")</f>
        <v>عقاب</v>
      </c>
      <c r="B334">
        <v>80</v>
      </c>
      <c r="C334" t="s">
        <v>151</v>
      </c>
      <c r="D334" t="s">
        <v>299</v>
      </c>
      <c r="E334" t="s">
        <v>138</v>
      </c>
      <c r="F334" t="s">
        <v>445</v>
      </c>
      <c r="G334" t="s">
        <v>1160</v>
      </c>
      <c r="H334" t="s">
        <v>1160</v>
      </c>
      <c r="I334">
        <v>4.5999999999999996</v>
      </c>
      <c r="J334">
        <v>14</v>
      </c>
      <c r="K334" t="s">
        <v>1177</v>
      </c>
    </row>
    <row r="335" spans="1:11" x14ac:dyDescent="0.2">
      <c r="A335" t="str">
        <f>HYPERLINK("https://www.tiwall.com//p/nesvanvatankhah3","مجلس شبیه خوانی نسوان")</f>
        <v>مجلس شبیه خوانی نسوان</v>
      </c>
      <c r="B335">
        <v>50</v>
      </c>
      <c r="C335" t="s">
        <v>112</v>
      </c>
      <c r="D335" t="s">
        <v>217</v>
      </c>
      <c r="E335" t="s">
        <v>13</v>
      </c>
      <c r="F335" t="s">
        <v>27</v>
      </c>
      <c r="G335" t="s">
        <v>1178</v>
      </c>
      <c r="H335" t="s">
        <v>1179</v>
      </c>
      <c r="I335">
        <v>4.5999999999999996</v>
      </c>
      <c r="J335">
        <v>8</v>
      </c>
      <c r="K335" t="s">
        <v>1180</v>
      </c>
    </row>
    <row r="336" spans="1:11" x14ac:dyDescent="0.2">
      <c r="A336" t="str">
        <f>HYPERLINK("https://www.tiwall.com//p/ghayebemadreseh3","غایب مدرسه")</f>
        <v>غایب مدرسه</v>
      </c>
      <c r="B336">
        <v>25</v>
      </c>
      <c r="C336" t="s">
        <v>117</v>
      </c>
      <c r="D336" t="s">
        <v>87</v>
      </c>
      <c r="E336" t="s">
        <v>303</v>
      </c>
      <c r="F336" t="s">
        <v>1181</v>
      </c>
      <c r="G336" t="s">
        <v>1182</v>
      </c>
      <c r="H336" t="s">
        <v>1183</v>
      </c>
      <c r="I336">
        <v>0</v>
      </c>
      <c r="J336">
        <v>0</v>
      </c>
      <c r="K336" t="s">
        <v>1184</v>
      </c>
    </row>
    <row r="337" spans="1:11" x14ac:dyDescent="0.2">
      <c r="A337" t="str">
        <f>HYPERLINK("https://www.tiwall.com//p/zanan.zendegi","ما به زنان یک زندگی بدهکاریم")</f>
        <v>ما به زنان یک زندگی بدهکاریم</v>
      </c>
      <c r="B337">
        <v>70</v>
      </c>
      <c r="C337" t="s">
        <v>224</v>
      </c>
      <c r="D337" t="s">
        <v>12</v>
      </c>
      <c r="E337" t="s">
        <v>13</v>
      </c>
      <c r="F337" t="s">
        <v>822</v>
      </c>
      <c r="G337" t="s">
        <v>1185</v>
      </c>
      <c r="H337" t="s">
        <v>1185</v>
      </c>
      <c r="I337">
        <v>4</v>
      </c>
      <c r="J337">
        <v>7</v>
      </c>
      <c r="K337" t="s">
        <v>1186</v>
      </c>
    </row>
    <row r="338" spans="1:11" x14ac:dyDescent="0.2">
      <c r="A338" t="str">
        <f>HYPERLINK("https://www.tiwall.com//p/miz3","میز")</f>
        <v>میز</v>
      </c>
      <c r="B338">
        <v>50</v>
      </c>
      <c r="C338" t="s">
        <v>180</v>
      </c>
      <c r="D338" t="s">
        <v>12</v>
      </c>
      <c r="E338" t="s">
        <v>13</v>
      </c>
      <c r="F338" t="s">
        <v>1187</v>
      </c>
      <c r="G338" t="s">
        <v>1188</v>
      </c>
      <c r="H338" t="s">
        <v>1189</v>
      </c>
      <c r="I338">
        <v>3.2</v>
      </c>
      <c r="J338">
        <v>32</v>
      </c>
      <c r="K338" t="s">
        <v>1190</v>
      </c>
    </row>
    <row r="339" spans="1:11" x14ac:dyDescent="0.2">
      <c r="A339" t="str">
        <f>HYPERLINK("https://www.tiwall.com//p/jenayeteghalb","جنایات قلب")</f>
        <v>جنایات قلب</v>
      </c>
      <c r="B339">
        <v>35</v>
      </c>
      <c r="C339" t="s">
        <v>344</v>
      </c>
      <c r="D339" t="s">
        <v>45</v>
      </c>
      <c r="E339" t="s">
        <v>13</v>
      </c>
      <c r="F339" t="s">
        <v>427</v>
      </c>
      <c r="G339" t="s">
        <v>1191</v>
      </c>
      <c r="H339" t="s">
        <v>1192</v>
      </c>
      <c r="I339">
        <v>4.0999999999999996</v>
      </c>
      <c r="J339">
        <v>10</v>
      </c>
      <c r="K339" t="s">
        <v>1193</v>
      </c>
    </row>
    <row r="340" spans="1:11" x14ac:dyDescent="0.2">
      <c r="A340" t="str">
        <f>HYPERLINK("https://www.tiwall.com//p/honda.adidas","هوندا، آدیداس")</f>
        <v>هوندا، آدیداس</v>
      </c>
      <c r="B340">
        <v>130</v>
      </c>
      <c r="C340" t="s">
        <v>24</v>
      </c>
      <c r="D340" t="s">
        <v>25</v>
      </c>
      <c r="E340" t="s">
        <v>13</v>
      </c>
      <c r="F340" t="s">
        <v>270</v>
      </c>
      <c r="G340" t="s">
        <v>1194</v>
      </c>
      <c r="H340" t="s">
        <v>1195</v>
      </c>
      <c r="I340">
        <v>2.7</v>
      </c>
      <c r="J340">
        <v>12</v>
      </c>
      <c r="K340" t="s">
        <v>1196</v>
      </c>
    </row>
    <row r="341" spans="1:11" x14ac:dyDescent="0.2">
      <c r="A341" t="str">
        <f>HYPERLINK("https://www.tiwall.com//p/parasayeshgah","پاراسایشگاه")</f>
        <v>پاراسایشگاه</v>
      </c>
      <c r="B341">
        <v>60</v>
      </c>
      <c r="C341" t="s">
        <v>204</v>
      </c>
      <c r="D341" t="s">
        <v>12</v>
      </c>
      <c r="E341" t="s">
        <v>71</v>
      </c>
      <c r="F341" t="s">
        <v>1197</v>
      </c>
      <c r="G341" t="s">
        <v>851</v>
      </c>
      <c r="H341" t="s">
        <v>1198</v>
      </c>
      <c r="I341">
        <v>3.4</v>
      </c>
      <c r="J341">
        <v>8</v>
      </c>
      <c r="K341" t="s">
        <v>1199</v>
      </c>
    </row>
    <row r="342" spans="1:11" x14ac:dyDescent="0.2">
      <c r="A342" t="str">
        <f>HYPERLINK("https://www.tiwall.com//p/kabous2","کابوس ها")</f>
        <v>کابوس ها</v>
      </c>
      <c r="B342">
        <v>35</v>
      </c>
      <c r="C342" t="s">
        <v>204</v>
      </c>
      <c r="D342" t="s">
        <v>384</v>
      </c>
      <c r="E342" t="s">
        <v>138</v>
      </c>
      <c r="F342" t="s">
        <v>1200</v>
      </c>
      <c r="G342" t="s">
        <v>990</v>
      </c>
      <c r="H342" t="s">
        <v>990</v>
      </c>
      <c r="I342">
        <v>0</v>
      </c>
      <c r="J342">
        <v>0</v>
      </c>
      <c r="K342" t="s">
        <v>1201</v>
      </c>
    </row>
    <row r="343" spans="1:11" x14ac:dyDescent="0.2">
      <c r="A343" t="str">
        <f>HYPERLINK("https://www.tiwall.com//p/lectra2","الکترا")</f>
        <v>الکترا</v>
      </c>
      <c r="B343">
        <v>60</v>
      </c>
      <c r="C343" t="s">
        <v>344</v>
      </c>
      <c r="D343" t="s">
        <v>12</v>
      </c>
      <c r="E343" t="s">
        <v>1202</v>
      </c>
      <c r="F343" t="s">
        <v>1203</v>
      </c>
      <c r="G343" t="s">
        <v>1064</v>
      </c>
      <c r="H343" t="s">
        <v>1064</v>
      </c>
      <c r="I343">
        <v>2.7</v>
      </c>
      <c r="J343">
        <v>28</v>
      </c>
      <c r="K343" t="s">
        <v>1204</v>
      </c>
    </row>
    <row r="344" spans="1:11" x14ac:dyDescent="0.2">
      <c r="A344" t="str">
        <f>HYPERLINK("https://www.tiwall.com//p/lahad","لحد")</f>
        <v>لحد</v>
      </c>
      <c r="B344">
        <v>120</v>
      </c>
      <c r="C344" t="s">
        <v>262</v>
      </c>
      <c r="D344" t="s">
        <v>25</v>
      </c>
      <c r="E344" t="s">
        <v>138</v>
      </c>
      <c r="F344" t="s">
        <v>263</v>
      </c>
      <c r="G344" t="s">
        <v>1205</v>
      </c>
      <c r="H344" t="s">
        <v>1206</v>
      </c>
      <c r="I344">
        <v>3.7</v>
      </c>
      <c r="J344">
        <v>30</v>
      </c>
      <c r="K344" t="s">
        <v>1207</v>
      </c>
    </row>
    <row r="345" spans="1:11" x14ac:dyDescent="0.2">
      <c r="A345" t="str">
        <f>HYPERLINK("https://www.tiwall.com//p/ehanatbetamashagar5","اهانت به تماشاگر")</f>
        <v>اهانت به تماشاگر</v>
      </c>
      <c r="B345">
        <v>40</v>
      </c>
      <c r="C345" t="s">
        <v>369</v>
      </c>
      <c r="D345" t="s">
        <v>45</v>
      </c>
      <c r="E345" t="s">
        <v>13</v>
      </c>
      <c r="F345" t="s">
        <v>1208</v>
      </c>
      <c r="G345" t="s">
        <v>1209</v>
      </c>
      <c r="H345" t="s">
        <v>1210</v>
      </c>
      <c r="I345">
        <v>3.3</v>
      </c>
      <c r="J345">
        <v>10</v>
      </c>
      <c r="K345" t="s">
        <v>1209</v>
      </c>
    </row>
    <row r="346" spans="1:11" x14ac:dyDescent="0.2">
      <c r="A346" t="str">
        <f>HYPERLINK("https://www.tiwall.com//p/larv","لارْو")</f>
        <v>لارْو</v>
      </c>
      <c r="B346">
        <v>65</v>
      </c>
      <c r="C346" t="s">
        <v>86</v>
      </c>
      <c r="D346" t="s">
        <v>299</v>
      </c>
      <c r="E346" t="s">
        <v>13</v>
      </c>
      <c r="F346" t="s">
        <v>531</v>
      </c>
      <c r="G346" t="s">
        <v>1211</v>
      </c>
      <c r="H346" t="s">
        <v>1211</v>
      </c>
      <c r="I346">
        <v>4</v>
      </c>
      <c r="J346">
        <v>33</v>
      </c>
      <c r="K346" t="s">
        <v>1212</v>
      </c>
    </row>
    <row r="347" spans="1:11" x14ac:dyDescent="0.2">
      <c r="A347" t="str">
        <f>HYPERLINK("https://www.tiwall.com//p/khianat.einstein","خیانت انیشتین")</f>
        <v>خیانت انیشتین</v>
      </c>
      <c r="B347">
        <v>45</v>
      </c>
      <c r="C347" t="s">
        <v>64</v>
      </c>
      <c r="D347" t="s">
        <v>87</v>
      </c>
      <c r="E347" t="s">
        <v>26</v>
      </c>
      <c r="F347" t="s">
        <v>1213</v>
      </c>
      <c r="G347" t="s">
        <v>941</v>
      </c>
      <c r="H347" t="s">
        <v>438</v>
      </c>
      <c r="I347">
        <v>3.4</v>
      </c>
      <c r="J347">
        <v>5</v>
      </c>
      <c r="K347" t="s">
        <v>1214</v>
      </c>
    </row>
    <row r="348" spans="1:11" x14ac:dyDescent="0.2">
      <c r="A348" t="str">
        <f>HYPERLINK("https://www.tiwall.com//p/roheh.sag","روح سگ زوزه میکشد")</f>
        <v>روح سگ زوزه میکشد</v>
      </c>
      <c r="B348">
        <v>60</v>
      </c>
      <c r="C348" t="s">
        <v>1215</v>
      </c>
      <c r="D348" t="s">
        <v>12</v>
      </c>
      <c r="E348" t="s">
        <v>138</v>
      </c>
      <c r="F348" t="s">
        <v>1169</v>
      </c>
      <c r="G348" t="s">
        <v>1216</v>
      </c>
      <c r="H348" t="s">
        <v>1217</v>
      </c>
      <c r="I348">
        <v>0</v>
      </c>
      <c r="J348">
        <v>0</v>
      </c>
      <c r="K348" t="s">
        <v>1218</v>
      </c>
    </row>
    <row r="349" spans="1:11" x14ac:dyDescent="0.2">
      <c r="A349" t="str">
        <f>HYPERLINK("https://www.tiwall.com//p/dehliz.khatereh","دهلیزهای بی انتهای خاطره")</f>
        <v>دهلیزهای بی انتهای خاطره</v>
      </c>
      <c r="B349">
        <v>70</v>
      </c>
      <c r="C349" t="s">
        <v>1219</v>
      </c>
      <c r="D349" t="s">
        <v>1220</v>
      </c>
      <c r="E349" t="s">
        <v>1221</v>
      </c>
      <c r="F349" t="s">
        <v>1222</v>
      </c>
      <c r="G349" t="s">
        <v>1223</v>
      </c>
      <c r="H349" t="s">
        <v>1223</v>
      </c>
      <c r="I349">
        <v>4.0999999999999996</v>
      </c>
      <c r="J349">
        <v>12</v>
      </c>
      <c r="K349" t="s">
        <v>1224</v>
      </c>
    </row>
    <row r="350" spans="1:11" x14ac:dyDescent="0.2">
      <c r="A350" t="str">
        <f>HYPERLINK("https://www.tiwall.com//p/hamsayeh.agha","همسایه‌ی آقا")</f>
        <v>همسایه‌ی آقا</v>
      </c>
      <c r="B350">
        <v>40</v>
      </c>
      <c r="C350" t="s">
        <v>97</v>
      </c>
      <c r="D350" t="s">
        <v>87</v>
      </c>
      <c r="E350" t="s">
        <v>208</v>
      </c>
      <c r="F350" t="s">
        <v>940</v>
      </c>
      <c r="G350" t="s">
        <v>1225</v>
      </c>
      <c r="H350" t="s">
        <v>267</v>
      </c>
      <c r="I350">
        <v>0</v>
      </c>
      <c r="J350">
        <v>0</v>
      </c>
      <c r="K350" t="s">
        <v>1226</v>
      </c>
    </row>
    <row r="351" spans="1:11" x14ac:dyDescent="0.2">
      <c r="A351" t="str">
        <f>HYPERLINK("https://www.tiwall.com//p/jaryan3","جریان")</f>
        <v>جریان</v>
      </c>
      <c r="B351">
        <v>200</v>
      </c>
      <c r="C351" t="s">
        <v>362</v>
      </c>
      <c r="D351" t="s">
        <v>12</v>
      </c>
      <c r="E351" t="s">
        <v>138</v>
      </c>
      <c r="F351" t="s">
        <v>1227</v>
      </c>
      <c r="G351" t="s">
        <v>520</v>
      </c>
      <c r="H351" t="s">
        <v>520</v>
      </c>
      <c r="I351">
        <v>0</v>
      </c>
      <c r="J351">
        <v>0</v>
      </c>
      <c r="K351" t="s">
        <v>1228</v>
      </c>
    </row>
    <row r="352" spans="1:11" x14ac:dyDescent="0.2">
      <c r="A352" t="str">
        <f>HYPERLINK("https://www.tiwall.com//p/ekhtelal3","اختلال")</f>
        <v>اختلال</v>
      </c>
      <c r="B352">
        <v>30</v>
      </c>
      <c r="C352" t="s">
        <v>137</v>
      </c>
      <c r="D352" t="s">
        <v>32</v>
      </c>
      <c r="E352" t="s">
        <v>235</v>
      </c>
      <c r="F352" t="s">
        <v>52</v>
      </c>
      <c r="G352" t="s">
        <v>1229</v>
      </c>
      <c r="H352" t="s">
        <v>1230</v>
      </c>
      <c r="I352">
        <v>4.0999999999999996</v>
      </c>
      <c r="J352">
        <v>9</v>
      </c>
      <c r="K352" t="s">
        <v>1231</v>
      </c>
    </row>
    <row r="353" spans="1:11" x14ac:dyDescent="0.2">
      <c r="A353" t="str">
        <f>HYPERLINK("https://www.tiwall.com//p/khounegazi","خونه گازی آ")</f>
        <v>خونه گازی آ</v>
      </c>
      <c r="B353">
        <v>50</v>
      </c>
      <c r="C353" t="s">
        <v>230</v>
      </c>
      <c r="D353" t="s">
        <v>225</v>
      </c>
      <c r="E353" t="s">
        <v>26</v>
      </c>
      <c r="F353" t="s">
        <v>869</v>
      </c>
      <c r="G353" t="s">
        <v>1232</v>
      </c>
      <c r="H353" t="s">
        <v>1233</v>
      </c>
      <c r="I353">
        <v>0</v>
      </c>
      <c r="J353">
        <v>0</v>
      </c>
      <c r="K353" t="s">
        <v>1234</v>
      </c>
    </row>
    <row r="354" spans="1:11" x14ac:dyDescent="0.2">
      <c r="A354" t="str">
        <f>HYPERLINK("https://www.tiwall.com//p/khaterat.khaneh4","خاطرات خانه‌ای که ...")</f>
        <v>خاطرات خانه‌ای که ...</v>
      </c>
      <c r="B354">
        <v>40</v>
      </c>
      <c r="C354" t="s">
        <v>825</v>
      </c>
      <c r="D354" t="s">
        <v>12</v>
      </c>
      <c r="E354" t="s">
        <v>13</v>
      </c>
      <c r="F354" t="s">
        <v>1235</v>
      </c>
      <c r="G354" t="s">
        <v>1236</v>
      </c>
      <c r="H354" t="s">
        <v>1237</v>
      </c>
      <c r="I354">
        <v>3.4</v>
      </c>
      <c r="J354">
        <v>5</v>
      </c>
      <c r="K354" t="s">
        <v>1238</v>
      </c>
    </row>
    <row r="355" spans="1:11" x14ac:dyDescent="0.2">
      <c r="A355" t="str">
        <f>HYPERLINK("https://www.tiwall.com//p/dayerehzaman","دایره زمان")</f>
        <v>دایره زمان</v>
      </c>
      <c r="B355">
        <v>25</v>
      </c>
      <c r="C355" t="s">
        <v>1239</v>
      </c>
      <c r="D355" t="s">
        <v>957</v>
      </c>
      <c r="E355" t="s">
        <v>194</v>
      </c>
      <c r="F355" t="s">
        <v>1240</v>
      </c>
      <c r="G355" t="s">
        <v>1241</v>
      </c>
      <c r="H355" t="s">
        <v>1241</v>
      </c>
      <c r="I355">
        <v>0</v>
      </c>
      <c r="J355">
        <v>0</v>
      </c>
      <c r="K355" t="s">
        <v>1242</v>
      </c>
    </row>
    <row r="356" spans="1:11" x14ac:dyDescent="0.2">
      <c r="A356" t="str">
        <f>HYPERLINK("https://www.tiwall.com//p/taxidermy3","تاکسیدرمی")</f>
        <v>تاکسیدرمی</v>
      </c>
      <c r="B356">
        <v>90</v>
      </c>
      <c r="C356" t="s">
        <v>24</v>
      </c>
      <c r="D356" t="s">
        <v>265</v>
      </c>
      <c r="E356" t="s">
        <v>71</v>
      </c>
      <c r="F356" t="s">
        <v>1243</v>
      </c>
      <c r="G356" t="s">
        <v>232</v>
      </c>
      <c r="H356" t="s">
        <v>233</v>
      </c>
      <c r="I356">
        <v>3.9</v>
      </c>
      <c r="J356">
        <v>48</v>
      </c>
      <c r="K356" t="s">
        <v>234</v>
      </c>
    </row>
    <row r="357" spans="1:11" x14ac:dyDescent="0.2">
      <c r="A357" t="str">
        <f>HYPERLINK("https://www.tiwall.com//p/borideha","بریده ها")</f>
        <v>بریده ها</v>
      </c>
      <c r="B357">
        <v>40</v>
      </c>
      <c r="C357" t="s">
        <v>204</v>
      </c>
      <c r="D357" t="s">
        <v>12</v>
      </c>
      <c r="E357" t="s">
        <v>13</v>
      </c>
      <c r="F357" t="s">
        <v>1007</v>
      </c>
      <c r="G357" t="s">
        <v>1244</v>
      </c>
      <c r="H357" t="s">
        <v>1245</v>
      </c>
      <c r="I357">
        <v>3.2</v>
      </c>
      <c r="J357">
        <v>6</v>
      </c>
      <c r="K357" t="s">
        <v>1246</v>
      </c>
    </row>
    <row r="358" spans="1:11" x14ac:dyDescent="0.2">
      <c r="A358" t="str">
        <f>HYPERLINK("https://www.tiwall.com//p/yamaha3","یاماها ۱۰۰۰")</f>
        <v>یاماها ۱۰۰۰</v>
      </c>
      <c r="B358">
        <v>150</v>
      </c>
      <c r="C358" t="s">
        <v>24</v>
      </c>
      <c r="D358" t="s">
        <v>38</v>
      </c>
      <c r="E358" t="s">
        <v>13</v>
      </c>
      <c r="F358" t="s">
        <v>592</v>
      </c>
      <c r="G358" t="s">
        <v>1247</v>
      </c>
      <c r="H358" t="s">
        <v>1248</v>
      </c>
      <c r="I358">
        <v>3.6</v>
      </c>
      <c r="J358">
        <v>7</v>
      </c>
      <c r="K358" t="s">
        <v>1249</v>
      </c>
    </row>
    <row r="359" spans="1:11" x14ac:dyDescent="0.2">
      <c r="A359" t="str">
        <f>HYPERLINK("https://www.tiwall.com//p/fargasht","فرگشت")</f>
        <v>فرگشت</v>
      </c>
      <c r="B359">
        <v>40</v>
      </c>
      <c r="C359" t="s">
        <v>64</v>
      </c>
      <c r="D359" t="s">
        <v>32</v>
      </c>
      <c r="E359" t="s">
        <v>208</v>
      </c>
      <c r="F359" t="s">
        <v>1055</v>
      </c>
      <c r="G359" t="s">
        <v>1250</v>
      </c>
      <c r="H359" t="s">
        <v>1250</v>
      </c>
      <c r="I359">
        <v>3.5</v>
      </c>
      <c r="J359">
        <v>15</v>
      </c>
      <c r="K359" t="s">
        <v>1251</v>
      </c>
    </row>
    <row r="360" spans="1:11" x14ac:dyDescent="0.2">
      <c r="A360" t="str">
        <f>HYPERLINK("https://www.tiwall.com//p/adidas","آدیداس")</f>
        <v>آدیداس</v>
      </c>
      <c r="B360">
        <v>70</v>
      </c>
      <c r="C360" t="s">
        <v>24</v>
      </c>
      <c r="D360" t="s">
        <v>12</v>
      </c>
      <c r="E360" t="s">
        <v>194</v>
      </c>
      <c r="F360" t="s">
        <v>40</v>
      </c>
      <c r="G360" t="s">
        <v>1252</v>
      </c>
      <c r="H360" t="s">
        <v>1253</v>
      </c>
      <c r="I360">
        <v>3</v>
      </c>
      <c r="J360">
        <v>17</v>
      </c>
      <c r="K360" t="s">
        <v>1254</v>
      </c>
    </row>
    <row r="361" spans="1:11" x14ac:dyDescent="0.2">
      <c r="A361" t="str">
        <f>HYPERLINK("https://www.tiwall.com//p/partners.in.crime9","خرده جنایات زناشویی")</f>
        <v>خرده جنایات زناشویی</v>
      </c>
      <c r="B361">
        <v>50</v>
      </c>
      <c r="C361" t="s">
        <v>24</v>
      </c>
      <c r="D361" t="s">
        <v>32</v>
      </c>
      <c r="E361" t="s">
        <v>13</v>
      </c>
      <c r="F361" t="s">
        <v>1255</v>
      </c>
      <c r="G361" t="s">
        <v>1256</v>
      </c>
      <c r="H361" t="s">
        <v>438</v>
      </c>
      <c r="I361">
        <v>0</v>
      </c>
      <c r="J361">
        <v>0</v>
      </c>
      <c r="K361" t="s">
        <v>1257</v>
      </c>
    </row>
    <row r="362" spans="1:11" x14ac:dyDescent="0.2">
      <c r="A362" t="str">
        <f>HYPERLINK("https://www.tiwall.com//p/nahangdo","نهنگ دو قسمت یک ندارد")</f>
        <v>نهنگ دو قسمت یک ندارد</v>
      </c>
      <c r="B362">
        <v>65</v>
      </c>
      <c r="C362" t="s">
        <v>11</v>
      </c>
      <c r="D362" t="s">
        <v>146</v>
      </c>
      <c r="E362" t="s">
        <v>138</v>
      </c>
      <c r="F362" t="s">
        <v>266</v>
      </c>
      <c r="G362" t="s">
        <v>1258</v>
      </c>
      <c r="H362" t="s">
        <v>1258</v>
      </c>
      <c r="I362">
        <v>0</v>
      </c>
      <c r="J362">
        <v>0</v>
      </c>
      <c r="K362" t="s">
        <v>1259</v>
      </c>
    </row>
    <row r="363" spans="1:11" x14ac:dyDescent="0.2">
      <c r="A363" t="str">
        <f>HYPERLINK("https://www.tiwall.com//p/sag.balkon","سگی در بالکن")</f>
        <v>سگی در بالکن</v>
      </c>
      <c r="B363">
        <v>50</v>
      </c>
      <c r="C363" t="s">
        <v>1260</v>
      </c>
      <c r="D363" t="s">
        <v>45</v>
      </c>
      <c r="E363" t="s">
        <v>13</v>
      </c>
      <c r="F363" t="s">
        <v>1145</v>
      </c>
      <c r="G363" t="s">
        <v>1261</v>
      </c>
      <c r="H363" t="s">
        <v>485</v>
      </c>
      <c r="I363">
        <v>0</v>
      </c>
      <c r="J363">
        <v>0</v>
      </c>
      <c r="K363" t="s">
        <v>1261</v>
      </c>
    </row>
    <row r="364" spans="1:11" x14ac:dyDescent="0.2">
      <c r="A364" t="str">
        <f>HYPERLINK("https://www.tiwall.com//p/parse.tariki","پرسه در تاریکی")</f>
        <v>پرسه در تاریکی</v>
      </c>
      <c r="B364">
        <v>70</v>
      </c>
      <c r="C364" t="s">
        <v>11</v>
      </c>
      <c r="D364" t="s">
        <v>65</v>
      </c>
      <c r="E364" t="s">
        <v>138</v>
      </c>
      <c r="F364" t="s">
        <v>842</v>
      </c>
      <c r="G364" t="s">
        <v>1005</v>
      </c>
      <c r="H364" t="s">
        <v>1262</v>
      </c>
      <c r="I364">
        <v>0</v>
      </c>
      <c r="J364">
        <v>0</v>
      </c>
      <c r="K364" t="s">
        <v>1263</v>
      </c>
    </row>
    <row r="365" spans="1:11" x14ac:dyDescent="0.2">
      <c r="A365" t="str">
        <f>HYPERLINK("https://www.tiwall.com//p/monopelzhi","مونوپلژی")</f>
        <v>مونوپلژی</v>
      </c>
      <c r="B365">
        <v>70</v>
      </c>
      <c r="C365" t="s">
        <v>24</v>
      </c>
      <c r="D365" t="s">
        <v>280</v>
      </c>
      <c r="E365" t="s">
        <v>13</v>
      </c>
      <c r="F365" t="s">
        <v>314</v>
      </c>
      <c r="G365" t="s">
        <v>1264</v>
      </c>
      <c r="H365" t="s">
        <v>1264</v>
      </c>
      <c r="I365">
        <v>3.5</v>
      </c>
      <c r="J365">
        <v>30</v>
      </c>
      <c r="K365" t="s">
        <v>1265</v>
      </c>
    </row>
    <row r="366" spans="1:11" x14ac:dyDescent="0.2">
      <c r="A366" t="str">
        <f>HYPERLINK("https://www.tiwall.com//p/willed3","تلقین")</f>
        <v>تلقین</v>
      </c>
      <c r="B366">
        <v>100</v>
      </c>
      <c r="C366" t="s">
        <v>18</v>
      </c>
      <c r="D366" t="s">
        <v>265</v>
      </c>
      <c r="E366" t="s">
        <v>19</v>
      </c>
      <c r="F366" t="s">
        <v>370</v>
      </c>
      <c r="G366" t="s">
        <v>1266</v>
      </c>
      <c r="H366" t="s">
        <v>1266</v>
      </c>
      <c r="I366">
        <v>3.8</v>
      </c>
      <c r="J366">
        <v>12</v>
      </c>
      <c r="K366" t="s">
        <v>1267</v>
      </c>
    </row>
    <row r="367" spans="1:11" x14ac:dyDescent="0.2">
      <c r="A367" t="str">
        <f>HYPERLINK("https://www.tiwall.com//p/odipshahriar4","ادیپ شهریار")</f>
        <v>ادیپ شهریار</v>
      </c>
      <c r="B367">
        <v>60</v>
      </c>
      <c r="C367" t="s">
        <v>1036</v>
      </c>
      <c r="D367" t="s">
        <v>12</v>
      </c>
      <c r="E367" t="s">
        <v>19</v>
      </c>
      <c r="F367" t="s">
        <v>1268</v>
      </c>
      <c r="G367" t="s">
        <v>569</v>
      </c>
      <c r="H367" t="s">
        <v>1269</v>
      </c>
      <c r="I367">
        <v>0</v>
      </c>
      <c r="J367">
        <v>0</v>
      </c>
      <c r="K367" t="s">
        <v>1270</v>
      </c>
    </row>
    <row r="368" spans="1:11" x14ac:dyDescent="0.2">
      <c r="A368" t="str">
        <f>HYPERLINK("https://www.tiwall.com//p/schizo","اِسکیزو")</f>
        <v>اِسکیزو</v>
      </c>
      <c r="B368">
        <v>60</v>
      </c>
      <c r="C368" t="s">
        <v>60</v>
      </c>
      <c r="D368" t="s">
        <v>146</v>
      </c>
      <c r="E368" t="s">
        <v>71</v>
      </c>
      <c r="F368" t="s">
        <v>40</v>
      </c>
      <c r="G368" t="s">
        <v>1271</v>
      </c>
      <c r="H368" t="s">
        <v>1271</v>
      </c>
      <c r="I368">
        <v>3.4</v>
      </c>
      <c r="J368">
        <v>12</v>
      </c>
      <c r="K368" t="s">
        <v>1272</v>
      </c>
    </row>
    <row r="369" spans="1:11" x14ac:dyDescent="0.2">
      <c r="A369" t="str">
        <f>HYPERLINK("https://www.tiwall.com//p/adam.delash.mikhahad","آدم دلش میخواهد همه چیز را فراموش کند")</f>
        <v>آدم دلش میخواهد همه چیز را فراموش کند</v>
      </c>
      <c r="B369">
        <v>60</v>
      </c>
      <c r="C369" t="s">
        <v>11</v>
      </c>
      <c r="D369" t="s">
        <v>87</v>
      </c>
      <c r="E369" t="s">
        <v>46</v>
      </c>
      <c r="F369" t="s">
        <v>1273</v>
      </c>
      <c r="G369" t="s">
        <v>1274</v>
      </c>
      <c r="H369" t="s">
        <v>538</v>
      </c>
      <c r="I369">
        <v>0</v>
      </c>
      <c r="J369">
        <v>0</v>
      </c>
      <c r="K369" t="s">
        <v>1275</v>
      </c>
    </row>
    <row r="370" spans="1:11" x14ac:dyDescent="0.2">
      <c r="A370" t="str">
        <f>HYPERLINK("https://www.tiwall.com//p/simorgh4","سیمرغ")</f>
        <v>سیمرغ</v>
      </c>
      <c r="B370">
        <v>80</v>
      </c>
      <c r="C370" t="s">
        <v>145</v>
      </c>
      <c r="D370" t="s">
        <v>45</v>
      </c>
      <c r="E370" t="s">
        <v>13</v>
      </c>
      <c r="F370" t="s">
        <v>317</v>
      </c>
      <c r="G370" t="s">
        <v>1276</v>
      </c>
      <c r="H370" t="s">
        <v>1277</v>
      </c>
      <c r="I370">
        <v>0</v>
      </c>
      <c r="J370">
        <v>0</v>
      </c>
      <c r="K370" t="s">
        <v>1278</v>
      </c>
    </row>
    <row r="371" spans="1:11" x14ac:dyDescent="0.2">
      <c r="A371" t="str">
        <f>HYPERLINK("https://www.tiwall.com//p/arrhythmia","اریتمی")</f>
        <v>اریتمی</v>
      </c>
      <c r="B371">
        <v>60</v>
      </c>
      <c r="C371" t="s">
        <v>86</v>
      </c>
      <c r="D371" t="s">
        <v>45</v>
      </c>
      <c r="E371" t="s">
        <v>26</v>
      </c>
      <c r="F371" t="s">
        <v>40</v>
      </c>
      <c r="G371" t="s">
        <v>412</v>
      </c>
      <c r="H371" t="s">
        <v>1279</v>
      </c>
      <c r="I371">
        <v>3.5</v>
      </c>
      <c r="J371">
        <v>21</v>
      </c>
      <c r="K371" t="s">
        <v>1280</v>
      </c>
    </row>
    <row r="372" spans="1:11" x14ac:dyDescent="0.2">
      <c r="A372" t="str">
        <f>HYPERLINK("https://www.tiwall.com//p/margdarmizanad6","مرگ در می زند (death knocks)")</f>
        <v>مرگ در می زند (death knocks)</v>
      </c>
      <c r="B372">
        <v>30</v>
      </c>
      <c r="C372" t="s">
        <v>1281</v>
      </c>
      <c r="D372" t="s">
        <v>12</v>
      </c>
      <c r="E372" t="s">
        <v>235</v>
      </c>
      <c r="F372" t="s">
        <v>694</v>
      </c>
      <c r="G372" t="s">
        <v>1282</v>
      </c>
      <c r="H372" t="s">
        <v>1073</v>
      </c>
      <c r="I372">
        <v>0</v>
      </c>
      <c r="J372">
        <v>0</v>
      </c>
      <c r="K372" t="s">
        <v>1283</v>
      </c>
    </row>
    <row r="373" spans="1:11" x14ac:dyDescent="0.2">
      <c r="A373" t="str">
        <f>HYPERLINK("https://www.tiwall.com//p/khanehnaboud","خانه نبود")</f>
        <v>خانه نبود</v>
      </c>
      <c r="B373">
        <v>40</v>
      </c>
      <c r="C373" t="s">
        <v>166</v>
      </c>
      <c r="D373" t="s">
        <v>45</v>
      </c>
      <c r="E373" t="s">
        <v>138</v>
      </c>
      <c r="F373" t="s">
        <v>1284</v>
      </c>
      <c r="G373" t="s">
        <v>1285</v>
      </c>
      <c r="H373" t="s">
        <v>1285</v>
      </c>
      <c r="I373">
        <v>2.6</v>
      </c>
      <c r="J373">
        <v>5</v>
      </c>
      <c r="K373" t="s">
        <v>1286</v>
      </c>
    </row>
    <row r="374" spans="1:11" x14ac:dyDescent="0.2">
      <c r="A374" t="str">
        <f>HYPERLINK("https://www.tiwall.com//p/nakhodagah","ناخودآگاه")</f>
        <v>ناخودآگاه</v>
      </c>
      <c r="B374">
        <v>100</v>
      </c>
      <c r="C374" t="s">
        <v>18</v>
      </c>
      <c r="D374" t="s">
        <v>87</v>
      </c>
      <c r="E374" t="s">
        <v>46</v>
      </c>
      <c r="F374" t="s">
        <v>263</v>
      </c>
      <c r="G374" t="s">
        <v>1287</v>
      </c>
      <c r="H374" t="s">
        <v>1288</v>
      </c>
      <c r="I374">
        <v>0</v>
      </c>
      <c r="J374">
        <v>0</v>
      </c>
      <c r="K374" t="s">
        <v>1289</v>
      </c>
    </row>
    <row r="375" spans="1:11" x14ac:dyDescent="0.2">
      <c r="A375" t="str">
        <f>HYPERLINK("https://www.tiwall.com//p/zibast","او زیباست")</f>
        <v>او زیباست</v>
      </c>
      <c r="B375">
        <v>50</v>
      </c>
      <c r="C375" t="s">
        <v>1290</v>
      </c>
      <c r="D375" t="s">
        <v>12</v>
      </c>
      <c r="E375" t="s">
        <v>194</v>
      </c>
      <c r="F375" t="s">
        <v>1291</v>
      </c>
      <c r="G375" t="s">
        <v>1292</v>
      </c>
      <c r="H375" t="s">
        <v>1292</v>
      </c>
      <c r="I375">
        <v>3.2</v>
      </c>
      <c r="J375">
        <v>21</v>
      </c>
      <c r="K375" t="s">
        <v>1293</v>
      </c>
    </row>
    <row r="376" spans="1:11" x14ac:dyDescent="0.2">
      <c r="A376" t="str">
        <f>HYPERLINK("https://www.tiwall.com//p/shab.kour","شب کور")</f>
        <v>شب کور</v>
      </c>
      <c r="B376">
        <v>55</v>
      </c>
      <c r="C376" t="s">
        <v>832</v>
      </c>
      <c r="D376" t="s">
        <v>12</v>
      </c>
      <c r="E376" t="s">
        <v>46</v>
      </c>
      <c r="F376" t="s">
        <v>200</v>
      </c>
      <c r="G376" t="s">
        <v>1026</v>
      </c>
      <c r="H376" t="s">
        <v>1027</v>
      </c>
      <c r="I376">
        <v>0</v>
      </c>
      <c r="J376">
        <v>0</v>
      </c>
      <c r="K376" t="s">
        <v>485</v>
      </c>
    </row>
    <row r="377" spans="1:11" x14ac:dyDescent="0.2">
      <c r="A377" t="str">
        <f>HYPERLINK("https://www.tiwall.com//p/kabab","کباب")</f>
        <v>کباب</v>
      </c>
      <c r="B377">
        <v>60</v>
      </c>
      <c r="C377" t="s">
        <v>86</v>
      </c>
      <c r="D377" t="s">
        <v>32</v>
      </c>
      <c r="E377" t="s">
        <v>71</v>
      </c>
      <c r="F377" t="s">
        <v>1294</v>
      </c>
      <c r="G377" t="s">
        <v>1295</v>
      </c>
      <c r="H377" t="s">
        <v>1296</v>
      </c>
      <c r="I377">
        <v>3.3</v>
      </c>
      <c r="J377">
        <v>54</v>
      </c>
      <c r="K377" t="s">
        <v>1297</v>
      </c>
    </row>
    <row r="378" spans="1:11" x14ac:dyDescent="0.2">
      <c r="A378" t="str">
        <f>HYPERLINK("https://www.tiwall.com//p/pilehayekhis","پیله های خیس")</f>
        <v>پیله های خیس</v>
      </c>
      <c r="B378">
        <v>50</v>
      </c>
      <c r="C378" t="s">
        <v>821</v>
      </c>
      <c r="D378" t="s">
        <v>87</v>
      </c>
      <c r="E378" t="s">
        <v>46</v>
      </c>
      <c r="F378" t="s">
        <v>1298</v>
      </c>
      <c r="G378" t="s">
        <v>1299</v>
      </c>
      <c r="H378" t="s">
        <v>1300</v>
      </c>
      <c r="I378">
        <v>0</v>
      </c>
      <c r="J378">
        <v>0</v>
      </c>
      <c r="K378" t="s">
        <v>1301</v>
      </c>
    </row>
    <row r="379" spans="1:11" x14ac:dyDescent="0.2">
      <c r="A379" t="str">
        <f>HYPERLINK("https://www.tiwall.com//p/senza2","سنزا به ایتالیایی یعنی...")</f>
        <v>سنزا به ایتالیایی یعنی...</v>
      </c>
      <c r="B379">
        <v>40</v>
      </c>
      <c r="C379" t="s">
        <v>129</v>
      </c>
      <c r="D379" t="s">
        <v>12</v>
      </c>
      <c r="E379" t="s">
        <v>138</v>
      </c>
      <c r="F379" t="s">
        <v>122</v>
      </c>
      <c r="G379" t="s">
        <v>1302</v>
      </c>
      <c r="H379" t="s">
        <v>1302</v>
      </c>
      <c r="I379">
        <v>0</v>
      </c>
      <c r="J379">
        <v>0</v>
      </c>
      <c r="K379" t="s">
        <v>1303</v>
      </c>
    </row>
    <row r="380" spans="1:11" x14ac:dyDescent="0.2">
      <c r="A380" t="str">
        <f>HYPERLINK("https://www.tiwall.com//p/ostrich","شترمرغ")</f>
        <v>شترمرغ</v>
      </c>
      <c r="B380">
        <v>60</v>
      </c>
      <c r="C380" t="s">
        <v>230</v>
      </c>
      <c r="D380" t="s">
        <v>65</v>
      </c>
      <c r="E380" t="s">
        <v>13</v>
      </c>
      <c r="F380" t="s">
        <v>52</v>
      </c>
      <c r="G380" t="s">
        <v>1304</v>
      </c>
      <c r="H380" t="s">
        <v>1304</v>
      </c>
      <c r="I380">
        <v>3.7</v>
      </c>
      <c r="J380">
        <v>56</v>
      </c>
      <c r="K380" t="s">
        <v>1305</v>
      </c>
    </row>
    <row r="381" spans="1:11" x14ac:dyDescent="0.2">
      <c r="A381" t="str">
        <f>HYPERLINK("https://www.tiwall.com//p/pok4","پُک")</f>
        <v>پُک</v>
      </c>
      <c r="B381">
        <v>40</v>
      </c>
      <c r="C381" t="s">
        <v>251</v>
      </c>
      <c r="D381" t="s">
        <v>12</v>
      </c>
      <c r="E381" t="s">
        <v>138</v>
      </c>
      <c r="F381" t="s">
        <v>1306</v>
      </c>
      <c r="G381" t="s">
        <v>1307</v>
      </c>
      <c r="H381" t="s">
        <v>1308</v>
      </c>
      <c r="I381">
        <v>0</v>
      </c>
      <c r="J381">
        <v>0</v>
      </c>
      <c r="K381" t="s">
        <v>1309</v>
      </c>
    </row>
    <row r="382" spans="1:11" x14ac:dyDescent="0.2">
      <c r="A382" t="str">
        <f>HYPERLINK("https://www.tiwall.com//p/ezafehoqoq","اضافه حقوق")</f>
        <v>اضافه حقوق</v>
      </c>
      <c r="B382">
        <v>45</v>
      </c>
      <c r="C382" t="s">
        <v>204</v>
      </c>
      <c r="D382" t="s">
        <v>45</v>
      </c>
      <c r="E382" t="s">
        <v>88</v>
      </c>
      <c r="F382" t="s">
        <v>1310</v>
      </c>
      <c r="G382" t="s">
        <v>1311</v>
      </c>
      <c r="H382" t="s">
        <v>1312</v>
      </c>
      <c r="I382">
        <v>0</v>
      </c>
      <c r="J382">
        <v>0</v>
      </c>
      <c r="K382" t="s">
        <v>1313</v>
      </c>
    </row>
    <row r="383" spans="1:11" x14ac:dyDescent="0.2">
      <c r="A383" t="str">
        <f>HYPERLINK("https://www.tiwall.com//p/gharbhaqiqi","غرب حقیقی")</f>
        <v>غرب حقیقی</v>
      </c>
      <c r="B383">
        <v>60</v>
      </c>
      <c r="C383" t="s">
        <v>1314</v>
      </c>
      <c r="D383" t="s">
        <v>32</v>
      </c>
      <c r="E383" t="s">
        <v>13</v>
      </c>
      <c r="F383" t="s">
        <v>66</v>
      </c>
      <c r="G383" t="s">
        <v>953</v>
      </c>
      <c r="H383" t="s">
        <v>954</v>
      </c>
      <c r="I383">
        <v>3.1</v>
      </c>
      <c r="J383">
        <v>7</v>
      </c>
      <c r="K383" t="s">
        <v>1315</v>
      </c>
    </row>
    <row r="384" spans="1:11" x14ac:dyDescent="0.2">
      <c r="A384" t="str">
        <f>HYPERLINK("https://www.tiwall.com//p/bazporsvaredmishavad2","بازپرس وارد می‌شود")</f>
        <v>بازپرس وارد می‌شود</v>
      </c>
      <c r="B384">
        <v>40</v>
      </c>
      <c r="C384" t="s">
        <v>44</v>
      </c>
      <c r="D384" t="s">
        <v>217</v>
      </c>
      <c r="E384" t="s">
        <v>26</v>
      </c>
      <c r="F384" t="s">
        <v>1316</v>
      </c>
      <c r="G384" t="s">
        <v>1317</v>
      </c>
      <c r="H384" t="s">
        <v>1318</v>
      </c>
      <c r="I384">
        <v>0</v>
      </c>
      <c r="J384">
        <v>0</v>
      </c>
      <c r="K384" t="s">
        <v>1319</v>
      </c>
    </row>
    <row r="385" spans="1:11" x14ac:dyDescent="0.2">
      <c r="A385" t="str">
        <f>HYPERLINK("https://www.tiwall.com//p/chekhvte","چخفته")</f>
        <v>چخفته</v>
      </c>
      <c r="B385">
        <v>120</v>
      </c>
      <c r="C385" t="s">
        <v>86</v>
      </c>
      <c r="D385" t="s">
        <v>12</v>
      </c>
      <c r="E385" t="s">
        <v>26</v>
      </c>
      <c r="F385" t="s">
        <v>266</v>
      </c>
      <c r="G385" t="s">
        <v>677</v>
      </c>
      <c r="H385" t="s">
        <v>678</v>
      </c>
      <c r="I385">
        <v>4.0999999999999996</v>
      </c>
      <c r="J385">
        <v>123</v>
      </c>
      <c r="K385" t="s">
        <v>679</v>
      </c>
    </row>
    <row r="386" spans="1:11" x14ac:dyDescent="0.2">
      <c r="A386" t="str">
        <f>HYPERLINK("https://www.tiwall.com//p/mamood","ممود ممودی! بچه ای یا قدت کوتاس؟")</f>
        <v>ممود ممودی! بچه ای یا قدت کوتاس؟</v>
      </c>
      <c r="B386">
        <v>30</v>
      </c>
      <c r="C386" t="s">
        <v>1320</v>
      </c>
      <c r="D386" t="s">
        <v>87</v>
      </c>
      <c r="E386" t="s">
        <v>13</v>
      </c>
      <c r="F386" t="s">
        <v>1321</v>
      </c>
      <c r="G386" t="s">
        <v>1322</v>
      </c>
      <c r="H386" t="s">
        <v>1323</v>
      </c>
      <c r="I386">
        <v>0</v>
      </c>
      <c r="J386">
        <v>0</v>
      </c>
      <c r="K386" t="s">
        <v>1324</v>
      </c>
    </row>
    <row r="387" spans="1:11" x14ac:dyDescent="0.2">
      <c r="A387" t="str">
        <f>HYPERLINK("https://www.tiwall.com//p/ehanat","اهانت")</f>
        <v>اهانت</v>
      </c>
      <c r="B387">
        <v>70</v>
      </c>
      <c r="C387" t="s">
        <v>501</v>
      </c>
      <c r="D387" t="s">
        <v>265</v>
      </c>
      <c r="E387" t="s">
        <v>71</v>
      </c>
      <c r="F387" t="s">
        <v>1325</v>
      </c>
      <c r="G387" t="s">
        <v>1326</v>
      </c>
      <c r="H387" t="s">
        <v>1326</v>
      </c>
      <c r="I387">
        <v>3.7</v>
      </c>
      <c r="J387">
        <v>12</v>
      </c>
      <c r="K387" t="s">
        <v>1327</v>
      </c>
    </row>
    <row r="388" spans="1:11" x14ac:dyDescent="0.2">
      <c r="A388" t="str">
        <f>HYPERLINK("https://www.tiwall.com//p/asretavilegi","عصر طویلگی")</f>
        <v>عصر طویلگی</v>
      </c>
      <c r="B388">
        <v>40</v>
      </c>
      <c r="C388" t="s">
        <v>180</v>
      </c>
      <c r="D388" t="s">
        <v>87</v>
      </c>
      <c r="E388" t="s">
        <v>26</v>
      </c>
      <c r="F388" t="s">
        <v>1328</v>
      </c>
      <c r="G388" t="s">
        <v>1329</v>
      </c>
      <c r="H388" t="s">
        <v>1330</v>
      </c>
      <c r="I388">
        <v>4.0999999999999996</v>
      </c>
      <c r="J388">
        <v>17</v>
      </c>
      <c r="K388" t="s">
        <v>1331</v>
      </c>
    </row>
    <row r="389" spans="1:11" x14ac:dyDescent="0.2">
      <c r="A389" t="str">
        <f>HYPERLINK("https://www.tiwall.com//p/makihastim","ما کی هستیم")</f>
        <v>ما کی هستیم</v>
      </c>
      <c r="B389">
        <v>50</v>
      </c>
      <c r="C389" t="s">
        <v>262</v>
      </c>
      <c r="D389" t="s">
        <v>384</v>
      </c>
      <c r="E389" t="s">
        <v>208</v>
      </c>
      <c r="F389" t="s">
        <v>93</v>
      </c>
      <c r="G389" t="s">
        <v>1332</v>
      </c>
      <c r="H389" t="s">
        <v>1333</v>
      </c>
      <c r="I389">
        <v>3.7</v>
      </c>
      <c r="J389">
        <v>12</v>
      </c>
      <c r="K389" t="s">
        <v>1334</v>
      </c>
    </row>
    <row r="390" spans="1:11" x14ac:dyDescent="0.2">
      <c r="A390" t="str">
        <f>HYPERLINK("https://www.tiwall.com//p/pearcesisters","خواهران پی یرس")</f>
        <v>خواهران پی یرس</v>
      </c>
      <c r="B390">
        <v>10</v>
      </c>
      <c r="C390" t="s">
        <v>1335</v>
      </c>
      <c r="D390" t="s">
        <v>1336</v>
      </c>
      <c r="E390" t="s">
        <v>475</v>
      </c>
      <c r="F390" t="s">
        <v>1337</v>
      </c>
      <c r="G390" t="s">
        <v>1338</v>
      </c>
      <c r="H390" t="s">
        <v>1339</v>
      </c>
      <c r="I390">
        <v>0</v>
      </c>
      <c r="J390">
        <v>0</v>
      </c>
      <c r="K390" t="s">
        <v>1340</v>
      </c>
    </row>
    <row r="391" spans="1:11" x14ac:dyDescent="0.2">
      <c r="A391" t="str">
        <f>HYPERLINK("https://www.tiwall.com//p/abadiatdoshanbe2","ابدیت دوشنبه است")</f>
        <v>ابدیت دوشنبه است</v>
      </c>
      <c r="B391">
        <v>75</v>
      </c>
      <c r="C391" t="s">
        <v>51</v>
      </c>
      <c r="D391" t="s">
        <v>65</v>
      </c>
      <c r="E391" t="s">
        <v>13</v>
      </c>
      <c r="F391" t="s">
        <v>329</v>
      </c>
      <c r="G391" t="s">
        <v>1341</v>
      </c>
      <c r="H391" t="s">
        <v>1342</v>
      </c>
      <c r="I391">
        <v>3.5</v>
      </c>
      <c r="J391">
        <v>6</v>
      </c>
      <c r="K391" t="s">
        <v>1343</v>
      </c>
    </row>
    <row r="392" spans="1:11" x14ac:dyDescent="0.2">
      <c r="A392" t="str">
        <f>HYPERLINK("https://www.tiwall.com//p/bamanharf","با من حرف بزن")</f>
        <v>با من حرف بزن</v>
      </c>
      <c r="B392">
        <v>30</v>
      </c>
      <c r="C392" t="s">
        <v>60</v>
      </c>
      <c r="D392" t="s">
        <v>65</v>
      </c>
      <c r="E392" t="s">
        <v>235</v>
      </c>
      <c r="F392" t="s">
        <v>1344</v>
      </c>
      <c r="G392" t="s">
        <v>236</v>
      </c>
      <c r="H392" t="s">
        <v>236</v>
      </c>
      <c r="I392">
        <v>0</v>
      </c>
      <c r="J392">
        <v>0</v>
      </c>
      <c r="K392" t="s">
        <v>1345</v>
      </c>
    </row>
    <row r="393" spans="1:11" x14ac:dyDescent="0.2">
      <c r="A393" t="str">
        <f>HYPERLINK("https://www.tiwall.com//p/marsiehzhaleh2","مرثیه ای برای ژاله.م و قاتلش")</f>
        <v>مرثیه ای برای ژاله.م و قاتلش</v>
      </c>
      <c r="B393">
        <v>30</v>
      </c>
      <c r="C393" t="s">
        <v>369</v>
      </c>
      <c r="D393" t="s">
        <v>87</v>
      </c>
      <c r="E393" t="s">
        <v>88</v>
      </c>
      <c r="F393" t="s">
        <v>427</v>
      </c>
      <c r="G393" t="s">
        <v>898</v>
      </c>
      <c r="H393" t="s">
        <v>898</v>
      </c>
      <c r="I393">
        <v>3.4</v>
      </c>
      <c r="J393">
        <v>37</v>
      </c>
      <c r="K393" t="s">
        <v>1346</v>
      </c>
    </row>
    <row r="394" spans="1:11" x14ac:dyDescent="0.2">
      <c r="A394" t="str">
        <f>HYPERLINK("https://www.tiwall.com//p/spoken12","قطع دست در اسپوکن")</f>
        <v>قطع دست در اسپوکن</v>
      </c>
      <c r="B394">
        <v>40</v>
      </c>
      <c r="C394" t="s">
        <v>204</v>
      </c>
      <c r="D394" t="s">
        <v>12</v>
      </c>
      <c r="E394" t="s">
        <v>26</v>
      </c>
      <c r="F394" t="s">
        <v>1347</v>
      </c>
      <c r="G394" t="s">
        <v>1348</v>
      </c>
      <c r="H394" t="s">
        <v>755</v>
      </c>
      <c r="I394">
        <v>0</v>
      </c>
      <c r="J394">
        <v>0</v>
      </c>
      <c r="K394" t="s">
        <v>1349</v>
      </c>
    </row>
    <row r="395" spans="1:11" x14ac:dyDescent="0.2">
      <c r="A395" t="str">
        <f>HYPERLINK("https://www.tiwall.com//p/esm8","اِسم")</f>
        <v>اِسم</v>
      </c>
      <c r="B395">
        <v>90</v>
      </c>
      <c r="C395" t="s">
        <v>1058</v>
      </c>
      <c r="D395" t="s">
        <v>217</v>
      </c>
      <c r="E395" t="s">
        <v>303</v>
      </c>
      <c r="F395" t="s">
        <v>176</v>
      </c>
      <c r="G395" t="s">
        <v>1350</v>
      </c>
      <c r="H395" t="s">
        <v>1351</v>
      </c>
      <c r="I395">
        <v>4.4000000000000004</v>
      </c>
      <c r="J395">
        <v>13</v>
      </c>
      <c r="K395" t="s">
        <v>1352</v>
      </c>
    </row>
    <row r="396" spans="1:11" x14ac:dyDescent="0.2">
      <c r="A396" t="str">
        <f>HYPERLINK("https://www.tiwall.com//p/avalshakhs","اول شخص مفرد")</f>
        <v>اول شخص مفرد</v>
      </c>
      <c r="B396">
        <v>75</v>
      </c>
      <c r="C396" t="s">
        <v>24</v>
      </c>
      <c r="D396" t="s">
        <v>1353</v>
      </c>
      <c r="E396" t="s">
        <v>26</v>
      </c>
      <c r="F396" t="s">
        <v>1354</v>
      </c>
      <c r="G396" t="s">
        <v>1355</v>
      </c>
      <c r="H396" t="s">
        <v>1355</v>
      </c>
      <c r="I396">
        <v>3.5</v>
      </c>
      <c r="J396">
        <v>35</v>
      </c>
      <c r="K396" t="s">
        <v>1356</v>
      </c>
    </row>
    <row r="397" spans="1:11" x14ac:dyDescent="0.2">
      <c r="A397" t="str">
        <f>HYPERLINK("https://www.tiwall.com//p/margegarm","مرگ گرم")</f>
        <v>مرگ گرم</v>
      </c>
      <c r="B397">
        <v>40</v>
      </c>
      <c r="C397" t="s">
        <v>151</v>
      </c>
      <c r="D397" t="s">
        <v>87</v>
      </c>
      <c r="E397" t="s">
        <v>303</v>
      </c>
      <c r="F397" t="s">
        <v>239</v>
      </c>
      <c r="G397" t="s">
        <v>347</v>
      </c>
      <c r="H397" t="s">
        <v>347</v>
      </c>
      <c r="I397">
        <v>3.7</v>
      </c>
      <c r="J397">
        <v>15</v>
      </c>
      <c r="K397" t="s">
        <v>1357</v>
      </c>
    </row>
    <row r="398" spans="1:11" x14ac:dyDescent="0.2">
      <c r="A398" t="str">
        <f>HYPERLINK("https://www.tiwall.com//p/elvira","اِلویرا ٢٠٢٠")</f>
        <v>اِلویرا ٢٠٢٠</v>
      </c>
      <c r="B398">
        <v>25</v>
      </c>
      <c r="C398" t="s">
        <v>112</v>
      </c>
      <c r="D398" t="s">
        <v>87</v>
      </c>
      <c r="E398" t="s">
        <v>26</v>
      </c>
      <c r="F398" t="s">
        <v>162</v>
      </c>
      <c r="G398" t="s">
        <v>1358</v>
      </c>
      <c r="H398" t="s">
        <v>1359</v>
      </c>
      <c r="I398">
        <v>4.0999999999999996</v>
      </c>
      <c r="J398">
        <v>17</v>
      </c>
      <c r="K398" t="s">
        <v>1360</v>
      </c>
    </row>
    <row r="399" spans="1:11" x14ac:dyDescent="0.2">
      <c r="A399" t="str">
        <f>HYPERLINK("https://www.tiwall.com//p/doagha.donokar","دو آقا و دو نوکر")</f>
        <v>دو آقا و دو نوکر</v>
      </c>
      <c r="B399">
        <v>50</v>
      </c>
      <c r="C399" t="s">
        <v>918</v>
      </c>
      <c r="D399" t="s">
        <v>25</v>
      </c>
      <c r="E399" t="s">
        <v>13</v>
      </c>
      <c r="F399" t="s">
        <v>471</v>
      </c>
      <c r="G399" t="s">
        <v>1361</v>
      </c>
      <c r="H399" t="s">
        <v>1362</v>
      </c>
      <c r="I399">
        <v>0</v>
      </c>
      <c r="J399">
        <v>0</v>
      </c>
      <c r="K399" t="s">
        <v>1363</v>
      </c>
    </row>
    <row r="400" spans="1:11" x14ac:dyDescent="0.2">
      <c r="A400" t="str">
        <f>HYPERLINK("https://www.tiwall.com//p/ye.rouz.dige","یه روز دیگه")</f>
        <v>یه روز دیگه</v>
      </c>
      <c r="B400">
        <v>50</v>
      </c>
      <c r="C400" t="s">
        <v>344</v>
      </c>
      <c r="D400" t="s">
        <v>45</v>
      </c>
      <c r="E400" t="s">
        <v>71</v>
      </c>
      <c r="F400" t="s">
        <v>829</v>
      </c>
      <c r="G400" t="s">
        <v>1364</v>
      </c>
      <c r="H400" t="s">
        <v>1364</v>
      </c>
      <c r="I400">
        <v>3.3</v>
      </c>
      <c r="J400">
        <v>14</v>
      </c>
      <c r="K400" t="s">
        <v>1365</v>
      </c>
    </row>
    <row r="401" spans="1:11" x14ac:dyDescent="0.2">
      <c r="A401" t="str">
        <f>HYPERLINK("https://www.tiwall.com//p/safhebipayan","صفحه بی پایان")</f>
        <v>صفحه بی پایان</v>
      </c>
      <c r="B401">
        <v>60</v>
      </c>
      <c r="C401" t="s">
        <v>60</v>
      </c>
      <c r="D401" t="s">
        <v>87</v>
      </c>
      <c r="E401" t="s">
        <v>13</v>
      </c>
      <c r="F401" t="s">
        <v>855</v>
      </c>
      <c r="G401" t="s">
        <v>1366</v>
      </c>
      <c r="H401" t="s">
        <v>1366</v>
      </c>
      <c r="I401">
        <v>0</v>
      </c>
      <c r="J401">
        <v>0</v>
      </c>
      <c r="K401" t="s">
        <v>1367</v>
      </c>
    </row>
    <row r="402" spans="1:11" x14ac:dyDescent="0.2">
      <c r="A402" t="str">
        <f>HYPERLINK("https://www.tiwall.com//p/allstars","آلستار")</f>
        <v>آلستار</v>
      </c>
      <c r="B402">
        <v>40</v>
      </c>
      <c r="C402" t="s">
        <v>86</v>
      </c>
      <c r="D402" t="s">
        <v>65</v>
      </c>
      <c r="E402" t="s">
        <v>26</v>
      </c>
      <c r="F402" t="s">
        <v>1368</v>
      </c>
      <c r="G402" t="s">
        <v>1369</v>
      </c>
      <c r="H402" t="s">
        <v>1370</v>
      </c>
      <c r="I402">
        <v>2</v>
      </c>
      <c r="J402">
        <v>6</v>
      </c>
      <c r="K402" t="s">
        <v>1371</v>
      </c>
    </row>
    <row r="403" spans="1:11" x14ac:dyDescent="0.2">
      <c r="A403" t="str">
        <f>HYPERLINK("https://www.tiwall.com//p/mardebaleshi4","مرد بالشی")</f>
        <v>مرد بالشی</v>
      </c>
      <c r="B403">
        <v>15</v>
      </c>
      <c r="C403" t="s">
        <v>1372</v>
      </c>
      <c r="D403" t="s">
        <v>384</v>
      </c>
      <c r="E403" t="s">
        <v>1063</v>
      </c>
      <c r="F403" t="s">
        <v>1373</v>
      </c>
      <c r="G403" t="s">
        <v>1374</v>
      </c>
      <c r="H403" t="s">
        <v>755</v>
      </c>
      <c r="I403">
        <v>2.7</v>
      </c>
      <c r="J403">
        <v>12</v>
      </c>
      <c r="K403" t="s">
        <v>1375</v>
      </c>
    </row>
    <row r="404" spans="1:11" x14ac:dyDescent="0.2">
      <c r="A404" t="str">
        <f>HYPERLINK("https://www.tiwall.com//p/khonaka.khatereh10","خنکای ختم خاطره")</f>
        <v>خنکای ختم خاطره</v>
      </c>
      <c r="B404">
        <v>40</v>
      </c>
      <c r="C404" t="s">
        <v>213</v>
      </c>
      <c r="D404" t="s">
        <v>87</v>
      </c>
      <c r="E404" t="s">
        <v>13</v>
      </c>
      <c r="F404" t="s">
        <v>1376</v>
      </c>
      <c r="G404" t="s">
        <v>1377</v>
      </c>
      <c r="H404" t="s">
        <v>1378</v>
      </c>
      <c r="I404">
        <v>0</v>
      </c>
      <c r="J404">
        <v>0</v>
      </c>
      <c r="K404" t="s">
        <v>1379</v>
      </c>
    </row>
    <row r="405" spans="1:11" x14ac:dyDescent="0.2">
      <c r="A405" t="str">
        <f>HYPERLINK("https://www.tiwall.com//p/nourmozeei","نور موضعی")</f>
        <v>نور موضعی</v>
      </c>
      <c r="B405">
        <v>35</v>
      </c>
      <c r="C405" t="s">
        <v>44</v>
      </c>
      <c r="D405" t="s">
        <v>146</v>
      </c>
      <c r="E405" t="s">
        <v>138</v>
      </c>
      <c r="F405" t="s">
        <v>732</v>
      </c>
      <c r="G405" t="s">
        <v>1380</v>
      </c>
      <c r="H405" t="s">
        <v>1381</v>
      </c>
      <c r="I405">
        <v>0</v>
      </c>
      <c r="J405">
        <v>0</v>
      </c>
      <c r="K405" t="s">
        <v>1382</v>
      </c>
    </row>
    <row r="406" spans="1:11" x14ac:dyDescent="0.2">
      <c r="A406" t="str">
        <f>HYPERLINK("https://www.tiwall.com//p/avazehkhanetas9","آوازخوان طاس")</f>
        <v>آوازخوان طاس</v>
      </c>
      <c r="B406">
        <v>80</v>
      </c>
      <c r="C406" t="s">
        <v>204</v>
      </c>
      <c r="D406" t="s">
        <v>12</v>
      </c>
      <c r="E406" t="s">
        <v>71</v>
      </c>
      <c r="F406" t="s">
        <v>650</v>
      </c>
      <c r="G406" t="s">
        <v>1383</v>
      </c>
      <c r="H406" t="s">
        <v>1384</v>
      </c>
      <c r="I406">
        <v>3.6</v>
      </c>
      <c r="J406">
        <v>27</v>
      </c>
      <c r="K406" t="s">
        <v>1385</v>
      </c>
    </row>
    <row r="407" spans="1:11" x14ac:dyDescent="0.2">
      <c r="A407" t="str">
        <f>HYPERLINK("https://www.tiwall.com//p/kudakmadfun3","کودک مدفون")</f>
        <v>کودک مدفون</v>
      </c>
      <c r="B407">
        <v>80</v>
      </c>
      <c r="C407" t="s">
        <v>11</v>
      </c>
      <c r="D407" t="s">
        <v>12</v>
      </c>
      <c r="E407" t="s">
        <v>19</v>
      </c>
      <c r="F407" t="s">
        <v>77</v>
      </c>
      <c r="G407" t="s">
        <v>1386</v>
      </c>
      <c r="H407" t="s">
        <v>954</v>
      </c>
      <c r="I407">
        <v>0</v>
      </c>
      <c r="J407">
        <v>0</v>
      </c>
      <c r="K407" t="s">
        <v>1387</v>
      </c>
    </row>
    <row r="408" spans="1:11" x14ac:dyDescent="0.2">
      <c r="A408" t="str">
        <f>HYPERLINK("https://www.tiwall.com//p/sharareh2","شراره")</f>
        <v>شراره</v>
      </c>
      <c r="B408">
        <v>70</v>
      </c>
      <c r="C408" t="s">
        <v>344</v>
      </c>
      <c r="D408" t="s">
        <v>12</v>
      </c>
      <c r="E408" t="s">
        <v>26</v>
      </c>
      <c r="F408" t="s">
        <v>1388</v>
      </c>
      <c r="G408" t="s">
        <v>1389</v>
      </c>
      <c r="H408" t="s">
        <v>1389</v>
      </c>
      <c r="I408">
        <v>0</v>
      </c>
      <c r="J408">
        <v>0</v>
      </c>
      <c r="K408" t="s">
        <v>1390</v>
      </c>
    </row>
    <row r="409" spans="1:11" x14ac:dyDescent="0.2">
      <c r="A409" t="str">
        <f>HYPERLINK("https://www.tiwall.com//p/ezafehoghogh","اضافه حقوق")</f>
        <v>اضافه حقوق</v>
      </c>
      <c r="B409">
        <v>35</v>
      </c>
      <c r="C409" t="s">
        <v>204</v>
      </c>
      <c r="D409" t="s">
        <v>45</v>
      </c>
      <c r="E409" t="s">
        <v>26</v>
      </c>
      <c r="F409" t="s">
        <v>548</v>
      </c>
      <c r="G409" t="s">
        <v>1391</v>
      </c>
      <c r="H409" t="s">
        <v>1392</v>
      </c>
      <c r="I409">
        <v>0</v>
      </c>
      <c r="J409">
        <v>0</v>
      </c>
      <c r="K409" t="s">
        <v>1393</v>
      </c>
    </row>
    <row r="410" spans="1:11" x14ac:dyDescent="0.2">
      <c r="A410" t="str">
        <f>HYPERLINK("https://www.tiwall.com//p/zemestanshastshesh","زمستان ۶۶")</f>
        <v>زمستان ۶۶</v>
      </c>
      <c r="B410">
        <v>45</v>
      </c>
      <c r="C410" t="s">
        <v>64</v>
      </c>
      <c r="D410" t="s">
        <v>470</v>
      </c>
      <c r="E410" t="s">
        <v>26</v>
      </c>
      <c r="F410" t="s">
        <v>1394</v>
      </c>
      <c r="G410" t="s">
        <v>1342</v>
      </c>
      <c r="H410" t="s">
        <v>1395</v>
      </c>
      <c r="I410">
        <v>0</v>
      </c>
      <c r="J410">
        <v>0</v>
      </c>
      <c r="K410" t="s">
        <v>1396</v>
      </c>
    </row>
    <row r="411" spans="1:11" x14ac:dyDescent="0.2">
      <c r="A411" t="str">
        <f>HYPERLINK("https://www.tiwall.com//p/adamha.gousht","آدم‌ها گوشت گرگ نمی‌خورند")</f>
        <v>آدم‌ها گوشت گرگ نمی‌خورند</v>
      </c>
      <c r="B411">
        <v>40</v>
      </c>
      <c r="C411" t="s">
        <v>44</v>
      </c>
      <c r="D411" t="s">
        <v>12</v>
      </c>
      <c r="E411" t="s">
        <v>26</v>
      </c>
      <c r="F411" t="s">
        <v>1397</v>
      </c>
      <c r="G411" t="s">
        <v>1398</v>
      </c>
      <c r="H411" t="s">
        <v>1399</v>
      </c>
      <c r="I411">
        <v>0</v>
      </c>
      <c r="J411">
        <v>0</v>
      </c>
      <c r="K411" t="s">
        <v>1400</v>
      </c>
    </row>
    <row r="412" spans="1:11" x14ac:dyDescent="0.2">
      <c r="A412" t="str">
        <f>HYPERLINK("https://www.tiwall.com//p/samet3","صامت")</f>
        <v>صامت</v>
      </c>
      <c r="B412">
        <v>70</v>
      </c>
      <c r="C412" t="s">
        <v>31</v>
      </c>
      <c r="D412" t="s">
        <v>87</v>
      </c>
      <c r="E412" t="s">
        <v>88</v>
      </c>
      <c r="F412" t="s">
        <v>345</v>
      </c>
      <c r="G412" t="s">
        <v>1401</v>
      </c>
      <c r="H412" t="s">
        <v>1401</v>
      </c>
      <c r="I412">
        <v>2.5</v>
      </c>
      <c r="J412">
        <v>54</v>
      </c>
      <c r="K412" t="s">
        <v>1402</v>
      </c>
    </row>
    <row r="413" spans="1:11" x14ac:dyDescent="0.2">
      <c r="A413" t="str">
        <f>HYPERLINK("https://www.tiwall.com//p/jonounmahz","جنون محض")</f>
        <v>جنون محض</v>
      </c>
      <c r="B413">
        <v>120</v>
      </c>
      <c r="C413" t="s">
        <v>790</v>
      </c>
      <c r="D413" t="s">
        <v>217</v>
      </c>
      <c r="E413" t="s">
        <v>1063</v>
      </c>
      <c r="F413" t="s">
        <v>27</v>
      </c>
      <c r="G413" t="s">
        <v>714</v>
      </c>
      <c r="H413" t="s">
        <v>1403</v>
      </c>
      <c r="I413">
        <v>4</v>
      </c>
      <c r="J413">
        <v>146</v>
      </c>
      <c r="K413" t="s">
        <v>1404</v>
      </c>
    </row>
    <row r="414" spans="1:11" x14ac:dyDescent="0.2">
      <c r="A414" t="str">
        <f>HYPERLINK("https://www.tiwall.com//p/douzakh6","دوزخ")</f>
        <v>دوزخ</v>
      </c>
      <c r="B414">
        <v>60</v>
      </c>
      <c r="C414" t="s">
        <v>24</v>
      </c>
      <c r="D414" t="s">
        <v>87</v>
      </c>
      <c r="E414" t="s">
        <v>26</v>
      </c>
      <c r="F414" t="s">
        <v>460</v>
      </c>
      <c r="G414" t="s">
        <v>1405</v>
      </c>
      <c r="H414" t="s">
        <v>1406</v>
      </c>
      <c r="I414">
        <v>0</v>
      </c>
      <c r="J414">
        <v>0</v>
      </c>
      <c r="K414" t="s">
        <v>1407</v>
      </c>
    </row>
    <row r="415" spans="1:11" x14ac:dyDescent="0.2">
      <c r="A415" t="str">
        <f>HYPERLINK("https://www.tiwall.com//p/marz3","مرز")</f>
        <v>مرز</v>
      </c>
      <c r="B415">
        <v>30</v>
      </c>
      <c r="C415" t="s">
        <v>86</v>
      </c>
      <c r="D415" t="s">
        <v>384</v>
      </c>
      <c r="E415" t="s">
        <v>138</v>
      </c>
      <c r="F415" t="s">
        <v>1347</v>
      </c>
      <c r="G415" t="s">
        <v>1408</v>
      </c>
      <c r="H415" t="s">
        <v>1409</v>
      </c>
      <c r="I415">
        <v>0</v>
      </c>
      <c r="J415">
        <v>0</v>
      </c>
      <c r="K415" t="s">
        <v>1408</v>
      </c>
    </row>
    <row r="416" spans="1:11" x14ac:dyDescent="0.2">
      <c r="A416" t="str">
        <f>HYPERLINK("https://www.tiwall.com//p/boudayebozorg","بودای بزرگ کمکشان کن")</f>
        <v>بودای بزرگ کمکشان کن</v>
      </c>
      <c r="B416">
        <v>50</v>
      </c>
      <c r="C416" t="s">
        <v>224</v>
      </c>
      <c r="D416" t="s">
        <v>45</v>
      </c>
      <c r="E416" t="s">
        <v>303</v>
      </c>
      <c r="F416" t="s">
        <v>1410</v>
      </c>
      <c r="G416" t="s">
        <v>640</v>
      </c>
      <c r="H416" t="s">
        <v>1411</v>
      </c>
      <c r="I416">
        <v>3.4</v>
      </c>
      <c r="J416">
        <v>10</v>
      </c>
      <c r="K416" t="s">
        <v>1412</v>
      </c>
    </row>
    <row r="417" spans="1:11" x14ac:dyDescent="0.2">
      <c r="A417" t="str">
        <f>HYPERLINK("https://www.tiwall.com//p/callbox","کال باکس")</f>
        <v>کال باکس</v>
      </c>
      <c r="B417">
        <v>40</v>
      </c>
      <c r="C417" t="s">
        <v>728</v>
      </c>
      <c r="D417" t="s">
        <v>87</v>
      </c>
      <c r="E417" t="s">
        <v>19</v>
      </c>
      <c r="F417" t="s">
        <v>1325</v>
      </c>
      <c r="G417" t="s">
        <v>1413</v>
      </c>
      <c r="H417" t="s">
        <v>1413</v>
      </c>
      <c r="I417">
        <v>0</v>
      </c>
      <c r="J417">
        <v>0</v>
      </c>
      <c r="K417" t="s">
        <v>1414</v>
      </c>
    </row>
    <row r="418" spans="1:11" x14ac:dyDescent="0.2">
      <c r="A418" t="str">
        <f>HYPERLINK("https://www.tiwall.com//p/foroudgah","فرودگاه، پرواز شماره ۷۰۷")</f>
        <v>فرودگاه، پرواز شماره ۷۰۷</v>
      </c>
      <c r="B418">
        <v>60</v>
      </c>
      <c r="C418" t="s">
        <v>31</v>
      </c>
      <c r="D418" t="s">
        <v>87</v>
      </c>
      <c r="E418" t="s">
        <v>26</v>
      </c>
      <c r="F418" t="s">
        <v>596</v>
      </c>
      <c r="G418" t="s">
        <v>1415</v>
      </c>
      <c r="H418" t="s">
        <v>1416</v>
      </c>
      <c r="I418">
        <v>3</v>
      </c>
      <c r="J418">
        <v>73</v>
      </c>
      <c r="K418" t="s">
        <v>1417</v>
      </c>
    </row>
    <row r="419" spans="1:11" x14ac:dyDescent="0.2">
      <c r="A419" t="str">
        <f>HYPERLINK("https://www.tiwall.com//p/twleve6","دوازده")</f>
        <v>دوازده</v>
      </c>
      <c r="B419">
        <v>60</v>
      </c>
      <c r="C419" t="s">
        <v>199</v>
      </c>
      <c r="D419" t="s">
        <v>146</v>
      </c>
      <c r="E419" t="s">
        <v>88</v>
      </c>
      <c r="F419" t="s">
        <v>1418</v>
      </c>
      <c r="G419" t="s">
        <v>1419</v>
      </c>
      <c r="H419" t="s">
        <v>1420</v>
      </c>
      <c r="I419">
        <v>3.7</v>
      </c>
      <c r="J419">
        <v>13</v>
      </c>
      <c r="K419" t="s">
        <v>1421</v>
      </c>
    </row>
    <row r="420" spans="1:11" x14ac:dyDescent="0.2">
      <c r="A420" t="str">
        <f>HYPERLINK("https://www.tiwall.com//p/khaksefid2","خاک سفید")</f>
        <v>خاک سفید</v>
      </c>
      <c r="B420">
        <v>60</v>
      </c>
      <c r="C420" t="s">
        <v>230</v>
      </c>
      <c r="D420" t="s">
        <v>12</v>
      </c>
      <c r="E420" t="s">
        <v>19</v>
      </c>
      <c r="F420" t="s">
        <v>571</v>
      </c>
      <c r="G420" t="s">
        <v>1422</v>
      </c>
      <c r="H420" t="s">
        <v>1423</v>
      </c>
      <c r="I420">
        <v>3.7</v>
      </c>
      <c r="J420">
        <v>30</v>
      </c>
      <c r="K420" t="s">
        <v>1424</v>
      </c>
    </row>
    <row r="421" spans="1:11" x14ac:dyDescent="0.2">
      <c r="A421" t="str">
        <f>HYPERLINK("https://www.tiwall.com//p/fatemeh4","فاطمه")</f>
        <v>فاطمه</v>
      </c>
      <c r="B421">
        <v>120</v>
      </c>
      <c r="C421" t="s">
        <v>1425</v>
      </c>
      <c r="D421" t="s">
        <v>87</v>
      </c>
      <c r="E421" t="s">
        <v>71</v>
      </c>
      <c r="F421" t="s">
        <v>1426</v>
      </c>
      <c r="G421" t="s">
        <v>1038</v>
      </c>
      <c r="H421" t="s">
        <v>1038</v>
      </c>
      <c r="I421">
        <v>0</v>
      </c>
      <c r="J421">
        <v>0</v>
      </c>
      <c r="K421" t="s">
        <v>1427</v>
      </c>
    </row>
    <row r="422" spans="1:11" x14ac:dyDescent="0.2">
      <c r="A422" t="str">
        <f>HYPERLINK("https://www.tiwall.com//p/lancher5","لانچر ۵")</f>
        <v>لانچر ۵</v>
      </c>
      <c r="B422">
        <v>50</v>
      </c>
      <c r="C422" t="s">
        <v>31</v>
      </c>
      <c r="D422" t="s">
        <v>146</v>
      </c>
      <c r="E422" t="s">
        <v>1428</v>
      </c>
      <c r="F422" t="s">
        <v>162</v>
      </c>
      <c r="G422" t="s">
        <v>1429</v>
      </c>
      <c r="H422" t="s">
        <v>1429</v>
      </c>
      <c r="I422">
        <v>4.7</v>
      </c>
      <c r="J422">
        <v>89</v>
      </c>
      <c r="K422" t="s">
        <v>1430</v>
      </c>
    </row>
    <row r="423" spans="1:11" x14ac:dyDescent="0.2">
      <c r="A423" t="str">
        <f>HYPERLINK("https://www.tiwall.com//p/royayeyeknevisnde","رویای یک نویسنده")</f>
        <v>رویای یک نویسنده</v>
      </c>
      <c r="B423">
        <v>30</v>
      </c>
      <c r="C423" t="s">
        <v>204</v>
      </c>
      <c r="D423" t="s">
        <v>280</v>
      </c>
      <c r="E423" t="s">
        <v>71</v>
      </c>
      <c r="F423" t="s">
        <v>14</v>
      </c>
      <c r="G423" t="s">
        <v>791</v>
      </c>
      <c r="H423" t="s">
        <v>791</v>
      </c>
      <c r="I423">
        <v>0</v>
      </c>
      <c r="J423">
        <v>0</v>
      </c>
      <c r="K423" t="s">
        <v>1431</v>
      </c>
    </row>
    <row r="424" spans="1:11" x14ac:dyDescent="0.2">
      <c r="A424" t="str">
        <f>HYPERLINK("https://www.tiwall.com//p/shoharam.pichazi2","معرفی می کنم شوهرم آقای پیچازی")</f>
        <v>معرفی می کنم شوهرم آقای پیچازی</v>
      </c>
      <c r="B424">
        <v>60</v>
      </c>
      <c r="C424" t="s">
        <v>64</v>
      </c>
      <c r="D424" t="s">
        <v>146</v>
      </c>
      <c r="E424" t="s">
        <v>13</v>
      </c>
      <c r="F424" t="s">
        <v>571</v>
      </c>
      <c r="G424" t="s">
        <v>1432</v>
      </c>
      <c r="H424" t="s">
        <v>1433</v>
      </c>
      <c r="I424">
        <v>0</v>
      </c>
      <c r="J424">
        <v>0</v>
      </c>
      <c r="K424" t="s">
        <v>1434</v>
      </c>
    </row>
    <row r="425" spans="1:11" x14ac:dyDescent="0.2">
      <c r="A425" t="str">
        <f>HYPERLINK("https://www.tiwall.com//p/general","ژنرال")</f>
        <v>ژنرال</v>
      </c>
      <c r="B425">
        <v>50</v>
      </c>
      <c r="C425" t="s">
        <v>1290</v>
      </c>
      <c r="D425" t="s">
        <v>146</v>
      </c>
      <c r="E425" t="s">
        <v>13</v>
      </c>
      <c r="F425" t="s">
        <v>1082</v>
      </c>
      <c r="G425" t="s">
        <v>1435</v>
      </c>
      <c r="H425" t="s">
        <v>1435</v>
      </c>
      <c r="I425">
        <v>0</v>
      </c>
      <c r="J425">
        <v>0</v>
      </c>
      <c r="K425" t="s">
        <v>1436</v>
      </c>
    </row>
    <row r="426" spans="1:11" x14ac:dyDescent="0.2">
      <c r="A426" t="str">
        <f>HYPERLINK("https://www.tiwall.com//p/abdolreza","عبدالرضا")</f>
        <v>عبدالرضا</v>
      </c>
      <c r="B426">
        <v>100</v>
      </c>
      <c r="C426" t="s">
        <v>31</v>
      </c>
      <c r="D426" t="s">
        <v>217</v>
      </c>
      <c r="E426" t="s">
        <v>19</v>
      </c>
      <c r="F426" t="s">
        <v>1437</v>
      </c>
      <c r="G426" t="s">
        <v>1438</v>
      </c>
      <c r="H426" t="s">
        <v>1439</v>
      </c>
      <c r="I426">
        <v>2.5</v>
      </c>
      <c r="J426">
        <v>6</v>
      </c>
      <c r="K426" t="s">
        <v>1440</v>
      </c>
    </row>
    <row r="427" spans="1:11" x14ac:dyDescent="0.2">
      <c r="A427" t="str">
        <f>HYPERLINK("https://www.tiwall.com//p/abdomen2","شکم")</f>
        <v>شکم</v>
      </c>
      <c r="B427">
        <v>60</v>
      </c>
      <c r="C427" t="s">
        <v>995</v>
      </c>
      <c r="D427" t="s">
        <v>12</v>
      </c>
      <c r="E427" t="s">
        <v>194</v>
      </c>
      <c r="F427" t="s">
        <v>1441</v>
      </c>
      <c r="G427" t="s">
        <v>1442</v>
      </c>
      <c r="H427" t="s">
        <v>520</v>
      </c>
      <c r="I427">
        <v>0</v>
      </c>
      <c r="J427">
        <v>0</v>
      </c>
      <c r="K427" t="s">
        <v>1443</v>
      </c>
    </row>
    <row r="428" spans="1:11" x14ac:dyDescent="0.2">
      <c r="A428" t="str">
        <f>HYPERLINK("https://www.tiwall.com//p/alaa","آلاء")</f>
        <v>آلاء</v>
      </c>
      <c r="B428">
        <v>30</v>
      </c>
      <c r="C428" t="s">
        <v>369</v>
      </c>
      <c r="D428" t="s">
        <v>87</v>
      </c>
      <c r="E428" t="s">
        <v>46</v>
      </c>
      <c r="F428" t="s">
        <v>40</v>
      </c>
      <c r="G428" t="s">
        <v>1444</v>
      </c>
      <c r="H428" t="s">
        <v>1444</v>
      </c>
      <c r="I428">
        <v>2.2000000000000002</v>
      </c>
      <c r="J428">
        <v>10</v>
      </c>
      <c r="K428" t="s">
        <v>1445</v>
      </c>
    </row>
    <row r="429" spans="1:11" x14ac:dyDescent="0.2">
      <c r="A429" t="str">
        <f>HYPERLINK("https://www.tiwall.com//p/black.light3","سرزمین بلک لایت")</f>
        <v>سرزمین بلک لایت</v>
      </c>
      <c r="B429">
        <v>300</v>
      </c>
      <c r="C429" t="s">
        <v>1446</v>
      </c>
      <c r="D429" t="s">
        <v>65</v>
      </c>
      <c r="E429" t="s">
        <v>303</v>
      </c>
      <c r="F429" t="s">
        <v>555</v>
      </c>
      <c r="G429" t="s">
        <v>1447</v>
      </c>
      <c r="H429" t="s">
        <v>1447</v>
      </c>
      <c r="I429">
        <v>0</v>
      </c>
      <c r="J429">
        <v>0</v>
      </c>
      <c r="K429" t="s">
        <v>1448</v>
      </c>
    </row>
    <row r="430" spans="1:11" x14ac:dyDescent="0.2">
      <c r="A430" t="str">
        <f>HYPERLINK("https://www.tiwall.com//p/doorazdastrasatfal5","دور از دسترس اطفال نگهداری شود")</f>
        <v>دور از دسترس اطفال نگهداری شود</v>
      </c>
      <c r="B430">
        <v>60</v>
      </c>
      <c r="C430" t="s">
        <v>11</v>
      </c>
      <c r="D430" t="s">
        <v>12</v>
      </c>
      <c r="E430" t="s">
        <v>194</v>
      </c>
      <c r="F430" t="s">
        <v>760</v>
      </c>
      <c r="G430" t="s">
        <v>1449</v>
      </c>
      <c r="H430" t="s">
        <v>1450</v>
      </c>
      <c r="I430">
        <v>0</v>
      </c>
      <c r="J430">
        <v>0</v>
      </c>
      <c r="K430" t="s">
        <v>1451</v>
      </c>
    </row>
    <row r="431" spans="1:11" x14ac:dyDescent="0.2">
      <c r="A431" t="str">
        <f>HYPERLINK("https://www.tiwall.com//p/mostakhdem3","مستخدم")</f>
        <v>مستخدم</v>
      </c>
      <c r="B431">
        <v>70</v>
      </c>
      <c r="C431" t="s">
        <v>24</v>
      </c>
      <c r="D431" t="s">
        <v>25</v>
      </c>
      <c r="E431" t="s">
        <v>13</v>
      </c>
      <c r="F431" t="s">
        <v>40</v>
      </c>
      <c r="G431" t="s">
        <v>1452</v>
      </c>
      <c r="H431" t="s">
        <v>1452</v>
      </c>
      <c r="I431">
        <v>3.6</v>
      </c>
      <c r="J431">
        <v>23</v>
      </c>
      <c r="K431" t="s">
        <v>1453</v>
      </c>
    </row>
    <row r="432" spans="1:11" x14ac:dyDescent="0.2">
      <c r="A432" t="str">
        <f>HYPERLINK("https://www.tiwall.com//p/aslahepedari","اسلحه پدری")</f>
        <v>اسلحه پدری</v>
      </c>
      <c r="B432">
        <v>40</v>
      </c>
      <c r="C432" t="s">
        <v>121</v>
      </c>
      <c r="D432" t="s">
        <v>87</v>
      </c>
      <c r="E432" t="s">
        <v>13</v>
      </c>
      <c r="F432" t="s">
        <v>89</v>
      </c>
      <c r="G432" t="s">
        <v>1432</v>
      </c>
      <c r="H432" t="s">
        <v>1454</v>
      </c>
      <c r="I432">
        <v>0</v>
      </c>
      <c r="J432">
        <v>0</v>
      </c>
      <c r="K432" t="s">
        <v>1455</v>
      </c>
    </row>
    <row r="433" spans="1:11" x14ac:dyDescent="0.2">
      <c r="A433" t="str">
        <f>HYPERLINK("https://www.tiwall.com//p/tanidan2","تنیدن")</f>
        <v>تنیدن</v>
      </c>
      <c r="B433">
        <v>45</v>
      </c>
      <c r="C433" t="s">
        <v>24</v>
      </c>
      <c r="D433" t="s">
        <v>217</v>
      </c>
      <c r="E433" t="s">
        <v>88</v>
      </c>
      <c r="F433" t="s">
        <v>1456</v>
      </c>
      <c r="G433" t="s">
        <v>1457</v>
      </c>
      <c r="H433" t="s">
        <v>1457</v>
      </c>
      <c r="I433">
        <v>4</v>
      </c>
      <c r="J433">
        <v>6</v>
      </c>
      <c r="K433" t="s">
        <v>1458</v>
      </c>
    </row>
    <row r="434" spans="1:11" x14ac:dyDescent="0.2">
      <c r="A434" t="str">
        <f>HYPERLINK("https://www.tiwall.com//p/jahanam.goulag3","از جهنم تا گولاگ")</f>
        <v>از جهنم تا گولاگ</v>
      </c>
      <c r="B434">
        <v>80</v>
      </c>
      <c r="C434" t="s">
        <v>204</v>
      </c>
      <c r="D434" t="s">
        <v>12</v>
      </c>
      <c r="E434" t="s">
        <v>194</v>
      </c>
      <c r="F434" t="s">
        <v>506</v>
      </c>
      <c r="G434" t="s">
        <v>719</v>
      </c>
      <c r="H434" t="s">
        <v>1409</v>
      </c>
      <c r="I434">
        <v>0</v>
      </c>
      <c r="J434">
        <v>0</v>
      </c>
      <c r="K434" t="s">
        <v>1459</v>
      </c>
    </row>
    <row r="435" spans="1:11" x14ac:dyDescent="0.2">
      <c r="A435" t="str">
        <f>HYPERLINK("https://www.tiwall.com//p/mobarak.khatun3","خاتون پرده نشین")</f>
        <v>خاتون پرده نشین</v>
      </c>
      <c r="B435">
        <v>100</v>
      </c>
      <c r="C435" t="s">
        <v>86</v>
      </c>
      <c r="D435" t="s">
        <v>65</v>
      </c>
      <c r="E435" t="s">
        <v>39</v>
      </c>
      <c r="F435" t="s">
        <v>1460</v>
      </c>
      <c r="G435" t="s">
        <v>1461</v>
      </c>
      <c r="H435" t="s">
        <v>283</v>
      </c>
      <c r="I435">
        <v>4.0999999999999996</v>
      </c>
      <c r="J435">
        <v>29</v>
      </c>
      <c r="K435" t="s">
        <v>1462</v>
      </c>
    </row>
    <row r="436" spans="1:11" x14ac:dyDescent="0.2">
      <c r="A436" t="str">
        <f>HYPERLINK("https://www.tiwall.com//p/loole","لوله")</f>
        <v>لوله</v>
      </c>
      <c r="B436">
        <v>45</v>
      </c>
      <c r="C436" t="s">
        <v>37</v>
      </c>
      <c r="D436" t="s">
        <v>12</v>
      </c>
      <c r="E436" t="s">
        <v>26</v>
      </c>
      <c r="F436" t="s">
        <v>1463</v>
      </c>
      <c r="G436" t="s">
        <v>904</v>
      </c>
      <c r="H436" t="s">
        <v>904</v>
      </c>
      <c r="I436">
        <v>0</v>
      </c>
      <c r="J436">
        <v>0</v>
      </c>
      <c r="K436" t="s">
        <v>1464</v>
      </c>
    </row>
    <row r="437" spans="1:11" x14ac:dyDescent="0.2">
      <c r="A437" t="str">
        <f>HYPERLINK("https://www.tiwall.com//p/baghevahmeshishei","باغ وهمی شیشه ای")</f>
        <v>باغ وهمی شیشه ای</v>
      </c>
      <c r="B437">
        <v>100</v>
      </c>
      <c r="C437" t="s">
        <v>928</v>
      </c>
      <c r="D437" t="s">
        <v>65</v>
      </c>
      <c r="E437" t="s">
        <v>13</v>
      </c>
      <c r="F437" t="s">
        <v>1243</v>
      </c>
      <c r="G437" t="s">
        <v>776</v>
      </c>
      <c r="H437" t="s">
        <v>776</v>
      </c>
      <c r="I437">
        <v>3.3</v>
      </c>
      <c r="J437">
        <v>32</v>
      </c>
      <c r="K437" t="s">
        <v>1465</v>
      </c>
    </row>
    <row r="438" spans="1:11" x14ac:dyDescent="0.2">
      <c r="A438" t="str">
        <f>HYPERLINK("https://www.tiwall.com//p/tavalodetmobarak","تولدت مبارک")</f>
        <v>تولدت مبارک</v>
      </c>
      <c r="B438">
        <v>60</v>
      </c>
      <c r="C438" t="s">
        <v>928</v>
      </c>
      <c r="D438" t="s">
        <v>265</v>
      </c>
      <c r="E438" t="s">
        <v>303</v>
      </c>
      <c r="F438" t="s">
        <v>27</v>
      </c>
      <c r="G438" t="s">
        <v>1466</v>
      </c>
      <c r="H438" t="s">
        <v>1467</v>
      </c>
      <c r="I438">
        <v>3.7</v>
      </c>
      <c r="J438">
        <v>70</v>
      </c>
      <c r="K438" t="s">
        <v>1468</v>
      </c>
    </row>
    <row r="439" spans="1:11" x14ac:dyDescent="0.2">
      <c r="A439" t="str">
        <f>HYPERLINK("https://www.tiwall.com//p/kaleh.gondeh","کله گنده/اپیزود دوم: تا رهایی")</f>
        <v>کله گنده/اپیزود دوم: تا رهایی</v>
      </c>
      <c r="B439">
        <v>100</v>
      </c>
      <c r="C439" t="s">
        <v>230</v>
      </c>
      <c r="D439" t="s">
        <v>87</v>
      </c>
      <c r="E439" t="s">
        <v>13</v>
      </c>
      <c r="F439" t="s">
        <v>195</v>
      </c>
      <c r="G439" t="s">
        <v>653</v>
      </c>
      <c r="H439" t="s">
        <v>1139</v>
      </c>
      <c r="I439">
        <v>0</v>
      </c>
      <c r="J439">
        <v>0</v>
      </c>
      <c r="K439" t="s">
        <v>1469</v>
      </c>
    </row>
    <row r="440" spans="1:11" x14ac:dyDescent="0.2">
      <c r="A440" t="str">
        <f>HYPERLINK("https://www.tiwall.com//p/khaneh.siah","خانه سیاه است")</f>
        <v>خانه سیاه است</v>
      </c>
      <c r="B440">
        <v>70</v>
      </c>
      <c r="C440" t="s">
        <v>362</v>
      </c>
      <c r="D440" t="s">
        <v>12</v>
      </c>
      <c r="E440" t="s">
        <v>13</v>
      </c>
      <c r="F440" t="s">
        <v>359</v>
      </c>
      <c r="G440" t="s">
        <v>1470</v>
      </c>
      <c r="H440" t="s">
        <v>1470</v>
      </c>
      <c r="I440">
        <v>3.7</v>
      </c>
      <c r="J440">
        <v>35</v>
      </c>
      <c r="K440" t="s">
        <v>1471</v>
      </c>
    </row>
    <row r="441" spans="1:11" x14ac:dyDescent="0.2">
      <c r="A441" t="str">
        <f>HYPERLINK("https://www.tiwall.com//p/morse","مورس")</f>
        <v>مورس</v>
      </c>
      <c r="B441">
        <v>30</v>
      </c>
      <c r="C441" t="s">
        <v>64</v>
      </c>
      <c r="D441" t="s">
        <v>32</v>
      </c>
      <c r="E441" t="s">
        <v>26</v>
      </c>
      <c r="F441" t="s">
        <v>1472</v>
      </c>
      <c r="G441" t="s">
        <v>1473</v>
      </c>
      <c r="H441" t="s">
        <v>1473</v>
      </c>
      <c r="I441">
        <v>0</v>
      </c>
      <c r="J441">
        <v>0</v>
      </c>
      <c r="K441" t="s">
        <v>1474</v>
      </c>
    </row>
    <row r="442" spans="1:11" x14ac:dyDescent="0.2">
      <c r="A442" t="str">
        <f>HYPERLINK("https://www.tiwall.com//p/good.doctor11","پزشک نازنین")</f>
        <v>پزشک نازنین</v>
      </c>
      <c r="B442">
        <v>40</v>
      </c>
      <c r="C442" t="s">
        <v>51</v>
      </c>
      <c r="D442" t="s">
        <v>32</v>
      </c>
      <c r="E442" t="s">
        <v>88</v>
      </c>
      <c r="F442" t="s">
        <v>89</v>
      </c>
      <c r="G442" t="s">
        <v>1475</v>
      </c>
      <c r="H442" t="s">
        <v>183</v>
      </c>
      <c r="I442">
        <v>0</v>
      </c>
      <c r="J442">
        <v>0</v>
      </c>
      <c r="K442" t="s">
        <v>1476</v>
      </c>
    </row>
    <row r="443" spans="1:11" x14ac:dyDescent="0.2">
      <c r="A443" t="str">
        <f>HYPERLINK("https://www.tiwall.com//p/aquariumneshinha","آکواریوم نشینها")</f>
        <v>آکواریوم نشینها</v>
      </c>
      <c r="B443">
        <v>80</v>
      </c>
      <c r="C443" t="s">
        <v>18</v>
      </c>
      <c r="D443" t="s">
        <v>12</v>
      </c>
      <c r="E443" t="s">
        <v>13</v>
      </c>
      <c r="F443" t="s">
        <v>1477</v>
      </c>
      <c r="G443" t="s">
        <v>1478</v>
      </c>
      <c r="H443" t="s">
        <v>1478</v>
      </c>
      <c r="I443">
        <v>4.2</v>
      </c>
      <c r="J443">
        <v>5</v>
      </c>
      <c r="K443" t="s">
        <v>1479</v>
      </c>
    </row>
    <row r="444" spans="1:11" x14ac:dyDescent="0.2">
      <c r="A444" t="str">
        <f>HYPERLINK("https://www.tiwall.com//p/jorm2","جرم")</f>
        <v>جرم</v>
      </c>
      <c r="B444">
        <v>30</v>
      </c>
      <c r="C444" t="s">
        <v>1480</v>
      </c>
      <c r="D444" t="s">
        <v>12</v>
      </c>
      <c r="E444" t="s">
        <v>194</v>
      </c>
      <c r="F444" t="s">
        <v>1197</v>
      </c>
      <c r="G444" t="s">
        <v>1481</v>
      </c>
      <c r="H444" t="s">
        <v>1482</v>
      </c>
      <c r="I444">
        <v>0</v>
      </c>
      <c r="J444">
        <v>0</v>
      </c>
      <c r="K444" t="s">
        <v>1483</v>
      </c>
    </row>
    <row r="445" spans="1:11" x14ac:dyDescent="0.2">
      <c r="A445" t="str">
        <f>HYPERLINK("https://www.tiwall.com//p/avazkhanekaletas2","خانم آوازخوان کله طاس")</f>
        <v>خانم آوازخوان کله طاس</v>
      </c>
      <c r="B445">
        <v>100</v>
      </c>
      <c r="C445" t="s">
        <v>11</v>
      </c>
      <c r="D445" t="s">
        <v>65</v>
      </c>
      <c r="E445" t="s">
        <v>13</v>
      </c>
      <c r="F445" t="s">
        <v>263</v>
      </c>
      <c r="G445" t="s">
        <v>1484</v>
      </c>
      <c r="H445" t="s">
        <v>1384</v>
      </c>
      <c r="I445">
        <v>4.0999999999999996</v>
      </c>
      <c r="J445">
        <v>15</v>
      </c>
      <c r="K445" t="s">
        <v>1485</v>
      </c>
    </row>
    <row r="446" spans="1:11" x14ac:dyDescent="0.2">
      <c r="A446" t="str">
        <f>HYPERLINK("https://www.tiwall.com//p/metranpazh6","متران پاژ")</f>
        <v>متران پاژ</v>
      </c>
      <c r="B446">
        <v>45</v>
      </c>
      <c r="C446" t="s">
        <v>64</v>
      </c>
      <c r="D446" t="s">
        <v>45</v>
      </c>
      <c r="E446" t="s">
        <v>26</v>
      </c>
      <c r="F446" t="s">
        <v>1486</v>
      </c>
      <c r="G446" t="s">
        <v>1487</v>
      </c>
      <c r="H446" t="s">
        <v>1488</v>
      </c>
      <c r="I446">
        <v>4.2</v>
      </c>
      <c r="J446">
        <v>6</v>
      </c>
      <c r="K446" t="s">
        <v>1489</v>
      </c>
    </row>
    <row r="447" spans="1:11" x14ac:dyDescent="0.2">
      <c r="A447" t="str">
        <f>HYPERLINK("https://www.tiwall.com//p/soetafahom18","سوءتفاهم")</f>
        <v>سوءتفاهم</v>
      </c>
      <c r="B447">
        <v>65</v>
      </c>
      <c r="C447" t="s">
        <v>129</v>
      </c>
      <c r="D447" t="s">
        <v>25</v>
      </c>
      <c r="E447" t="s">
        <v>26</v>
      </c>
      <c r="F447" t="s">
        <v>1243</v>
      </c>
      <c r="G447" t="s">
        <v>1490</v>
      </c>
      <c r="H447" t="s">
        <v>758</v>
      </c>
      <c r="I447">
        <v>0</v>
      </c>
      <c r="J447">
        <v>0</v>
      </c>
      <c r="K447" t="s">
        <v>1491</v>
      </c>
    </row>
    <row r="448" spans="1:11" x14ac:dyDescent="0.2">
      <c r="A448" t="str">
        <f>HYPERLINK("https://www.tiwall.com//p/zaval","زوال")</f>
        <v>زوال</v>
      </c>
      <c r="B448">
        <v>40</v>
      </c>
      <c r="C448" t="s">
        <v>383</v>
      </c>
      <c r="D448" t="s">
        <v>217</v>
      </c>
      <c r="E448" t="s">
        <v>235</v>
      </c>
      <c r="F448" t="s">
        <v>1284</v>
      </c>
      <c r="G448" t="s">
        <v>1492</v>
      </c>
      <c r="H448" t="s">
        <v>1492</v>
      </c>
      <c r="I448">
        <v>0</v>
      </c>
      <c r="J448">
        <v>0</v>
      </c>
      <c r="K448" t="s">
        <v>1493</v>
      </c>
    </row>
    <row r="449" spans="1:11" x14ac:dyDescent="0.2">
      <c r="A449" t="str">
        <f>HYPERLINK("https://www.tiwall.com//p/streetcar.named.desire4","اتوبوسی به نام هوس")</f>
        <v>اتوبوسی به نام هوس</v>
      </c>
      <c r="B449">
        <v>45</v>
      </c>
      <c r="C449" t="s">
        <v>121</v>
      </c>
      <c r="D449" t="s">
        <v>384</v>
      </c>
      <c r="E449" t="s">
        <v>303</v>
      </c>
      <c r="F449" t="s">
        <v>1494</v>
      </c>
      <c r="G449" t="s">
        <v>1495</v>
      </c>
      <c r="H449" t="s">
        <v>1496</v>
      </c>
      <c r="I449">
        <v>0</v>
      </c>
      <c r="J449">
        <v>0</v>
      </c>
      <c r="K449" t="s">
        <v>1497</v>
      </c>
    </row>
    <row r="450" spans="1:11" x14ac:dyDescent="0.2">
      <c r="A450" t="str">
        <f>HYPERLINK("https://www.tiwall.com//p/nimehshab2","نیمه شب")</f>
        <v>نیمه شب</v>
      </c>
      <c r="B450">
        <v>45</v>
      </c>
      <c r="C450" t="s">
        <v>103</v>
      </c>
      <c r="D450" t="s">
        <v>32</v>
      </c>
      <c r="E450" t="s">
        <v>88</v>
      </c>
      <c r="F450" t="s">
        <v>1498</v>
      </c>
      <c r="G450" t="s">
        <v>1188</v>
      </c>
      <c r="H450" t="s">
        <v>1499</v>
      </c>
      <c r="I450">
        <v>0</v>
      </c>
      <c r="J450">
        <v>0</v>
      </c>
      <c r="K450" t="s">
        <v>1500</v>
      </c>
    </row>
    <row r="451" spans="1:11" x14ac:dyDescent="0.2">
      <c r="A451" t="str">
        <f>HYPERLINK("https://www.tiwall.com//p/labrador","لابرادور")</f>
        <v>لابرادور</v>
      </c>
      <c r="B451">
        <v>50</v>
      </c>
      <c r="C451" t="s">
        <v>1501</v>
      </c>
      <c r="D451" t="s">
        <v>217</v>
      </c>
      <c r="E451" t="s">
        <v>138</v>
      </c>
      <c r="F451" t="s">
        <v>1502</v>
      </c>
      <c r="G451" t="s">
        <v>1503</v>
      </c>
      <c r="H451" t="s">
        <v>1503</v>
      </c>
      <c r="I451">
        <v>0</v>
      </c>
      <c r="J451">
        <v>0</v>
      </c>
      <c r="K451" t="s">
        <v>1503</v>
      </c>
    </row>
    <row r="452" spans="1:11" x14ac:dyDescent="0.2">
      <c r="A452" t="str">
        <f>HYPERLINK("https://www.tiwall.com//p/adolph3","در انتظار آدولف")</f>
        <v>در انتظار آدولف</v>
      </c>
      <c r="B452">
        <v>80</v>
      </c>
      <c r="C452" t="s">
        <v>170</v>
      </c>
      <c r="D452" t="s">
        <v>12</v>
      </c>
      <c r="E452" t="s">
        <v>26</v>
      </c>
      <c r="F452" t="s">
        <v>118</v>
      </c>
      <c r="G452" t="s">
        <v>1504</v>
      </c>
      <c r="H452" t="s">
        <v>1505</v>
      </c>
      <c r="I452">
        <v>4.0999999999999996</v>
      </c>
      <c r="J452">
        <v>17</v>
      </c>
      <c r="K452" t="s">
        <v>1506</v>
      </c>
    </row>
    <row r="453" spans="1:11" x14ac:dyDescent="0.2">
      <c r="A453" t="str">
        <f>HYPERLINK("https://www.tiwall.com//p/panjereh.baz","این‌جا پنجره‌ای باز مانده است")</f>
        <v>این‌جا پنجره‌ای باز مانده است</v>
      </c>
      <c r="B453">
        <v>150</v>
      </c>
      <c r="C453" t="s">
        <v>31</v>
      </c>
      <c r="D453" t="s">
        <v>470</v>
      </c>
      <c r="E453" t="s">
        <v>71</v>
      </c>
      <c r="F453" t="s">
        <v>1507</v>
      </c>
      <c r="G453" t="s">
        <v>1508</v>
      </c>
      <c r="H453" t="s">
        <v>1508</v>
      </c>
      <c r="I453">
        <v>4</v>
      </c>
      <c r="J453">
        <v>89</v>
      </c>
      <c r="K453" t="s">
        <v>1509</v>
      </c>
    </row>
    <row r="454" spans="1:11" x14ac:dyDescent="0.2">
      <c r="A454" t="str">
        <f>HYPERLINK("https://www.tiwall.com//p/belakhareinzendegimalekiye4","بالاخره این زندگی مال کیه")</f>
        <v>بالاخره این زندگی مال کیه</v>
      </c>
      <c r="B454">
        <v>50</v>
      </c>
      <c r="C454" t="s">
        <v>410</v>
      </c>
      <c r="D454" t="s">
        <v>45</v>
      </c>
      <c r="E454" t="s">
        <v>303</v>
      </c>
      <c r="F454" t="s">
        <v>1510</v>
      </c>
      <c r="G454" t="s">
        <v>1511</v>
      </c>
      <c r="H454" t="s">
        <v>1512</v>
      </c>
      <c r="I454">
        <v>3.8</v>
      </c>
      <c r="J454">
        <v>35</v>
      </c>
      <c r="K454" t="s">
        <v>1513</v>
      </c>
    </row>
    <row r="455" spans="1:11" x14ac:dyDescent="0.2">
      <c r="A455" t="str">
        <f>HYPERLINK("https://www.tiwall.com//p/asvatsargardan","اصوات سرگردان")</f>
        <v>اصوات سرگردان</v>
      </c>
      <c r="B455">
        <v>60</v>
      </c>
      <c r="C455" t="s">
        <v>204</v>
      </c>
      <c r="D455" t="s">
        <v>12</v>
      </c>
      <c r="E455" t="s">
        <v>138</v>
      </c>
      <c r="F455" t="s">
        <v>52</v>
      </c>
      <c r="G455" t="s">
        <v>719</v>
      </c>
      <c r="H455" t="s">
        <v>1514</v>
      </c>
      <c r="I455">
        <v>0</v>
      </c>
      <c r="J455">
        <v>0</v>
      </c>
      <c r="K455" t="s">
        <v>1515</v>
      </c>
    </row>
    <row r="456" spans="1:11" x14ac:dyDescent="0.2">
      <c r="A456" t="str">
        <f>HYPERLINK("https://www.tiwall.com//p/innobatazkasan","این نوبت از کسان")</f>
        <v>این نوبت از کسان</v>
      </c>
      <c r="B456">
        <v>15</v>
      </c>
      <c r="C456" t="s">
        <v>918</v>
      </c>
      <c r="D456" t="s">
        <v>25</v>
      </c>
      <c r="E456" t="s">
        <v>26</v>
      </c>
      <c r="F456" t="s">
        <v>647</v>
      </c>
      <c r="G456" t="s">
        <v>733</v>
      </c>
      <c r="H456" t="s">
        <v>1516</v>
      </c>
      <c r="I456">
        <v>0</v>
      </c>
      <c r="J456">
        <v>0</v>
      </c>
      <c r="K456" t="s">
        <v>1517</v>
      </c>
    </row>
    <row r="457" spans="1:11" x14ac:dyDescent="0.2">
      <c r="A457" t="str">
        <f>HYPERLINK("https://www.tiwall.com//p/nausia2","تهوع")</f>
        <v>تهوع</v>
      </c>
      <c r="B457">
        <v>75</v>
      </c>
      <c r="C457" t="s">
        <v>1518</v>
      </c>
      <c r="D457" t="s">
        <v>12</v>
      </c>
      <c r="E457" t="s">
        <v>13</v>
      </c>
      <c r="F457" t="s">
        <v>57</v>
      </c>
      <c r="G457" t="s">
        <v>1519</v>
      </c>
      <c r="H457" t="s">
        <v>1520</v>
      </c>
      <c r="I457">
        <v>0</v>
      </c>
      <c r="J457">
        <v>0</v>
      </c>
      <c r="K457" t="s">
        <v>1521</v>
      </c>
    </row>
    <row r="458" spans="1:11" x14ac:dyDescent="0.2">
      <c r="A458" t="str">
        <f>HYPERLINK("https://www.tiwall.com//p/ke2","که؟")</f>
        <v>که؟</v>
      </c>
      <c r="B458">
        <v>50</v>
      </c>
      <c r="C458" t="s">
        <v>344</v>
      </c>
      <c r="D458" t="s">
        <v>38</v>
      </c>
      <c r="E458" t="s">
        <v>235</v>
      </c>
      <c r="F458" t="s">
        <v>445</v>
      </c>
      <c r="G458" t="s">
        <v>1522</v>
      </c>
      <c r="H458" t="s">
        <v>1522</v>
      </c>
      <c r="I458">
        <v>0</v>
      </c>
      <c r="J458">
        <v>0</v>
      </c>
      <c r="K458" t="s">
        <v>1522</v>
      </c>
    </row>
    <row r="459" spans="1:11" x14ac:dyDescent="0.2">
      <c r="A459" t="str">
        <f>HYPERLINK("https://www.tiwall.com//p/sookhtejan","سوخته جان")</f>
        <v>سوخته جان</v>
      </c>
      <c r="B459">
        <v>60</v>
      </c>
      <c r="C459" t="s">
        <v>69</v>
      </c>
      <c r="D459" t="s">
        <v>45</v>
      </c>
      <c r="E459" t="s">
        <v>138</v>
      </c>
      <c r="F459" t="s">
        <v>1523</v>
      </c>
      <c r="G459" t="s">
        <v>1524</v>
      </c>
      <c r="H459" t="s">
        <v>1525</v>
      </c>
      <c r="I459">
        <v>0</v>
      </c>
      <c r="J459">
        <v>0</v>
      </c>
      <c r="K459" t="s">
        <v>1526</v>
      </c>
    </row>
    <row r="460" spans="1:11" x14ac:dyDescent="0.2">
      <c r="A460" t="str">
        <f>HYPERLINK("https://www.tiwall.com//p/error404","ارور ۴۰۴")</f>
        <v>ارور ۴۰۴</v>
      </c>
      <c r="B460">
        <v>70</v>
      </c>
      <c r="C460" t="s">
        <v>31</v>
      </c>
      <c r="D460" t="s">
        <v>87</v>
      </c>
      <c r="E460" t="s">
        <v>175</v>
      </c>
      <c r="F460" t="s">
        <v>40</v>
      </c>
      <c r="G460" t="s">
        <v>1128</v>
      </c>
      <c r="H460" t="s">
        <v>1128</v>
      </c>
      <c r="I460">
        <v>3.2</v>
      </c>
      <c r="J460">
        <v>72</v>
      </c>
      <c r="K460" t="s">
        <v>1527</v>
      </c>
    </row>
    <row r="461" spans="1:11" x14ac:dyDescent="0.2">
      <c r="A461" t="str">
        <f>HYPERLINK("https://www.tiwall.com//p/ostorlab2","اسطرلاب ۱/۱")</f>
        <v>اسطرلاب ۱/۱</v>
      </c>
      <c r="B461">
        <v>50</v>
      </c>
      <c r="C461" t="s">
        <v>1314</v>
      </c>
      <c r="D461" t="s">
        <v>12</v>
      </c>
      <c r="E461" t="s">
        <v>26</v>
      </c>
      <c r="F461" t="s">
        <v>1528</v>
      </c>
      <c r="G461" t="s">
        <v>1529</v>
      </c>
      <c r="H461" t="s">
        <v>1529</v>
      </c>
      <c r="I461">
        <v>3.3</v>
      </c>
      <c r="J461">
        <v>6</v>
      </c>
      <c r="K461" t="s">
        <v>1530</v>
      </c>
    </row>
    <row r="462" spans="1:11" x14ac:dyDescent="0.2">
      <c r="A462" t="str">
        <f>HYPERLINK("https://www.tiwall.com//p/mosafer.otagh","مسافر اتاق شماره ۳۷")</f>
        <v>مسافر اتاق شماره ۳۷</v>
      </c>
      <c r="B462">
        <v>30</v>
      </c>
      <c r="C462" t="s">
        <v>64</v>
      </c>
      <c r="D462" t="s">
        <v>12</v>
      </c>
      <c r="E462" t="s">
        <v>13</v>
      </c>
      <c r="F462" t="s">
        <v>1531</v>
      </c>
      <c r="G462" t="s">
        <v>1532</v>
      </c>
      <c r="H462" t="s">
        <v>1533</v>
      </c>
      <c r="I462">
        <v>0</v>
      </c>
      <c r="J462">
        <v>0</v>
      </c>
      <c r="K462" t="s">
        <v>1534</v>
      </c>
    </row>
    <row r="463" spans="1:11" x14ac:dyDescent="0.2">
      <c r="A463" t="str">
        <f>HYPERLINK("https://www.tiwall.com//p/lamusica3","لاموزیکا")</f>
        <v>لاموزیکا</v>
      </c>
      <c r="B463">
        <v>110</v>
      </c>
      <c r="C463" t="s">
        <v>1535</v>
      </c>
      <c r="D463" t="s">
        <v>217</v>
      </c>
      <c r="E463" t="s">
        <v>138</v>
      </c>
      <c r="F463" t="s">
        <v>1152</v>
      </c>
      <c r="G463" t="s">
        <v>1536</v>
      </c>
      <c r="H463" t="s">
        <v>1537</v>
      </c>
      <c r="I463">
        <v>3</v>
      </c>
      <c r="J463">
        <v>10</v>
      </c>
      <c r="K463" t="s">
        <v>1538</v>
      </c>
    </row>
    <row r="464" spans="1:11" x14ac:dyDescent="0.2">
      <c r="A464" t="str">
        <f>HYPERLINK("https://www.tiwall.com//p/qarbe.qamzade4","غرب غم زده")</f>
        <v>غرب غم زده</v>
      </c>
      <c r="B464">
        <v>50</v>
      </c>
      <c r="C464" t="s">
        <v>51</v>
      </c>
      <c r="D464" t="s">
        <v>217</v>
      </c>
      <c r="E464" t="s">
        <v>303</v>
      </c>
      <c r="F464" t="s">
        <v>1539</v>
      </c>
      <c r="G464" t="s">
        <v>1540</v>
      </c>
      <c r="H464" t="s">
        <v>755</v>
      </c>
      <c r="I464">
        <v>3.4</v>
      </c>
      <c r="J464">
        <v>10</v>
      </c>
      <c r="K464" t="s">
        <v>1541</v>
      </c>
    </row>
    <row r="465" spans="1:11" x14ac:dyDescent="0.2">
      <c r="A465" t="str">
        <f>HYPERLINK("https://www.tiwall.com//p/jepeto2","ژپتو")</f>
        <v>ژپتو</v>
      </c>
      <c r="B465">
        <v>70</v>
      </c>
      <c r="C465" t="s">
        <v>37</v>
      </c>
      <c r="D465" t="s">
        <v>559</v>
      </c>
      <c r="E465" t="s">
        <v>13</v>
      </c>
      <c r="F465" t="s">
        <v>40</v>
      </c>
      <c r="G465" t="s">
        <v>364</v>
      </c>
      <c r="H465" t="s">
        <v>364</v>
      </c>
      <c r="I465">
        <v>4.0999999999999996</v>
      </c>
      <c r="J465">
        <v>60</v>
      </c>
      <c r="K465" t="s">
        <v>1542</v>
      </c>
    </row>
    <row r="466" spans="1:11" x14ac:dyDescent="0.2">
      <c r="A466" t="str">
        <f>HYPERLINK("https://www.tiwall.com//p/akharinashegh2","آخرین عاشق")</f>
        <v>آخرین عاشق</v>
      </c>
      <c r="B466">
        <v>60</v>
      </c>
      <c r="C466" t="s">
        <v>86</v>
      </c>
      <c r="D466" t="s">
        <v>45</v>
      </c>
      <c r="E466" t="s">
        <v>19</v>
      </c>
      <c r="F466" t="s">
        <v>350</v>
      </c>
      <c r="G466" t="s">
        <v>1543</v>
      </c>
      <c r="H466" t="s">
        <v>183</v>
      </c>
      <c r="I466">
        <v>3.9</v>
      </c>
      <c r="J466">
        <v>51</v>
      </c>
      <c r="K466" t="s">
        <v>1544</v>
      </c>
    </row>
    <row r="467" spans="1:11" x14ac:dyDescent="0.2">
      <c r="A467" t="str">
        <f>HYPERLINK("https://www.tiwall.com//p/tarsazbaran","ترس از باران")</f>
        <v>ترس از باران</v>
      </c>
      <c r="B467">
        <v>70</v>
      </c>
      <c r="C467" t="s">
        <v>501</v>
      </c>
      <c r="D467" t="s">
        <v>87</v>
      </c>
      <c r="E467" t="s">
        <v>13</v>
      </c>
      <c r="F467" t="s">
        <v>27</v>
      </c>
      <c r="G467" t="s">
        <v>1545</v>
      </c>
      <c r="H467" t="s">
        <v>1546</v>
      </c>
      <c r="I467">
        <v>2.6</v>
      </c>
      <c r="J467">
        <v>12</v>
      </c>
      <c r="K467" t="s">
        <v>1547</v>
      </c>
    </row>
    <row r="468" spans="1:11" x14ac:dyDescent="0.2">
      <c r="A468" t="str">
        <f>HYPERLINK("https://www.tiwall.com//p/jomjomeh.kanmara","جمجمه ای در کانمارا")</f>
        <v>جمجمه ای در کانمارا</v>
      </c>
      <c r="B468">
        <v>60</v>
      </c>
      <c r="C468" t="s">
        <v>224</v>
      </c>
      <c r="D468" t="s">
        <v>384</v>
      </c>
      <c r="E468" t="s">
        <v>71</v>
      </c>
      <c r="F468" t="s">
        <v>1548</v>
      </c>
      <c r="G468" t="s">
        <v>941</v>
      </c>
      <c r="H468" t="s">
        <v>755</v>
      </c>
      <c r="I468">
        <v>0</v>
      </c>
      <c r="J468">
        <v>0</v>
      </c>
      <c r="K468" t="s">
        <v>1549</v>
      </c>
    </row>
    <row r="469" spans="1:11" x14ac:dyDescent="0.2">
      <c r="A469" t="str">
        <f>HYPERLINK("https://www.tiwall.com//p/shamakhar2","شام آخر")</f>
        <v>شام آخر</v>
      </c>
      <c r="B469">
        <v>100</v>
      </c>
      <c r="C469" t="s">
        <v>37</v>
      </c>
      <c r="D469" t="s">
        <v>45</v>
      </c>
      <c r="E469" t="s">
        <v>175</v>
      </c>
      <c r="F469" t="s">
        <v>893</v>
      </c>
      <c r="G469" t="s">
        <v>1546</v>
      </c>
      <c r="H469" t="s">
        <v>1546</v>
      </c>
      <c r="I469">
        <v>3.3</v>
      </c>
      <c r="J469">
        <v>65</v>
      </c>
      <c r="K469" t="s">
        <v>1550</v>
      </c>
    </row>
    <row r="470" spans="1:11" x14ac:dyDescent="0.2">
      <c r="A470" t="str">
        <f>HYPERLINK("https://www.tiwall.com//p/sandali","صندلی شماره ۱۳")</f>
        <v>صندلی شماره ۱۳</v>
      </c>
      <c r="B470">
        <v>70</v>
      </c>
      <c r="C470" t="s">
        <v>24</v>
      </c>
      <c r="D470" t="s">
        <v>265</v>
      </c>
      <c r="E470" t="s">
        <v>88</v>
      </c>
      <c r="F470" t="s">
        <v>668</v>
      </c>
      <c r="G470" t="s">
        <v>1551</v>
      </c>
      <c r="H470" t="s">
        <v>1551</v>
      </c>
      <c r="I470">
        <v>0</v>
      </c>
      <c r="J470">
        <v>0</v>
      </c>
      <c r="K470" t="s">
        <v>1552</v>
      </c>
    </row>
    <row r="471" spans="1:11" x14ac:dyDescent="0.2">
      <c r="A471" t="str">
        <f>HYPERLINK("https://www.tiwall.com//p/monodramzananeh","مونودرام های زنانه")</f>
        <v>مونودرام های زنانه</v>
      </c>
      <c r="B471">
        <v>45</v>
      </c>
      <c r="C471" t="s">
        <v>1054</v>
      </c>
      <c r="D471" t="s">
        <v>12</v>
      </c>
      <c r="E471" t="s">
        <v>71</v>
      </c>
      <c r="F471" t="s">
        <v>519</v>
      </c>
      <c r="G471" t="s">
        <v>1553</v>
      </c>
      <c r="H471" t="s">
        <v>674</v>
      </c>
      <c r="I471">
        <v>3.8</v>
      </c>
      <c r="J471">
        <v>5</v>
      </c>
      <c r="K471" t="s">
        <v>1554</v>
      </c>
    </row>
    <row r="472" spans="1:11" x14ac:dyDescent="0.2">
      <c r="A472" t="str">
        <f>HYPERLINK("https://www.tiwall.com//p/balhaye.soukhteh","پرواز با بالهای سوخته")</f>
        <v>پرواز با بالهای سوخته</v>
      </c>
      <c r="B472">
        <v>80</v>
      </c>
      <c r="C472" t="s">
        <v>151</v>
      </c>
      <c r="D472" t="s">
        <v>384</v>
      </c>
      <c r="E472" t="s">
        <v>194</v>
      </c>
      <c r="F472" t="s">
        <v>113</v>
      </c>
      <c r="G472" t="s">
        <v>1555</v>
      </c>
      <c r="H472" t="s">
        <v>1556</v>
      </c>
      <c r="I472">
        <v>0</v>
      </c>
      <c r="J472">
        <v>0</v>
      </c>
      <c r="K472" t="s">
        <v>1557</v>
      </c>
    </row>
    <row r="473" spans="1:11" x14ac:dyDescent="0.2">
      <c r="A473" t="str">
        <f>HYPERLINK("https://www.tiwall.com//p/lule4","لوله")</f>
        <v>لوله</v>
      </c>
      <c r="B473">
        <v>60</v>
      </c>
      <c r="C473" t="s">
        <v>37</v>
      </c>
      <c r="D473" t="s">
        <v>32</v>
      </c>
      <c r="E473" t="s">
        <v>26</v>
      </c>
      <c r="F473" t="s">
        <v>568</v>
      </c>
      <c r="G473" t="s">
        <v>904</v>
      </c>
      <c r="H473" t="s">
        <v>904</v>
      </c>
      <c r="I473">
        <v>3.3</v>
      </c>
      <c r="J473">
        <v>15</v>
      </c>
      <c r="K473" t="s">
        <v>1558</v>
      </c>
    </row>
    <row r="474" spans="1:11" x14ac:dyDescent="0.2">
      <c r="A474" t="str">
        <f>HYPERLINK("https://www.tiwall.com//p/dosarbaz","داستان فراموش نشدنی دو سرباز فداکار... یا روزنگرانتز و گیلدنسترن زنده اند")</f>
        <v>داستان فراموش نشدنی دو سرباز فداکار... یا روزنگرانتز و گیلدنسترن زنده اند</v>
      </c>
      <c r="B474">
        <v>30</v>
      </c>
      <c r="C474" t="s">
        <v>522</v>
      </c>
      <c r="D474" t="s">
        <v>87</v>
      </c>
      <c r="E474" t="s">
        <v>194</v>
      </c>
      <c r="F474" t="s">
        <v>480</v>
      </c>
      <c r="G474" t="s">
        <v>950</v>
      </c>
      <c r="H474" t="s">
        <v>950</v>
      </c>
      <c r="I474">
        <v>0</v>
      </c>
      <c r="J474">
        <v>0</v>
      </c>
      <c r="K474" t="s">
        <v>1559</v>
      </c>
    </row>
    <row r="475" spans="1:11" x14ac:dyDescent="0.2">
      <c r="A475" t="str">
        <f>HYPERLINK("https://www.tiwall.com//p/momken","ممکن")</f>
        <v>ممکن</v>
      </c>
      <c r="B475">
        <v>40</v>
      </c>
      <c r="C475" t="s">
        <v>51</v>
      </c>
      <c r="D475" t="s">
        <v>217</v>
      </c>
      <c r="E475" t="s">
        <v>194</v>
      </c>
      <c r="F475" t="s">
        <v>1560</v>
      </c>
      <c r="G475" t="s">
        <v>1561</v>
      </c>
      <c r="H475" t="s">
        <v>1561</v>
      </c>
      <c r="I475">
        <v>0</v>
      </c>
      <c r="J475">
        <v>0</v>
      </c>
      <c r="K475" t="s">
        <v>1562</v>
      </c>
    </row>
    <row r="476" spans="1:11" x14ac:dyDescent="0.2">
      <c r="A476" t="str">
        <f>HYPERLINK("https://www.tiwall.com//p/ghalandroo","قَلَندِرو")</f>
        <v>قَلَندِرو</v>
      </c>
      <c r="B476">
        <v>100</v>
      </c>
      <c r="C476" t="s">
        <v>24</v>
      </c>
      <c r="D476" t="s">
        <v>280</v>
      </c>
      <c r="E476" t="s">
        <v>13</v>
      </c>
      <c r="F476" t="s">
        <v>1563</v>
      </c>
      <c r="G476" t="s">
        <v>781</v>
      </c>
      <c r="H476" t="s">
        <v>1564</v>
      </c>
      <c r="I476">
        <v>3.9</v>
      </c>
      <c r="J476">
        <v>98</v>
      </c>
      <c r="K476" t="s">
        <v>1565</v>
      </c>
    </row>
    <row r="477" spans="1:11" x14ac:dyDescent="0.2">
      <c r="A477" t="str">
        <f>HYPERLINK("https://www.tiwall.com//p/setofangdar","سه تفنگدار و یکی")</f>
        <v>سه تفنگدار و یکی</v>
      </c>
      <c r="B477">
        <v>40</v>
      </c>
      <c r="C477" t="s">
        <v>1290</v>
      </c>
      <c r="D477" t="s">
        <v>65</v>
      </c>
      <c r="E477" t="s">
        <v>71</v>
      </c>
      <c r="F477" t="s">
        <v>1163</v>
      </c>
      <c r="G477" t="s">
        <v>1566</v>
      </c>
      <c r="H477" t="s">
        <v>1567</v>
      </c>
      <c r="I477">
        <v>2.6</v>
      </c>
      <c r="J477">
        <v>14</v>
      </c>
      <c r="K477" t="s">
        <v>1568</v>
      </c>
    </row>
    <row r="478" spans="1:11" x14ac:dyDescent="0.2">
      <c r="A478" t="str">
        <f>HYPERLINK("https://www.tiwall.com//p/otaghkouki2","اتاق کوکی")</f>
        <v>اتاق کوکی</v>
      </c>
      <c r="B478">
        <v>65</v>
      </c>
      <c r="C478" t="s">
        <v>86</v>
      </c>
      <c r="D478" t="s">
        <v>12</v>
      </c>
      <c r="E478" t="s">
        <v>138</v>
      </c>
      <c r="F478" t="s">
        <v>1569</v>
      </c>
      <c r="G478" t="s">
        <v>1570</v>
      </c>
      <c r="H478" t="s">
        <v>1571</v>
      </c>
      <c r="I478">
        <v>3.4</v>
      </c>
      <c r="J478">
        <v>20</v>
      </c>
      <c r="K478" t="s">
        <v>1572</v>
      </c>
    </row>
    <row r="479" spans="1:11" x14ac:dyDescent="0.2">
      <c r="A479" t="str">
        <f>HYPERLINK("https://www.tiwall.com//p/sheze","ښځه (زن) شزه")</f>
        <v>ښځه (زن) شزه</v>
      </c>
      <c r="B479">
        <v>35</v>
      </c>
      <c r="C479" t="s">
        <v>155</v>
      </c>
      <c r="D479" t="s">
        <v>45</v>
      </c>
      <c r="E479" t="s">
        <v>13</v>
      </c>
      <c r="F479" t="s">
        <v>860</v>
      </c>
      <c r="G479" t="s">
        <v>1573</v>
      </c>
      <c r="H479" t="s">
        <v>1574</v>
      </c>
      <c r="I479">
        <v>0</v>
      </c>
      <c r="J479">
        <v>0</v>
      </c>
      <c r="K479" t="s">
        <v>1575</v>
      </c>
    </row>
    <row r="480" spans="1:11" x14ac:dyDescent="0.2">
      <c r="A480" t="str">
        <f>HYPERLINK("https://www.tiwall.com//p/cafeasheghi3","کافه عاشقی")</f>
        <v>کافه عاشقی</v>
      </c>
      <c r="B480">
        <v>100</v>
      </c>
      <c r="C480" t="s">
        <v>230</v>
      </c>
      <c r="D480" t="s">
        <v>12</v>
      </c>
      <c r="E480" t="s">
        <v>303</v>
      </c>
      <c r="F480" t="s">
        <v>195</v>
      </c>
      <c r="G480" t="s">
        <v>1576</v>
      </c>
      <c r="H480" t="s">
        <v>1576</v>
      </c>
      <c r="I480">
        <v>3.6</v>
      </c>
      <c r="J480">
        <v>50</v>
      </c>
      <c r="K480" t="s">
        <v>1577</v>
      </c>
    </row>
    <row r="481" spans="1:11" x14ac:dyDescent="0.2">
      <c r="A481" t="str">
        <f>HYPERLINK("https://www.tiwall.com//p/shokhi3","شوخی")</f>
        <v>شوخی</v>
      </c>
      <c r="B481">
        <v>40</v>
      </c>
      <c r="C481" t="s">
        <v>369</v>
      </c>
      <c r="D481" t="s">
        <v>217</v>
      </c>
      <c r="E481" t="s">
        <v>71</v>
      </c>
      <c r="F481" t="s">
        <v>27</v>
      </c>
      <c r="G481" t="s">
        <v>1578</v>
      </c>
      <c r="H481" t="s">
        <v>1578</v>
      </c>
      <c r="I481">
        <v>3</v>
      </c>
      <c r="J481">
        <v>33</v>
      </c>
      <c r="K481" t="s">
        <v>1579</v>
      </c>
    </row>
    <row r="482" spans="1:11" x14ac:dyDescent="0.2">
      <c r="A482" t="str">
        <f>HYPERLINK("https://www.tiwall.com//p/hokmehaftom","حکم هفتم با شانس تبصره")</f>
        <v>حکم هفتم با شانس تبصره</v>
      </c>
      <c r="B482">
        <v>30</v>
      </c>
      <c r="C482" t="s">
        <v>204</v>
      </c>
      <c r="D482" t="s">
        <v>87</v>
      </c>
      <c r="E482" t="s">
        <v>13</v>
      </c>
      <c r="F482" t="s">
        <v>1580</v>
      </c>
      <c r="G482" t="s">
        <v>1581</v>
      </c>
      <c r="H482" t="s">
        <v>1581</v>
      </c>
      <c r="I482">
        <v>0</v>
      </c>
      <c r="J482">
        <v>0</v>
      </c>
      <c r="K482" t="s">
        <v>1582</v>
      </c>
    </row>
    <row r="483" spans="1:11" x14ac:dyDescent="0.2">
      <c r="A483" t="str">
        <f>HYPERLINK("https://www.tiwall.com//p/alefshin","الف کاف شین")</f>
        <v>الف کاف شین</v>
      </c>
      <c r="B483">
        <v>35</v>
      </c>
      <c r="C483" t="s">
        <v>383</v>
      </c>
      <c r="D483" t="s">
        <v>65</v>
      </c>
      <c r="E483" t="s">
        <v>138</v>
      </c>
      <c r="F483" t="s">
        <v>1583</v>
      </c>
      <c r="G483" t="s">
        <v>604</v>
      </c>
      <c r="H483" t="s">
        <v>604</v>
      </c>
      <c r="I483">
        <v>0</v>
      </c>
      <c r="J483">
        <v>0</v>
      </c>
      <c r="K483" t="s">
        <v>1584</v>
      </c>
    </row>
    <row r="484" spans="1:11" x14ac:dyDescent="0.2">
      <c r="A484" t="str">
        <f>HYPERLINK("https://www.tiwall.com//p/ziba.vahshi.sendegiehman","چه زیبا و وحشی، زندگی من")</f>
        <v>چه زیبا و وحشی، زندگی من</v>
      </c>
      <c r="B484">
        <v>120</v>
      </c>
      <c r="C484" t="s">
        <v>24</v>
      </c>
      <c r="D484" t="s">
        <v>87</v>
      </c>
      <c r="E484" t="s">
        <v>13</v>
      </c>
      <c r="F484" t="s">
        <v>1585</v>
      </c>
      <c r="G484" t="s">
        <v>1586</v>
      </c>
      <c r="H484" t="s">
        <v>1586</v>
      </c>
      <c r="I484">
        <v>3.9</v>
      </c>
      <c r="J484">
        <v>14</v>
      </c>
      <c r="K484" t="s">
        <v>1587</v>
      </c>
    </row>
    <row r="485" spans="1:11" x14ac:dyDescent="0.2">
      <c r="A485" t="str">
        <f>HYPERLINK("https://www.tiwall.com//p/kalepikarjantini","کَله پیک های آرژانتینی")</f>
        <v>کَله پیک های آرژانتینی</v>
      </c>
      <c r="B485">
        <v>50</v>
      </c>
      <c r="C485" t="s">
        <v>199</v>
      </c>
      <c r="D485" t="s">
        <v>12</v>
      </c>
      <c r="E485" t="s">
        <v>138</v>
      </c>
      <c r="F485" t="s">
        <v>1306</v>
      </c>
      <c r="G485" t="s">
        <v>1588</v>
      </c>
      <c r="H485" t="s">
        <v>1589</v>
      </c>
      <c r="I485">
        <v>0</v>
      </c>
      <c r="J485">
        <v>0</v>
      </c>
      <c r="K485" t="s">
        <v>1590</v>
      </c>
    </row>
    <row r="486" spans="1:11" x14ac:dyDescent="0.2">
      <c r="A486" t="str">
        <f>HYPERLINK("https://www.tiwall.com//p/entezar.eli","در انتظار الی")</f>
        <v>در انتظار الی</v>
      </c>
      <c r="B486">
        <v>60</v>
      </c>
      <c r="C486" t="s">
        <v>204</v>
      </c>
      <c r="D486" t="s">
        <v>65</v>
      </c>
      <c r="E486" t="s">
        <v>138</v>
      </c>
      <c r="F486" t="s">
        <v>971</v>
      </c>
      <c r="G486" t="s">
        <v>1591</v>
      </c>
      <c r="H486" t="s">
        <v>1409</v>
      </c>
      <c r="I486">
        <v>0</v>
      </c>
      <c r="J486">
        <v>0</v>
      </c>
      <c r="K486" t="s">
        <v>1592</v>
      </c>
    </row>
    <row r="487" spans="1:11" x14ac:dyDescent="0.2">
      <c r="A487" t="str">
        <f>HYPERLINK("https://www.tiwall.com//p/plus.tavando","پلاس پلاس به توان ۲")</f>
        <v>پلاس پلاس به توان ۲</v>
      </c>
      <c r="B487">
        <v>130</v>
      </c>
      <c r="C487" t="s">
        <v>31</v>
      </c>
      <c r="D487" t="s">
        <v>12</v>
      </c>
      <c r="E487" t="s">
        <v>13</v>
      </c>
      <c r="F487" t="s">
        <v>27</v>
      </c>
      <c r="G487" t="s">
        <v>1593</v>
      </c>
      <c r="H487" t="s">
        <v>1594</v>
      </c>
      <c r="I487">
        <v>2.1</v>
      </c>
      <c r="J487">
        <v>42</v>
      </c>
      <c r="K487" t="s">
        <v>1595</v>
      </c>
    </row>
    <row r="488" spans="1:11" x14ac:dyDescent="0.2">
      <c r="A488" t="str">
        <f>HYPERLINK("https://www.tiwall.com//p/jujetiqi","چه کسی جوجه تیغی را کشت؟")</f>
        <v>چه کسی جوجه تیغی را کشت؟</v>
      </c>
      <c r="B488">
        <v>90</v>
      </c>
      <c r="C488" t="s">
        <v>410</v>
      </c>
      <c r="D488" t="s">
        <v>87</v>
      </c>
      <c r="E488" t="s">
        <v>26</v>
      </c>
      <c r="F488" t="s">
        <v>27</v>
      </c>
      <c r="G488" t="s">
        <v>1596</v>
      </c>
      <c r="H488" t="s">
        <v>1596</v>
      </c>
      <c r="I488">
        <v>3.8</v>
      </c>
      <c r="J488">
        <v>196</v>
      </c>
      <c r="K488" t="s">
        <v>1597</v>
      </c>
    </row>
    <row r="489" spans="1:11" x14ac:dyDescent="0.2">
      <c r="A489" t="str">
        <f>HYPERLINK("https://www.tiwall.com//p/otaghesefid2","اتاق سفید")</f>
        <v>اتاق سفید</v>
      </c>
      <c r="B489">
        <v>50</v>
      </c>
      <c r="C489" t="s">
        <v>180</v>
      </c>
      <c r="D489" t="s">
        <v>87</v>
      </c>
      <c r="E489" t="s">
        <v>13</v>
      </c>
      <c r="F489" t="s">
        <v>1007</v>
      </c>
      <c r="G489" t="s">
        <v>1598</v>
      </c>
      <c r="H489" t="s">
        <v>1599</v>
      </c>
      <c r="I489">
        <v>4.2</v>
      </c>
      <c r="J489">
        <v>31</v>
      </c>
      <c r="K489" t="s">
        <v>1600</v>
      </c>
    </row>
    <row r="490" spans="1:11" x14ac:dyDescent="0.2">
      <c r="A490" t="str">
        <f>HYPERLINK("https://www.tiwall.com//p/ghatlmamoli","طرز قتل معمولی")</f>
        <v>طرز قتل معمولی</v>
      </c>
      <c r="B490">
        <v>70</v>
      </c>
      <c r="C490" t="s">
        <v>1601</v>
      </c>
      <c r="D490" t="s">
        <v>25</v>
      </c>
      <c r="E490" t="s">
        <v>13</v>
      </c>
      <c r="F490" t="s">
        <v>650</v>
      </c>
      <c r="G490" t="s">
        <v>1602</v>
      </c>
      <c r="H490" t="s">
        <v>1602</v>
      </c>
      <c r="I490">
        <v>0</v>
      </c>
      <c r="J490">
        <v>0</v>
      </c>
      <c r="K490" t="s">
        <v>1603</v>
      </c>
    </row>
    <row r="491" spans="1:11" x14ac:dyDescent="0.2">
      <c r="A491" t="str">
        <f>HYPERLINK("https://www.tiwall.com//p/ashkestan2","تا اشکستان")</f>
        <v>تا اشکستان</v>
      </c>
      <c r="B491">
        <v>10</v>
      </c>
      <c r="C491" t="s">
        <v>362</v>
      </c>
      <c r="D491" t="s">
        <v>12</v>
      </c>
      <c r="E491" t="s">
        <v>98</v>
      </c>
      <c r="F491" t="s">
        <v>1604</v>
      </c>
      <c r="G491" t="s">
        <v>1605</v>
      </c>
      <c r="H491" t="s">
        <v>1605</v>
      </c>
      <c r="I491">
        <v>4</v>
      </c>
      <c r="J491">
        <v>8</v>
      </c>
      <c r="K491" t="s">
        <v>1606</v>
      </c>
    </row>
    <row r="492" spans="1:11" x14ac:dyDescent="0.2">
      <c r="A492" t="str">
        <f>HYPERLINK("https://www.tiwall.com//p/parvaz2","پرواز")</f>
        <v>پرواز</v>
      </c>
      <c r="B492">
        <v>40</v>
      </c>
      <c r="C492" t="s">
        <v>117</v>
      </c>
      <c r="D492" t="s">
        <v>957</v>
      </c>
      <c r="E492" t="s">
        <v>13</v>
      </c>
      <c r="F492" t="s">
        <v>181</v>
      </c>
      <c r="G492" t="s">
        <v>1607</v>
      </c>
      <c r="H492" t="s">
        <v>1608</v>
      </c>
      <c r="I492">
        <v>0</v>
      </c>
      <c r="J492">
        <v>0</v>
      </c>
      <c r="K492" t="s">
        <v>1609</v>
      </c>
    </row>
    <row r="493" spans="1:11" x14ac:dyDescent="0.2">
      <c r="A493" t="str">
        <f>HYPERLINK("https://www.tiwall.com//p/termehtala","ترمه و طلا")</f>
        <v>ترمه و طلا</v>
      </c>
      <c r="B493">
        <v>50</v>
      </c>
      <c r="C493" t="s">
        <v>24</v>
      </c>
      <c r="D493" t="s">
        <v>280</v>
      </c>
      <c r="E493" t="s">
        <v>235</v>
      </c>
      <c r="F493" t="s">
        <v>1610</v>
      </c>
      <c r="G493" t="s">
        <v>1611</v>
      </c>
      <c r="H493" t="s">
        <v>1611</v>
      </c>
      <c r="I493">
        <v>3.3</v>
      </c>
      <c r="J493">
        <v>7</v>
      </c>
      <c r="K493" t="s">
        <v>1612</v>
      </c>
    </row>
    <row r="494" spans="1:11" x14ac:dyDescent="0.2">
      <c r="A494" t="str">
        <f>HYPERLINK("https://www.tiwall.com//p/afsanebabr6","افسانه ببر")</f>
        <v>افسانه ببر</v>
      </c>
      <c r="B494">
        <v>120</v>
      </c>
      <c r="C494" t="s">
        <v>11</v>
      </c>
      <c r="D494" t="s">
        <v>45</v>
      </c>
      <c r="E494" t="s">
        <v>19</v>
      </c>
      <c r="F494" t="s">
        <v>1613</v>
      </c>
      <c r="G494" t="s">
        <v>1614</v>
      </c>
      <c r="H494" t="s">
        <v>1084</v>
      </c>
      <c r="I494">
        <v>4</v>
      </c>
      <c r="J494">
        <v>31</v>
      </c>
      <c r="K494" t="s">
        <v>1614</v>
      </c>
    </row>
    <row r="495" spans="1:11" x14ac:dyDescent="0.2">
      <c r="A495" t="str">
        <f>HYPERLINK("https://www.tiwall.com//p/divodelbar","دیو و دلبر")</f>
        <v>دیو و دلبر</v>
      </c>
      <c r="B495">
        <v>60</v>
      </c>
      <c r="C495" t="s">
        <v>1615</v>
      </c>
      <c r="D495" t="s">
        <v>87</v>
      </c>
      <c r="E495" t="s">
        <v>1616</v>
      </c>
      <c r="F495" t="s">
        <v>99</v>
      </c>
      <c r="G495" t="s">
        <v>1617</v>
      </c>
      <c r="H495" t="s">
        <v>1617</v>
      </c>
      <c r="I495">
        <v>3.5</v>
      </c>
      <c r="J495">
        <v>114</v>
      </c>
      <c r="K495" t="s">
        <v>1618</v>
      </c>
    </row>
    <row r="496" spans="1:11" x14ac:dyDescent="0.2">
      <c r="A496" t="str">
        <f>HYPERLINK("https://www.tiwall.com//p/behesht6","بهشت حکیم الله")</f>
        <v>بهشت حکیم الله</v>
      </c>
      <c r="B496">
        <v>40</v>
      </c>
      <c r="C496" t="s">
        <v>242</v>
      </c>
      <c r="D496" t="s">
        <v>32</v>
      </c>
      <c r="E496" t="s">
        <v>138</v>
      </c>
      <c r="F496" t="s">
        <v>1619</v>
      </c>
      <c r="G496" t="s">
        <v>1620</v>
      </c>
      <c r="H496" t="s">
        <v>1621</v>
      </c>
      <c r="I496">
        <v>0</v>
      </c>
      <c r="J496">
        <v>0</v>
      </c>
      <c r="K496" t="s">
        <v>1620</v>
      </c>
    </row>
    <row r="497" spans="1:11" x14ac:dyDescent="0.2">
      <c r="A497" t="str">
        <f>HYPERLINK("https://www.tiwall.com//p/oboor","عبور")</f>
        <v>عبور</v>
      </c>
      <c r="B497">
        <v>30</v>
      </c>
      <c r="C497" t="s">
        <v>369</v>
      </c>
      <c r="D497" t="s">
        <v>25</v>
      </c>
      <c r="E497" t="s">
        <v>26</v>
      </c>
      <c r="F497" t="s">
        <v>66</v>
      </c>
      <c r="G497" t="s">
        <v>1622</v>
      </c>
      <c r="H497" t="s">
        <v>1623</v>
      </c>
      <c r="I497">
        <v>3</v>
      </c>
      <c r="J497">
        <v>21</v>
      </c>
      <c r="K497" t="s">
        <v>1624</v>
      </c>
    </row>
    <row r="498" spans="1:11" x14ac:dyDescent="0.2">
      <c r="A498" t="str">
        <f>HYPERLINK("https://www.tiwall.com//p/khers.raghsan","خرس های رقصان")</f>
        <v>خرس های رقصان</v>
      </c>
      <c r="B498">
        <v>80</v>
      </c>
      <c r="C498" t="s">
        <v>103</v>
      </c>
      <c r="D498" t="s">
        <v>65</v>
      </c>
      <c r="E498" t="s">
        <v>13</v>
      </c>
      <c r="F498" t="s">
        <v>363</v>
      </c>
      <c r="G498" t="s">
        <v>1625</v>
      </c>
      <c r="H498" t="s">
        <v>1626</v>
      </c>
      <c r="I498">
        <v>0</v>
      </c>
      <c r="J498">
        <v>0</v>
      </c>
      <c r="K498" t="s">
        <v>1627</v>
      </c>
    </row>
    <row r="499" spans="1:11" x14ac:dyDescent="0.2">
      <c r="A499" t="str">
        <f>HYPERLINK("https://www.tiwall.com//p/oscar","اسکار")</f>
        <v>اسکار</v>
      </c>
      <c r="B499">
        <v>50</v>
      </c>
      <c r="C499" t="s">
        <v>24</v>
      </c>
      <c r="D499" t="s">
        <v>45</v>
      </c>
      <c r="E499" t="s">
        <v>26</v>
      </c>
      <c r="F499" t="s">
        <v>1628</v>
      </c>
      <c r="G499" t="s">
        <v>1561</v>
      </c>
      <c r="H499" t="s">
        <v>1561</v>
      </c>
      <c r="I499">
        <v>3.4</v>
      </c>
      <c r="J499">
        <v>22</v>
      </c>
      <c r="K499" t="s">
        <v>1629</v>
      </c>
    </row>
    <row r="500" spans="1:11" x14ac:dyDescent="0.2">
      <c r="A500" t="str">
        <f>HYPERLINK("https://www.tiwall.com//p/jafar.farang2","جعفرخان از فرنگ برگشته")</f>
        <v>جعفرخان از فرنگ برگشته</v>
      </c>
      <c r="B500">
        <v>30</v>
      </c>
      <c r="C500" t="s">
        <v>1630</v>
      </c>
      <c r="D500" t="s">
        <v>217</v>
      </c>
      <c r="E500" t="s">
        <v>303</v>
      </c>
      <c r="F500" t="s">
        <v>1007</v>
      </c>
      <c r="G500" t="s">
        <v>1631</v>
      </c>
      <c r="H500" t="s">
        <v>1632</v>
      </c>
      <c r="I500">
        <v>0</v>
      </c>
      <c r="J500">
        <v>0</v>
      </c>
      <c r="K500" t="s">
        <v>1633</v>
      </c>
    </row>
    <row r="501" spans="1:11" x14ac:dyDescent="0.2">
      <c r="A501" t="str">
        <f>HYPERLINK("https://www.tiwall.com//p/otagh.hotellondon2","اتاقی در هتل لندن")</f>
        <v>اتاقی در هتل لندن</v>
      </c>
      <c r="B501">
        <v>50</v>
      </c>
      <c r="C501" t="s">
        <v>224</v>
      </c>
      <c r="D501" t="s">
        <v>65</v>
      </c>
      <c r="E501" t="s">
        <v>13</v>
      </c>
      <c r="F501" t="s">
        <v>40</v>
      </c>
      <c r="G501" t="s">
        <v>1634</v>
      </c>
      <c r="H501" t="s">
        <v>183</v>
      </c>
      <c r="I501">
        <v>0</v>
      </c>
      <c r="J501">
        <v>0</v>
      </c>
      <c r="K501" t="s">
        <v>1635</v>
      </c>
    </row>
    <row r="502" spans="1:11" x14ac:dyDescent="0.2">
      <c r="A502" t="str">
        <f>HYPERLINK("https://www.tiwall.com//p/roya.khargoush","رویای خرگوش")</f>
        <v>رویای خرگوش</v>
      </c>
      <c r="B502">
        <v>60</v>
      </c>
      <c r="C502" t="s">
        <v>132</v>
      </c>
      <c r="D502" t="s">
        <v>957</v>
      </c>
      <c r="E502" t="s">
        <v>88</v>
      </c>
      <c r="F502" t="s">
        <v>1636</v>
      </c>
      <c r="G502" t="s">
        <v>1637</v>
      </c>
      <c r="H502" t="s">
        <v>1638</v>
      </c>
      <c r="I502">
        <v>3.9</v>
      </c>
      <c r="J502">
        <v>9</v>
      </c>
      <c r="K502" t="s">
        <v>1639</v>
      </c>
    </row>
    <row r="503" spans="1:11" x14ac:dyDescent="0.2">
      <c r="A503" t="str">
        <f>HYPERLINK("https://www.tiwall.com//p/anthology2","آنتولوژی ایستگاه مرزی")</f>
        <v>آنتولوژی ایستگاه مرزی</v>
      </c>
      <c r="B503">
        <v>40</v>
      </c>
      <c r="C503" t="s">
        <v>64</v>
      </c>
      <c r="D503" t="s">
        <v>217</v>
      </c>
      <c r="E503" t="s">
        <v>26</v>
      </c>
      <c r="F503" t="s">
        <v>1539</v>
      </c>
      <c r="G503" t="s">
        <v>1640</v>
      </c>
      <c r="H503" t="s">
        <v>1640</v>
      </c>
      <c r="I503">
        <v>0</v>
      </c>
      <c r="J503">
        <v>0</v>
      </c>
      <c r="K503" t="s">
        <v>1641</v>
      </c>
    </row>
    <row r="504" spans="1:11" x14ac:dyDescent="0.2">
      <c r="A504" t="str">
        <f>HYPERLINK("https://www.tiwall.com//p/tourist2","توریست")</f>
        <v>توریست</v>
      </c>
      <c r="B504">
        <v>40</v>
      </c>
      <c r="C504" t="s">
        <v>514</v>
      </c>
      <c r="D504" t="s">
        <v>45</v>
      </c>
      <c r="E504" t="s">
        <v>235</v>
      </c>
      <c r="F504" t="s">
        <v>1642</v>
      </c>
      <c r="G504" t="s">
        <v>1643</v>
      </c>
      <c r="H504" t="s">
        <v>1644</v>
      </c>
      <c r="I504">
        <v>2.2000000000000002</v>
      </c>
      <c r="J504">
        <v>10</v>
      </c>
      <c r="K504" t="s">
        <v>1645</v>
      </c>
    </row>
    <row r="505" spans="1:11" x14ac:dyDescent="0.2">
      <c r="A505" t="str">
        <f>HYPERLINK("https://www.tiwall.com//p/faregh2","قیاس مع الفارق")</f>
        <v>قیاس مع الفارق</v>
      </c>
      <c r="B505">
        <v>150</v>
      </c>
      <c r="C505" t="s">
        <v>1646</v>
      </c>
      <c r="D505" t="s">
        <v>45</v>
      </c>
      <c r="E505" t="s">
        <v>303</v>
      </c>
      <c r="F505" t="s">
        <v>1647</v>
      </c>
      <c r="G505" t="s">
        <v>1648</v>
      </c>
      <c r="H505" t="s">
        <v>1648</v>
      </c>
      <c r="I505">
        <v>0</v>
      </c>
      <c r="J505">
        <v>0</v>
      </c>
      <c r="K505" t="s">
        <v>1649</v>
      </c>
    </row>
    <row r="506" spans="1:11" x14ac:dyDescent="0.2">
      <c r="A506" t="str">
        <f>HYPERLINK("https://www.tiwall.com//p/baghealbalou9","باغ آلبالو")</f>
        <v>باغ آلبالو</v>
      </c>
      <c r="B506">
        <v>150</v>
      </c>
      <c r="C506" t="s">
        <v>37</v>
      </c>
      <c r="D506" t="s">
        <v>25</v>
      </c>
      <c r="E506" t="s">
        <v>208</v>
      </c>
      <c r="F506" t="s">
        <v>812</v>
      </c>
      <c r="G506" t="s">
        <v>219</v>
      </c>
      <c r="H506" t="s">
        <v>352</v>
      </c>
      <c r="I506">
        <v>3.8</v>
      </c>
      <c r="J506">
        <v>87</v>
      </c>
      <c r="K506" t="s">
        <v>1650</v>
      </c>
    </row>
    <row r="507" spans="1:11" x14ac:dyDescent="0.2">
      <c r="A507" t="str">
        <f>HYPERLINK("https://www.tiwall.com//p/farjam2","فرجام")</f>
        <v>فرجام</v>
      </c>
      <c r="B507">
        <v>30</v>
      </c>
      <c r="C507" t="s">
        <v>1651</v>
      </c>
      <c r="D507" t="s">
        <v>25</v>
      </c>
      <c r="E507" t="s">
        <v>26</v>
      </c>
      <c r="F507" t="s">
        <v>1652</v>
      </c>
      <c r="G507" t="s">
        <v>1653</v>
      </c>
      <c r="H507" t="s">
        <v>1654</v>
      </c>
      <c r="I507">
        <v>0</v>
      </c>
      <c r="J507">
        <v>0</v>
      </c>
      <c r="K507" t="s">
        <v>1655</v>
      </c>
    </row>
    <row r="508" spans="1:11" x14ac:dyDescent="0.2">
      <c r="A508" t="str">
        <f>HYPERLINK("https://www.tiwall.com//p/nezamabad2","نظام آباد")</f>
        <v>نظام آباد</v>
      </c>
      <c r="B508">
        <v>40</v>
      </c>
      <c r="C508" t="s">
        <v>137</v>
      </c>
      <c r="D508" t="s">
        <v>32</v>
      </c>
      <c r="E508" t="s">
        <v>71</v>
      </c>
      <c r="F508" t="s">
        <v>292</v>
      </c>
      <c r="G508" t="s">
        <v>1656</v>
      </c>
      <c r="H508" t="s">
        <v>762</v>
      </c>
      <c r="I508">
        <v>0</v>
      </c>
      <c r="J508">
        <v>0</v>
      </c>
      <c r="K508" t="s">
        <v>1657</v>
      </c>
    </row>
    <row r="509" spans="1:11" x14ac:dyDescent="0.2">
      <c r="A509" t="str">
        <f>HYPERLINK("https://www.tiwall.com//p/khodayehjahanam","خدای جهنم")</f>
        <v>خدای جهنم</v>
      </c>
      <c r="B509">
        <v>100</v>
      </c>
      <c r="C509" t="s">
        <v>358</v>
      </c>
      <c r="D509" t="s">
        <v>559</v>
      </c>
      <c r="E509" t="s">
        <v>208</v>
      </c>
      <c r="F509" t="s">
        <v>270</v>
      </c>
      <c r="G509" t="s">
        <v>1658</v>
      </c>
      <c r="H509" t="s">
        <v>954</v>
      </c>
      <c r="I509">
        <v>3.9</v>
      </c>
      <c r="J509">
        <v>34</v>
      </c>
      <c r="K509" t="s">
        <v>1659</v>
      </c>
    </row>
    <row r="510" spans="1:11" x14ac:dyDescent="0.2">
      <c r="A510" t="str">
        <f>HYPERLINK("https://www.tiwall.com//p/devistbistdo","۲۲۲")</f>
        <v>۲۲۲</v>
      </c>
      <c r="B510">
        <v>70</v>
      </c>
      <c r="C510" t="s">
        <v>86</v>
      </c>
      <c r="D510" t="s">
        <v>87</v>
      </c>
      <c r="E510" t="s">
        <v>26</v>
      </c>
      <c r="F510" t="s">
        <v>1660</v>
      </c>
      <c r="G510" t="s">
        <v>1661</v>
      </c>
      <c r="H510" t="s">
        <v>1661</v>
      </c>
      <c r="I510">
        <v>3.8</v>
      </c>
      <c r="J510">
        <v>102</v>
      </c>
      <c r="K510" t="s">
        <v>1662</v>
      </c>
    </row>
    <row r="511" spans="1:11" x14ac:dyDescent="0.2">
      <c r="A511" t="str">
        <f>HYPERLINK("https://www.tiwall.com//p/thelastnote2","نت آخر")</f>
        <v>نت آخر</v>
      </c>
      <c r="B511">
        <v>65</v>
      </c>
      <c r="C511" t="s">
        <v>410</v>
      </c>
      <c r="D511" t="s">
        <v>87</v>
      </c>
      <c r="E511" t="s">
        <v>19</v>
      </c>
      <c r="F511" t="s">
        <v>1663</v>
      </c>
      <c r="G511" t="s">
        <v>1664</v>
      </c>
      <c r="H511" t="s">
        <v>1664</v>
      </c>
      <c r="I511">
        <v>2.6</v>
      </c>
      <c r="J511">
        <v>5</v>
      </c>
      <c r="K511" t="s">
        <v>1665</v>
      </c>
    </row>
    <row r="512" spans="1:11" x14ac:dyDescent="0.2">
      <c r="A512" t="str">
        <f>HYPERLINK("https://www.tiwall.com//p/atalmatl","اتل متل یه بابا")</f>
        <v>اتل متل یه بابا</v>
      </c>
      <c r="B512">
        <v>50</v>
      </c>
      <c r="C512" t="s">
        <v>224</v>
      </c>
      <c r="D512" t="s">
        <v>265</v>
      </c>
      <c r="E512" t="s">
        <v>26</v>
      </c>
      <c r="F512" t="s">
        <v>304</v>
      </c>
      <c r="G512" t="s">
        <v>791</v>
      </c>
      <c r="H512" t="s">
        <v>791</v>
      </c>
      <c r="I512">
        <v>0</v>
      </c>
      <c r="J512">
        <v>0</v>
      </c>
      <c r="K512" t="s">
        <v>1666</v>
      </c>
    </row>
    <row r="513" spans="1:11" x14ac:dyDescent="0.2">
      <c r="A513" t="str">
        <f>HYPERLINK("https://www.tiwall.com//p/hayahudarkhafaghan2","هیاهو در خفقان")</f>
        <v>هیاهو در خفقان</v>
      </c>
      <c r="B513">
        <v>45</v>
      </c>
      <c r="C513" t="s">
        <v>1667</v>
      </c>
      <c r="D513" t="s">
        <v>45</v>
      </c>
      <c r="E513" t="s">
        <v>138</v>
      </c>
      <c r="F513" t="s">
        <v>1197</v>
      </c>
      <c r="G513" t="s">
        <v>1668</v>
      </c>
      <c r="H513" t="s">
        <v>1668</v>
      </c>
      <c r="I513">
        <v>0</v>
      </c>
      <c r="J513">
        <v>0</v>
      </c>
      <c r="K513" t="s">
        <v>1669</v>
      </c>
    </row>
    <row r="514" spans="1:11" x14ac:dyDescent="0.2">
      <c r="A514" t="str">
        <f>HYPERLINK("https://www.tiwall.com//p/edalat","عدالت")</f>
        <v>عدالت</v>
      </c>
      <c r="B514">
        <v>50</v>
      </c>
      <c r="C514" t="s">
        <v>324</v>
      </c>
      <c r="D514" t="s">
        <v>146</v>
      </c>
      <c r="E514" t="s">
        <v>13</v>
      </c>
      <c r="F514" t="s">
        <v>1670</v>
      </c>
      <c r="G514" t="s">
        <v>1671</v>
      </c>
      <c r="H514" t="s">
        <v>1671</v>
      </c>
      <c r="I514">
        <v>0</v>
      </c>
      <c r="J514">
        <v>0</v>
      </c>
      <c r="K514" t="s">
        <v>1672</v>
      </c>
    </row>
    <row r="515" spans="1:11" x14ac:dyDescent="0.2">
      <c r="A515" t="str">
        <f>HYPERLINK("https://www.tiwall.com//p/bahman4","بهمن")</f>
        <v>بهمن</v>
      </c>
      <c r="B515">
        <v>70</v>
      </c>
      <c r="C515" t="s">
        <v>354</v>
      </c>
      <c r="D515" t="s">
        <v>32</v>
      </c>
      <c r="E515" t="s">
        <v>1673</v>
      </c>
      <c r="F515" t="s">
        <v>1674</v>
      </c>
      <c r="G515" t="s">
        <v>1675</v>
      </c>
      <c r="H515" t="s">
        <v>1675</v>
      </c>
      <c r="I515">
        <v>0</v>
      </c>
      <c r="J515">
        <v>0</v>
      </c>
      <c r="K515" t="s">
        <v>1675</v>
      </c>
    </row>
    <row r="516" spans="1:11" x14ac:dyDescent="0.2">
      <c r="A516" t="str">
        <f>HYPERLINK("https://www.tiwall.com//p/shekarmarg","شکار مرگ")</f>
        <v>شکار مرگ</v>
      </c>
      <c r="B516">
        <v>50</v>
      </c>
      <c r="C516" t="s">
        <v>224</v>
      </c>
      <c r="D516" t="s">
        <v>384</v>
      </c>
      <c r="E516" t="s">
        <v>71</v>
      </c>
      <c r="F516" t="s">
        <v>1055</v>
      </c>
      <c r="G516" t="s">
        <v>464</v>
      </c>
      <c r="H516" t="s">
        <v>1676</v>
      </c>
      <c r="I516">
        <v>3.8</v>
      </c>
      <c r="J516">
        <v>12</v>
      </c>
      <c r="K516" t="s">
        <v>1677</v>
      </c>
    </row>
    <row r="517" spans="1:11" x14ac:dyDescent="0.2">
      <c r="A517" t="str">
        <f>HYPERLINK("https://www.tiwall.com//p/khoftegan2","خفتگان چشم باز")</f>
        <v>خفتگان چشم باز</v>
      </c>
      <c r="B517">
        <v>70</v>
      </c>
      <c r="C517" t="s">
        <v>230</v>
      </c>
      <c r="D517" t="s">
        <v>65</v>
      </c>
      <c r="E517" t="s">
        <v>26</v>
      </c>
      <c r="F517" t="s">
        <v>1678</v>
      </c>
      <c r="G517" t="s">
        <v>1679</v>
      </c>
      <c r="H517" t="s">
        <v>1679</v>
      </c>
      <c r="I517">
        <v>0</v>
      </c>
      <c r="J517">
        <v>0</v>
      </c>
      <c r="K517" t="s">
        <v>1680</v>
      </c>
    </row>
    <row r="518" spans="1:11" x14ac:dyDescent="0.2">
      <c r="A518" t="str">
        <f>HYPERLINK("https://www.tiwall.com//p/felez.chakosh","فلزات چکش خوار")</f>
        <v>فلزات چکش خوار</v>
      </c>
      <c r="B518">
        <v>120</v>
      </c>
      <c r="C518" t="s">
        <v>262</v>
      </c>
      <c r="D518" t="s">
        <v>146</v>
      </c>
      <c r="E518" t="s">
        <v>303</v>
      </c>
      <c r="F518" t="s">
        <v>1681</v>
      </c>
      <c r="G518" t="s">
        <v>135</v>
      </c>
      <c r="H518" t="s">
        <v>135</v>
      </c>
      <c r="I518">
        <v>2.9</v>
      </c>
      <c r="J518">
        <v>31</v>
      </c>
      <c r="K518" t="s">
        <v>1682</v>
      </c>
    </row>
    <row r="519" spans="1:11" x14ac:dyDescent="0.2">
      <c r="A519" t="str">
        <f>HYPERLINK("https://www.tiwall.com//p/adamadam2","آدم، آدم است؟")</f>
        <v>آدم، آدم است؟</v>
      </c>
      <c r="B519">
        <v>25</v>
      </c>
      <c r="C519" t="s">
        <v>137</v>
      </c>
      <c r="D519" t="s">
        <v>12</v>
      </c>
      <c r="E519" t="s">
        <v>138</v>
      </c>
      <c r="F519" t="s">
        <v>467</v>
      </c>
      <c r="G519" t="s">
        <v>1683</v>
      </c>
      <c r="H519" t="s">
        <v>1683</v>
      </c>
      <c r="I519">
        <v>0</v>
      </c>
      <c r="J519">
        <v>0</v>
      </c>
      <c r="K519" t="s">
        <v>1684</v>
      </c>
    </row>
    <row r="520" spans="1:11" x14ac:dyDescent="0.2">
      <c r="A520" t="str">
        <f>HYPERLINK("https://www.tiwall.com//p/nokaresheytan3","نوکر شیطان")</f>
        <v>نوکر شیطان</v>
      </c>
      <c r="B520">
        <v>80</v>
      </c>
      <c r="C520" t="s">
        <v>69</v>
      </c>
      <c r="D520" t="s">
        <v>45</v>
      </c>
      <c r="E520" t="s">
        <v>19</v>
      </c>
      <c r="F520" t="s">
        <v>1685</v>
      </c>
      <c r="G520" t="s">
        <v>1127</v>
      </c>
      <c r="H520" t="s">
        <v>485</v>
      </c>
      <c r="I520">
        <v>4</v>
      </c>
      <c r="J520">
        <v>14</v>
      </c>
      <c r="K520" t="s">
        <v>1686</v>
      </c>
    </row>
    <row r="521" spans="1:11" x14ac:dyDescent="0.2">
      <c r="A521" t="str">
        <f>HYPERLINK("https://www.tiwall.com//p/coriolanus4","کوریولانوس")</f>
        <v>کوریولانوس</v>
      </c>
      <c r="B521">
        <v>25</v>
      </c>
      <c r="C521" t="s">
        <v>1687</v>
      </c>
      <c r="D521" t="s">
        <v>12</v>
      </c>
      <c r="E521" t="s">
        <v>26</v>
      </c>
      <c r="F521" t="s">
        <v>1688</v>
      </c>
      <c r="G521" t="s">
        <v>41</v>
      </c>
      <c r="H521" t="s">
        <v>1689</v>
      </c>
      <c r="I521">
        <v>0</v>
      </c>
      <c r="J521">
        <v>0</v>
      </c>
      <c r="K521" t="s">
        <v>1690</v>
      </c>
    </row>
    <row r="522" spans="1:11" x14ac:dyDescent="0.2">
      <c r="A522" t="str">
        <f>HYPERLINK("https://www.tiwall.com//p/delusions","حظیان")</f>
        <v>حظیان</v>
      </c>
      <c r="B522">
        <v>60</v>
      </c>
      <c r="C522" t="s">
        <v>132</v>
      </c>
      <c r="D522" t="s">
        <v>146</v>
      </c>
      <c r="E522" t="s">
        <v>1691</v>
      </c>
      <c r="F522" t="s">
        <v>787</v>
      </c>
      <c r="G522" t="s">
        <v>376</v>
      </c>
      <c r="H522" t="s">
        <v>376</v>
      </c>
      <c r="I522">
        <v>3.3</v>
      </c>
      <c r="J522">
        <v>12</v>
      </c>
      <c r="K522" t="s">
        <v>1692</v>
      </c>
    </row>
    <row r="523" spans="1:11" x14ac:dyDescent="0.2">
      <c r="A523" t="str">
        <f>HYPERLINK("https://www.tiwall.com//p/akharinbazi4","آخرین بازی")</f>
        <v>آخرین بازی</v>
      </c>
      <c r="B523">
        <v>70</v>
      </c>
      <c r="C523" t="s">
        <v>56</v>
      </c>
      <c r="D523" t="s">
        <v>87</v>
      </c>
      <c r="E523" t="s">
        <v>13</v>
      </c>
      <c r="F523" t="s">
        <v>1693</v>
      </c>
      <c r="G523" t="s">
        <v>1694</v>
      </c>
      <c r="H523" t="s">
        <v>1695</v>
      </c>
      <c r="I523">
        <v>0</v>
      </c>
      <c r="J523">
        <v>0</v>
      </c>
      <c r="K523" t="s">
        <v>1696</v>
      </c>
    </row>
    <row r="524" spans="1:11" x14ac:dyDescent="0.2">
      <c r="A524" t="str">
        <f>HYPERLINK("https://www.tiwall.com//p/eyes4","چشم ها")</f>
        <v>چشم ها</v>
      </c>
      <c r="B524">
        <v>30</v>
      </c>
      <c r="C524" t="s">
        <v>1697</v>
      </c>
      <c r="D524" t="s">
        <v>70</v>
      </c>
      <c r="E524" t="s">
        <v>71</v>
      </c>
      <c r="F524" t="s">
        <v>200</v>
      </c>
      <c r="G524" t="s">
        <v>1698</v>
      </c>
      <c r="H524" t="s">
        <v>1599</v>
      </c>
      <c r="I524">
        <v>0</v>
      </c>
      <c r="J524">
        <v>0</v>
      </c>
      <c r="K524" t="s">
        <v>1699</v>
      </c>
    </row>
    <row r="525" spans="1:11" x14ac:dyDescent="0.2">
      <c r="A525" t="str">
        <f>HYPERLINK("https://www.tiwall.com//p/nesfe.shab","نصفه شبی")</f>
        <v>نصفه شبی</v>
      </c>
      <c r="B525">
        <v>70</v>
      </c>
      <c r="C525" t="s">
        <v>24</v>
      </c>
      <c r="D525" t="s">
        <v>1353</v>
      </c>
      <c r="E525" t="s">
        <v>26</v>
      </c>
      <c r="F525" t="s">
        <v>33</v>
      </c>
      <c r="G525" t="s">
        <v>1700</v>
      </c>
      <c r="H525" t="s">
        <v>1237</v>
      </c>
      <c r="I525">
        <v>3.5</v>
      </c>
      <c r="J525">
        <v>46</v>
      </c>
      <c r="K525" t="s">
        <v>1701</v>
      </c>
    </row>
    <row r="526" spans="1:11" x14ac:dyDescent="0.2">
      <c r="A526" t="str">
        <f>HYPERLINK("https://www.tiwall.com//p/poxide","کلردیازپوکساید")</f>
        <v>کلردیازپوکساید</v>
      </c>
      <c r="B526">
        <v>110</v>
      </c>
      <c r="C526" t="s">
        <v>18</v>
      </c>
      <c r="D526" t="s">
        <v>12</v>
      </c>
      <c r="E526" t="s">
        <v>26</v>
      </c>
      <c r="F526" t="s">
        <v>1702</v>
      </c>
      <c r="G526" t="s">
        <v>717</v>
      </c>
      <c r="H526" t="s">
        <v>717</v>
      </c>
      <c r="I526">
        <v>3.7</v>
      </c>
      <c r="J526">
        <v>15</v>
      </c>
      <c r="K526" t="s">
        <v>1703</v>
      </c>
    </row>
    <row r="527" spans="1:11" x14ac:dyDescent="0.2">
      <c r="A527" t="str">
        <f>HYPERLINK("https://www.tiwall.com//p/kalepookha18","کله پوک‌ها")</f>
        <v>کله پوک‌ها</v>
      </c>
      <c r="B527">
        <v>70</v>
      </c>
      <c r="C527" t="s">
        <v>1704</v>
      </c>
      <c r="D527" t="s">
        <v>217</v>
      </c>
      <c r="E527" t="s">
        <v>175</v>
      </c>
      <c r="F527" t="s">
        <v>1705</v>
      </c>
      <c r="G527" t="s">
        <v>1706</v>
      </c>
      <c r="H527" t="s">
        <v>183</v>
      </c>
      <c r="I527">
        <v>0</v>
      </c>
      <c r="J527">
        <v>0</v>
      </c>
      <c r="K527" t="s">
        <v>1707</v>
      </c>
    </row>
    <row r="528" spans="1:11" x14ac:dyDescent="0.2">
      <c r="A528" t="str">
        <f>HYPERLINK("https://www.tiwall.com//p/seven.c","سون سی")</f>
        <v>سون سی</v>
      </c>
      <c r="B528">
        <v>50</v>
      </c>
      <c r="C528" t="s">
        <v>1314</v>
      </c>
      <c r="D528" t="s">
        <v>65</v>
      </c>
      <c r="E528" t="s">
        <v>13</v>
      </c>
      <c r="F528" t="s">
        <v>1708</v>
      </c>
      <c r="G528" t="s">
        <v>1709</v>
      </c>
      <c r="H528" t="s">
        <v>1710</v>
      </c>
      <c r="I528">
        <v>3.1</v>
      </c>
      <c r="J528">
        <v>17</v>
      </c>
      <c r="K528" t="s">
        <v>1711</v>
      </c>
    </row>
    <row r="529" spans="1:11" x14ac:dyDescent="0.2">
      <c r="A529" t="str">
        <f>HYPERLINK("https://www.tiwall.com//p/keshidandayere","کشیدن دایره")</f>
        <v>کشیدن دایره</v>
      </c>
      <c r="B529">
        <v>30</v>
      </c>
      <c r="C529" t="s">
        <v>369</v>
      </c>
      <c r="D529" t="s">
        <v>217</v>
      </c>
      <c r="E529" t="s">
        <v>26</v>
      </c>
      <c r="F529" t="s">
        <v>1681</v>
      </c>
      <c r="G529" t="s">
        <v>1712</v>
      </c>
      <c r="H529" t="s">
        <v>1712</v>
      </c>
      <c r="I529">
        <v>3.4</v>
      </c>
      <c r="J529">
        <v>30</v>
      </c>
      <c r="K529" t="s">
        <v>1713</v>
      </c>
    </row>
    <row r="530" spans="1:11" x14ac:dyDescent="0.2">
      <c r="A530" t="str">
        <f>HYPERLINK("https://www.tiwall.com//p/doroughziba3","یک دروغ زیبا")</f>
        <v>یک دروغ زیبا</v>
      </c>
      <c r="B530">
        <v>15</v>
      </c>
      <c r="C530" t="s">
        <v>1714</v>
      </c>
      <c r="D530" t="s">
        <v>32</v>
      </c>
      <c r="E530" t="s">
        <v>46</v>
      </c>
      <c r="F530" t="s">
        <v>1715</v>
      </c>
      <c r="G530" t="s">
        <v>576</v>
      </c>
      <c r="H530" t="s">
        <v>577</v>
      </c>
      <c r="I530">
        <v>0</v>
      </c>
      <c r="J530">
        <v>0</v>
      </c>
      <c r="K530" t="s">
        <v>1716</v>
      </c>
    </row>
    <row r="531" spans="1:11" x14ac:dyDescent="0.2">
      <c r="A531" t="str">
        <f>HYPERLINK("https://www.tiwall.com//p/ejbari4","تراژدین اجباری")</f>
        <v>تراژدین اجباری</v>
      </c>
      <c r="B531">
        <v>40</v>
      </c>
      <c r="C531" t="s">
        <v>64</v>
      </c>
      <c r="D531" t="s">
        <v>217</v>
      </c>
      <c r="E531" t="s">
        <v>13</v>
      </c>
      <c r="F531" t="s">
        <v>1717</v>
      </c>
      <c r="G531" t="s">
        <v>1718</v>
      </c>
      <c r="H531" t="s">
        <v>352</v>
      </c>
      <c r="I531">
        <v>0</v>
      </c>
      <c r="J531">
        <v>0</v>
      </c>
      <c r="K531" t="s">
        <v>1719</v>
      </c>
    </row>
    <row r="532" spans="1:11" x14ac:dyDescent="0.2">
      <c r="A532" t="str">
        <f>HYPERLINK("https://www.tiwall.com//p/jangosolh2","جنگ و صلح")</f>
        <v>جنگ و صلح</v>
      </c>
      <c r="B532">
        <v>120</v>
      </c>
      <c r="C532" t="s">
        <v>1446</v>
      </c>
      <c r="D532" t="s">
        <v>217</v>
      </c>
      <c r="E532" t="s">
        <v>235</v>
      </c>
      <c r="F532" t="s">
        <v>126</v>
      </c>
      <c r="G532" t="s">
        <v>1049</v>
      </c>
      <c r="H532" t="s">
        <v>1049</v>
      </c>
      <c r="I532">
        <v>3.3</v>
      </c>
      <c r="J532">
        <v>12</v>
      </c>
      <c r="K532" t="s">
        <v>1720</v>
      </c>
    </row>
    <row r="533" spans="1:11" x14ac:dyDescent="0.2">
      <c r="A533" t="str">
        <f>HYPERLINK("https://www.tiwall.com//p/lamusica4","لاموزیکا")</f>
        <v>لاموزیکا</v>
      </c>
      <c r="B533">
        <v>40</v>
      </c>
      <c r="C533" t="s">
        <v>11</v>
      </c>
      <c r="D533" t="s">
        <v>146</v>
      </c>
      <c r="E533" t="s">
        <v>138</v>
      </c>
      <c r="F533" t="s">
        <v>869</v>
      </c>
      <c r="G533" t="s">
        <v>1721</v>
      </c>
      <c r="H533" t="s">
        <v>1537</v>
      </c>
      <c r="I533">
        <v>3</v>
      </c>
      <c r="J533">
        <v>10</v>
      </c>
      <c r="K533" t="s">
        <v>1722</v>
      </c>
    </row>
    <row r="534" spans="1:11" x14ac:dyDescent="0.2">
      <c r="A534" t="str">
        <f>HYPERLINK("https://www.tiwall.com//p/chamedan3","چمدان")</f>
        <v>چمدان</v>
      </c>
      <c r="B534">
        <v>50</v>
      </c>
      <c r="C534" t="s">
        <v>224</v>
      </c>
      <c r="D534" t="s">
        <v>65</v>
      </c>
      <c r="E534" t="s">
        <v>194</v>
      </c>
      <c r="F534" t="s">
        <v>971</v>
      </c>
      <c r="G534" t="s">
        <v>1723</v>
      </c>
      <c r="H534" t="s">
        <v>1724</v>
      </c>
      <c r="I534">
        <v>2.4</v>
      </c>
      <c r="J534">
        <v>10</v>
      </c>
      <c r="K534" t="s">
        <v>1725</v>
      </c>
    </row>
    <row r="535" spans="1:11" x14ac:dyDescent="0.2">
      <c r="A535" t="str">
        <f>HYPERLINK("https://www.tiwall.com//p/motelghoo2","متل قو")</f>
        <v>متل قو</v>
      </c>
      <c r="B535">
        <v>70</v>
      </c>
      <c r="C535" t="s">
        <v>204</v>
      </c>
      <c r="D535" t="s">
        <v>146</v>
      </c>
      <c r="E535" t="s">
        <v>26</v>
      </c>
      <c r="F535" t="s">
        <v>457</v>
      </c>
      <c r="G535" t="s">
        <v>1726</v>
      </c>
      <c r="H535" t="s">
        <v>1726</v>
      </c>
      <c r="I535">
        <v>3.6</v>
      </c>
      <c r="J535">
        <v>11</v>
      </c>
      <c r="K535" t="s">
        <v>1727</v>
      </c>
    </row>
    <row r="536" spans="1:11" x14ac:dyDescent="0.2">
      <c r="A536" t="str">
        <f>HYPERLINK("https://www.tiwall.com//p/albate3","البته")</f>
        <v>البته</v>
      </c>
      <c r="B536">
        <v>70</v>
      </c>
      <c r="C536" t="s">
        <v>129</v>
      </c>
      <c r="D536" t="s">
        <v>32</v>
      </c>
      <c r="E536" t="s">
        <v>235</v>
      </c>
      <c r="F536" t="s">
        <v>1728</v>
      </c>
      <c r="G536" t="s">
        <v>1729</v>
      </c>
      <c r="H536" t="s">
        <v>557</v>
      </c>
      <c r="I536">
        <v>0</v>
      </c>
      <c r="J536">
        <v>0</v>
      </c>
      <c r="K536" t="s">
        <v>1730</v>
      </c>
    </row>
    <row r="537" spans="1:11" x14ac:dyDescent="0.2">
      <c r="A537" t="str">
        <f>HYPERLINK("https://www.tiwall.com//p/beautyqueenofleenane","ملکه زیبای لینین")</f>
        <v>ملکه زیبای لینین</v>
      </c>
      <c r="B537">
        <v>45</v>
      </c>
      <c r="C537" t="s">
        <v>204</v>
      </c>
      <c r="D537" t="s">
        <v>45</v>
      </c>
      <c r="E537" t="s">
        <v>88</v>
      </c>
      <c r="F537" t="s">
        <v>643</v>
      </c>
      <c r="G537" t="s">
        <v>1731</v>
      </c>
      <c r="H537" t="s">
        <v>755</v>
      </c>
      <c r="I537">
        <v>0</v>
      </c>
      <c r="J537">
        <v>0</v>
      </c>
      <c r="K537" t="s">
        <v>1732</v>
      </c>
    </row>
    <row r="538" spans="1:11" x14ac:dyDescent="0.2">
      <c r="A538" t="str">
        <f>HYPERLINK("https://www.tiwall.com//p/shahbazi","شاهبازی")</f>
        <v>شاهبازی</v>
      </c>
      <c r="B538">
        <v>50</v>
      </c>
      <c r="C538" t="s">
        <v>1733</v>
      </c>
      <c r="D538" t="s">
        <v>265</v>
      </c>
      <c r="E538" t="s">
        <v>19</v>
      </c>
      <c r="F538" t="s">
        <v>1734</v>
      </c>
      <c r="G538" t="s">
        <v>1735</v>
      </c>
      <c r="H538" t="s">
        <v>1735</v>
      </c>
      <c r="I538">
        <v>0</v>
      </c>
      <c r="J538">
        <v>0</v>
      </c>
      <c r="K538" t="s">
        <v>1736</v>
      </c>
    </row>
    <row r="539" spans="1:11" x14ac:dyDescent="0.2">
      <c r="A539" t="str">
        <f>HYPERLINK("https://www.tiwall.com//p/mizakoshon2","میرزاکشون")</f>
        <v>میرزاکشون</v>
      </c>
      <c r="B539">
        <v>100</v>
      </c>
      <c r="C539" t="s">
        <v>230</v>
      </c>
      <c r="D539" t="s">
        <v>265</v>
      </c>
      <c r="E539" t="s">
        <v>303</v>
      </c>
      <c r="F539" t="s">
        <v>273</v>
      </c>
      <c r="G539" t="s">
        <v>1737</v>
      </c>
      <c r="H539" t="s">
        <v>1738</v>
      </c>
      <c r="I539">
        <v>4.0999999999999996</v>
      </c>
      <c r="J539">
        <v>34</v>
      </c>
      <c r="K539" t="s">
        <v>1739</v>
      </c>
    </row>
    <row r="540" spans="1:11" x14ac:dyDescent="0.2">
      <c r="A540" t="str">
        <f>HYPERLINK("https://www.tiwall.com//p/ofelia4","افلیا")</f>
        <v>افلیا</v>
      </c>
      <c r="B540">
        <v>40</v>
      </c>
      <c r="C540" t="s">
        <v>24</v>
      </c>
      <c r="D540" t="s">
        <v>87</v>
      </c>
      <c r="E540" t="s">
        <v>235</v>
      </c>
      <c r="F540" t="s">
        <v>40</v>
      </c>
      <c r="G540" t="s">
        <v>1230</v>
      </c>
      <c r="H540" t="s">
        <v>1230</v>
      </c>
      <c r="I540">
        <v>3.7</v>
      </c>
      <c r="J540">
        <v>22</v>
      </c>
      <c r="K540" t="s">
        <v>1740</v>
      </c>
    </row>
    <row r="541" spans="1:11" x14ac:dyDescent="0.2">
      <c r="A541" t="str">
        <f>HYPERLINK("https://www.tiwall.com//p/ahou2","آهو")</f>
        <v>آهو</v>
      </c>
      <c r="B541">
        <v>60</v>
      </c>
      <c r="C541" t="s">
        <v>1290</v>
      </c>
      <c r="D541" t="s">
        <v>45</v>
      </c>
      <c r="E541" t="s">
        <v>19</v>
      </c>
      <c r="F541" t="s">
        <v>1741</v>
      </c>
      <c r="G541" t="s">
        <v>1292</v>
      </c>
      <c r="H541" t="s">
        <v>1292</v>
      </c>
      <c r="I541">
        <v>4.2</v>
      </c>
      <c r="J541">
        <v>37</v>
      </c>
      <c r="K541" t="s">
        <v>1742</v>
      </c>
    </row>
    <row r="542" spans="1:11" x14ac:dyDescent="0.2">
      <c r="A542" t="str">
        <f>HYPERLINK("https://www.tiwall.com//p/otaghravani","اتاق روانی")</f>
        <v>اتاق روانی</v>
      </c>
      <c r="B542">
        <v>60</v>
      </c>
      <c r="C542" t="s">
        <v>262</v>
      </c>
      <c r="D542" t="s">
        <v>299</v>
      </c>
      <c r="E542" t="s">
        <v>39</v>
      </c>
      <c r="F542" t="s">
        <v>1138</v>
      </c>
      <c r="G542" t="s">
        <v>1743</v>
      </c>
      <c r="H542" t="s">
        <v>1333</v>
      </c>
      <c r="I542">
        <v>3.7</v>
      </c>
      <c r="J542">
        <v>7</v>
      </c>
      <c r="K542" t="s">
        <v>1744</v>
      </c>
    </row>
    <row r="543" spans="1:11" x14ac:dyDescent="0.2">
      <c r="A543" t="str">
        <f>HYPERLINK("https://www.tiwall.com//p/drpsycho","دکتر سایکو")</f>
        <v>دکتر سایکو</v>
      </c>
      <c r="B543">
        <v>30</v>
      </c>
      <c r="C543" t="s">
        <v>44</v>
      </c>
      <c r="D543" t="s">
        <v>146</v>
      </c>
      <c r="E543" t="s">
        <v>13</v>
      </c>
      <c r="F543" t="s">
        <v>897</v>
      </c>
      <c r="G543" t="s">
        <v>1745</v>
      </c>
      <c r="H543" t="s">
        <v>1746</v>
      </c>
      <c r="I543">
        <v>0</v>
      </c>
      <c r="J543">
        <v>0</v>
      </c>
      <c r="K543" t="s">
        <v>1747</v>
      </c>
    </row>
    <row r="544" spans="1:11" x14ac:dyDescent="0.2">
      <c r="A544" t="str">
        <f>HYPERLINK("https://www.tiwall.com//p/rouzmaregi2","روزمرگی")</f>
        <v>روزمرگی</v>
      </c>
      <c r="B544">
        <v>50</v>
      </c>
      <c r="C544" t="s">
        <v>180</v>
      </c>
      <c r="D544" t="s">
        <v>384</v>
      </c>
      <c r="E544" t="s">
        <v>303</v>
      </c>
      <c r="F544" t="s">
        <v>1748</v>
      </c>
      <c r="G544" t="s">
        <v>1749</v>
      </c>
      <c r="H544" t="s">
        <v>1749</v>
      </c>
      <c r="I544">
        <v>3.9</v>
      </c>
      <c r="J544">
        <v>16</v>
      </c>
      <c r="K544" t="s">
        <v>1750</v>
      </c>
    </row>
    <row r="545" spans="1:11" x14ac:dyDescent="0.2">
      <c r="A545" t="str">
        <f>HYPERLINK("https://www.tiwall.com//p/kheftona","خفتونا")</f>
        <v>خفتونا</v>
      </c>
      <c r="B545">
        <v>50</v>
      </c>
      <c r="C545" t="s">
        <v>204</v>
      </c>
      <c r="D545" t="s">
        <v>12</v>
      </c>
      <c r="E545" t="s">
        <v>26</v>
      </c>
      <c r="F545" t="s">
        <v>257</v>
      </c>
      <c r="G545" t="s">
        <v>1751</v>
      </c>
      <c r="H545" t="s">
        <v>1751</v>
      </c>
      <c r="I545">
        <v>0</v>
      </c>
      <c r="J545">
        <v>0</v>
      </c>
      <c r="K545" t="s">
        <v>1752</v>
      </c>
    </row>
    <row r="546" spans="1:11" x14ac:dyDescent="0.2">
      <c r="A546" t="str">
        <f>HYPERLINK("https://www.tiwall.com//p/truthtruth","حقیغت حغیقت")</f>
        <v>حقیغت حغیقت</v>
      </c>
      <c r="B546">
        <v>38</v>
      </c>
      <c r="C546" t="s">
        <v>44</v>
      </c>
      <c r="D546" t="s">
        <v>12</v>
      </c>
      <c r="E546" t="s">
        <v>88</v>
      </c>
      <c r="F546" t="s">
        <v>1753</v>
      </c>
      <c r="G546" t="s">
        <v>781</v>
      </c>
      <c r="H546" t="s">
        <v>1754</v>
      </c>
      <c r="I546">
        <v>0</v>
      </c>
      <c r="J546">
        <v>0</v>
      </c>
      <c r="K546" t="s">
        <v>1755</v>
      </c>
    </row>
    <row r="547" spans="1:11" x14ac:dyDescent="0.2">
      <c r="A547" t="str">
        <f>HYPERLINK("https://www.tiwall.com//p/valseneghabha","والس نقابها")</f>
        <v>والس نقابها</v>
      </c>
      <c r="B547">
        <v>35</v>
      </c>
      <c r="C547" t="s">
        <v>11</v>
      </c>
      <c r="D547" t="s">
        <v>45</v>
      </c>
      <c r="E547" t="s">
        <v>13</v>
      </c>
      <c r="F547" t="s">
        <v>888</v>
      </c>
      <c r="G547" t="s">
        <v>1756</v>
      </c>
      <c r="H547" t="s">
        <v>1757</v>
      </c>
      <c r="I547">
        <v>0</v>
      </c>
      <c r="J547">
        <v>0</v>
      </c>
      <c r="K547" t="s">
        <v>1758</v>
      </c>
    </row>
    <row r="548" spans="1:11" x14ac:dyDescent="0.2">
      <c r="A548" t="str">
        <f>HYPERLINK("https://www.tiwall.com//p/partners.in.crime10","خرده جنایت های زناشوهری")</f>
        <v>خرده جنایت های زناشوهری</v>
      </c>
      <c r="B548">
        <v>45</v>
      </c>
      <c r="C548" t="s">
        <v>1215</v>
      </c>
      <c r="D548" t="s">
        <v>799</v>
      </c>
      <c r="E548" t="s">
        <v>138</v>
      </c>
      <c r="F548" t="s">
        <v>506</v>
      </c>
      <c r="G548" t="s">
        <v>1759</v>
      </c>
      <c r="H548" t="s">
        <v>438</v>
      </c>
      <c r="I548">
        <v>2</v>
      </c>
      <c r="J548">
        <v>6</v>
      </c>
      <c r="K548" t="s">
        <v>1760</v>
      </c>
    </row>
    <row r="549" spans="1:11" x14ac:dyDescent="0.2">
      <c r="A549" t="str">
        <f>HYPERLINK("https://www.tiwall.com//p/polshery6","کافه پولشری")</f>
        <v>کافه پولشری</v>
      </c>
      <c r="B549">
        <v>100</v>
      </c>
      <c r="C549" t="s">
        <v>1535</v>
      </c>
      <c r="D549" t="s">
        <v>217</v>
      </c>
      <c r="E549" t="s">
        <v>138</v>
      </c>
      <c r="F549" t="s">
        <v>1761</v>
      </c>
      <c r="G549" t="s">
        <v>1536</v>
      </c>
      <c r="H549" t="s">
        <v>1762</v>
      </c>
      <c r="I549">
        <v>4.4000000000000004</v>
      </c>
      <c r="J549">
        <v>5</v>
      </c>
      <c r="K549" t="s">
        <v>1536</v>
      </c>
    </row>
    <row r="550" spans="1:11" x14ac:dyDescent="0.2">
      <c r="A550" t="str">
        <f>HYPERLINK("https://www.tiwall.com//p/parse.movazi5","پرسه های موازی")</f>
        <v>پرسه های موازی</v>
      </c>
      <c r="B550">
        <v>50</v>
      </c>
      <c r="C550" t="s">
        <v>1763</v>
      </c>
      <c r="D550" t="s">
        <v>1764</v>
      </c>
      <c r="E550" t="s">
        <v>26</v>
      </c>
      <c r="F550" t="s">
        <v>1765</v>
      </c>
      <c r="G550" t="s">
        <v>1766</v>
      </c>
      <c r="H550" t="s">
        <v>749</v>
      </c>
      <c r="I550">
        <v>0</v>
      </c>
      <c r="J550">
        <v>0</v>
      </c>
      <c r="K550" t="s">
        <v>1767</v>
      </c>
    </row>
    <row r="551" spans="1:11" x14ac:dyDescent="0.2">
      <c r="A551" t="str">
        <f>HYPERLINK("https://www.tiwall.com//p/sahesh","سَهِش")</f>
        <v>سَهِش</v>
      </c>
      <c r="B551">
        <v>50</v>
      </c>
      <c r="C551" t="s">
        <v>383</v>
      </c>
      <c r="D551" t="s">
        <v>87</v>
      </c>
      <c r="E551" t="s">
        <v>138</v>
      </c>
      <c r="F551" t="s">
        <v>579</v>
      </c>
      <c r="G551" t="s">
        <v>1768</v>
      </c>
      <c r="H551" t="s">
        <v>1768</v>
      </c>
      <c r="I551">
        <v>0</v>
      </c>
      <c r="J551">
        <v>0</v>
      </c>
      <c r="K551" t="s">
        <v>1769</v>
      </c>
    </row>
    <row r="552" spans="1:11" x14ac:dyDescent="0.2">
      <c r="A552" t="str">
        <f>HYPERLINK("https://www.tiwall.com//p/ravayatehpart","روایت پرت")</f>
        <v>روایت پرت</v>
      </c>
      <c r="B552">
        <v>80</v>
      </c>
      <c r="C552" t="s">
        <v>501</v>
      </c>
      <c r="D552" t="s">
        <v>45</v>
      </c>
      <c r="E552" t="s">
        <v>13</v>
      </c>
      <c r="F552" t="s">
        <v>1208</v>
      </c>
      <c r="G552" t="s">
        <v>1770</v>
      </c>
      <c r="H552" t="s">
        <v>1118</v>
      </c>
      <c r="I552">
        <v>0</v>
      </c>
      <c r="J552">
        <v>0</v>
      </c>
      <c r="K552" t="s">
        <v>1771</v>
      </c>
    </row>
    <row r="553" spans="1:11" x14ac:dyDescent="0.2">
      <c r="A553" t="str">
        <f>HYPERLINK("https://www.tiwall.com//p/payan.parandeh","انتهای هر فصل پرونده باز است")</f>
        <v>انتهای هر فصل پرونده باز است</v>
      </c>
      <c r="B553">
        <v>75</v>
      </c>
      <c r="C553" t="s">
        <v>56</v>
      </c>
      <c r="D553" t="s">
        <v>25</v>
      </c>
      <c r="E553" t="s">
        <v>235</v>
      </c>
      <c r="F553" t="s">
        <v>1772</v>
      </c>
      <c r="G553" t="s">
        <v>1773</v>
      </c>
      <c r="H553" t="s">
        <v>1773</v>
      </c>
      <c r="I553">
        <v>0</v>
      </c>
      <c r="J553">
        <v>0</v>
      </c>
      <c r="K553" t="s">
        <v>1773</v>
      </c>
    </row>
    <row r="554" spans="1:11" x14ac:dyDescent="0.2">
      <c r="A554" t="str">
        <f>HYPERLINK("https://www.tiwall.com//p/shour.nahang","به سرم شور نهنگ است")</f>
        <v>به سرم شور نهنگ است</v>
      </c>
      <c r="B554">
        <v>60</v>
      </c>
      <c r="C554" t="s">
        <v>1774</v>
      </c>
      <c r="D554" t="s">
        <v>12</v>
      </c>
      <c r="E554" t="s">
        <v>19</v>
      </c>
      <c r="F554" t="s">
        <v>1775</v>
      </c>
      <c r="G554" t="s">
        <v>1776</v>
      </c>
      <c r="H554" t="s">
        <v>1776</v>
      </c>
      <c r="I554">
        <v>0</v>
      </c>
      <c r="J554">
        <v>0</v>
      </c>
      <c r="K554" t="s">
        <v>1777</v>
      </c>
    </row>
    <row r="555" spans="1:11" x14ac:dyDescent="0.2">
      <c r="A555" t="str">
        <f>HYPERLINK("https://www.tiwall.com//p/khoftegan","خفتگان چشم باز")</f>
        <v>خفتگان چشم باز</v>
      </c>
      <c r="B555">
        <v>40</v>
      </c>
      <c r="C555" t="s">
        <v>69</v>
      </c>
      <c r="D555" t="s">
        <v>12</v>
      </c>
      <c r="E555" t="s">
        <v>26</v>
      </c>
      <c r="F555" t="s">
        <v>200</v>
      </c>
      <c r="G555" t="s">
        <v>1679</v>
      </c>
      <c r="H555" t="s">
        <v>1679</v>
      </c>
      <c r="I555">
        <v>0</v>
      </c>
      <c r="J555">
        <v>0</v>
      </c>
      <c r="K555" t="s">
        <v>1680</v>
      </c>
    </row>
    <row r="556" spans="1:11" x14ac:dyDescent="0.2">
      <c r="A556" t="str">
        <f>HYPERLINK("https://www.tiwall.com//p/reza3","رضا")</f>
        <v>رضا</v>
      </c>
      <c r="B556">
        <v>40</v>
      </c>
      <c r="C556" t="s">
        <v>369</v>
      </c>
      <c r="D556" t="s">
        <v>70</v>
      </c>
      <c r="E556" t="s">
        <v>13</v>
      </c>
      <c r="F556" t="s">
        <v>82</v>
      </c>
      <c r="G556" t="s">
        <v>1778</v>
      </c>
      <c r="H556" t="s">
        <v>1779</v>
      </c>
      <c r="I556">
        <v>4</v>
      </c>
      <c r="J556">
        <v>46</v>
      </c>
      <c r="K556" t="s">
        <v>1780</v>
      </c>
    </row>
    <row r="557" spans="1:11" x14ac:dyDescent="0.2">
      <c r="A557" t="str">
        <f>HYPERLINK("https://www.tiwall.com//p/asarkonkord","اثر کنکورد")</f>
        <v>اثر کنکورد</v>
      </c>
      <c r="B557">
        <v>40</v>
      </c>
      <c r="C557" t="s">
        <v>591</v>
      </c>
      <c r="D557" t="s">
        <v>32</v>
      </c>
      <c r="E557" t="s">
        <v>303</v>
      </c>
      <c r="F557" t="s">
        <v>822</v>
      </c>
      <c r="G557" t="s">
        <v>1781</v>
      </c>
      <c r="H557" t="s">
        <v>1781</v>
      </c>
      <c r="I557">
        <v>0</v>
      </c>
      <c r="J557">
        <v>0</v>
      </c>
      <c r="K557" t="s">
        <v>1782</v>
      </c>
    </row>
    <row r="558" spans="1:11" x14ac:dyDescent="0.2">
      <c r="A558" t="str">
        <f>HYPERLINK("https://www.tiwall.com//p/hamlet22","هملت پشت کوهی")</f>
        <v>هملت پشت کوهی</v>
      </c>
      <c r="B558">
        <v>70</v>
      </c>
      <c r="C558" t="s">
        <v>358</v>
      </c>
      <c r="D558" t="s">
        <v>38</v>
      </c>
      <c r="E558" t="s">
        <v>1783</v>
      </c>
      <c r="F558" t="s">
        <v>345</v>
      </c>
      <c r="G558" t="s">
        <v>1784</v>
      </c>
      <c r="H558" t="s">
        <v>1784</v>
      </c>
      <c r="I558">
        <v>3.8</v>
      </c>
      <c r="J558">
        <v>41</v>
      </c>
      <c r="K558" t="s">
        <v>1785</v>
      </c>
    </row>
    <row r="559" spans="1:11" x14ac:dyDescent="0.2">
      <c r="A559" t="str">
        <f>HYPERLINK("https://www.tiwall.com//p/disconnection2","قطع ارتباط")</f>
        <v>قطع ارتباط</v>
      </c>
      <c r="B559">
        <v>70</v>
      </c>
      <c r="C559" t="s">
        <v>86</v>
      </c>
      <c r="D559" t="s">
        <v>146</v>
      </c>
      <c r="E559" t="s">
        <v>475</v>
      </c>
      <c r="F559" t="s">
        <v>471</v>
      </c>
      <c r="G559" t="s">
        <v>1786</v>
      </c>
      <c r="H559" t="s">
        <v>1786</v>
      </c>
      <c r="I559">
        <v>3.4</v>
      </c>
      <c r="J559">
        <v>7</v>
      </c>
      <c r="K559" t="s">
        <v>1787</v>
      </c>
    </row>
    <row r="560" spans="1:11" x14ac:dyDescent="0.2">
      <c r="A560" t="str">
        <f>HYPERLINK("https://www.tiwall.com//p/ahestehbagolesorkh3","آهسته با گل سرخ")</f>
        <v>آهسته با گل سرخ</v>
      </c>
      <c r="B560">
        <v>50</v>
      </c>
      <c r="C560" t="s">
        <v>51</v>
      </c>
      <c r="D560" t="s">
        <v>45</v>
      </c>
      <c r="E560" t="s">
        <v>1788</v>
      </c>
      <c r="F560" t="s">
        <v>571</v>
      </c>
      <c r="G560" t="s">
        <v>210</v>
      </c>
      <c r="H560" t="s">
        <v>1789</v>
      </c>
      <c r="I560">
        <v>0</v>
      </c>
      <c r="J560">
        <v>0</v>
      </c>
      <c r="K560" t="s">
        <v>1790</v>
      </c>
    </row>
    <row r="561" spans="1:11" x14ac:dyDescent="0.2">
      <c r="A561" t="str">
        <f>HYPERLINK("https://www.tiwall.com//p/pupa2","شفیره")</f>
        <v>شفیره</v>
      </c>
      <c r="B561">
        <v>80</v>
      </c>
      <c r="C561" t="s">
        <v>358</v>
      </c>
      <c r="D561" t="s">
        <v>12</v>
      </c>
      <c r="E561" t="s">
        <v>138</v>
      </c>
      <c r="F561" t="s">
        <v>778</v>
      </c>
      <c r="G561" t="s">
        <v>1791</v>
      </c>
      <c r="H561" t="s">
        <v>1791</v>
      </c>
      <c r="I561">
        <v>3.7</v>
      </c>
      <c r="J561">
        <v>31</v>
      </c>
      <c r="K561" t="s">
        <v>1792</v>
      </c>
    </row>
    <row r="562" spans="1:11" x14ac:dyDescent="0.2">
      <c r="A562" t="str">
        <f>HYPERLINK("https://www.tiwall.com//p/pesar4","پسر")</f>
        <v>پسر</v>
      </c>
      <c r="B562">
        <v>30</v>
      </c>
      <c r="C562" t="s">
        <v>56</v>
      </c>
      <c r="D562" t="s">
        <v>45</v>
      </c>
      <c r="E562" t="s">
        <v>88</v>
      </c>
      <c r="F562" t="s">
        <v>1793</v>
      </c>
      <c r="G562" t="s">
        <v>1794</v>
      </c>
      <c r="H562" t="s">
        <v>1794</v>
      </c>
      <c r="I562">
        <v>2.6</v>
      </c>
      <c r="J562">
        <v>12</v>
      </c>
      <c r="K562" t="s">
        <v>1795</v>
      </c>
    </row>
    <row r="563" spans="1:11" x14ac:dyDescent="0.2">
      <c r="A563" t="str">
        <f>HYPERLINK("https://www.tiwall.com//p/only40","فقط چهل روزه بودم")</f>
        <v>فقط چهل روزه بودم</v>
      </c>
      <c r="B563">
        <v>30</v>
      </c>
      <c r="C563" t="s">
        <v>344</v>
      </c>
      <c r="D563" t="s">
        <v>12</v>
      </c>
      <c r="E563" t="s">
        <v>46</v>
      </c>
      <c r="F563" t="s">
        <v>1796</v>
      </c>
      <c r="G563" t="s">
        <v>1230</v>
      </c>
      <c r="H563" t="s">
        <v>1599</v>
      </c>
      <c r="I563">
        <v>3.3</v>
      </c>
      <c r="J563">
        <v>23</v>
      </c>
      <c r="K563" t="s">
        <v>1797</v>
      </c>
    </row>
    <row r="564" spans="1:11" x14ac:dyDescent="0.2">
      <c r="A564" t="str">
        <f>HYPERLINK("https://www.tiwall.com//p/tarinherfei","ترین حرفه ای")</f>
        <v>ترین حرفه ای</v>
      </c>
      <c r="B564">
        <v>90</v>
      </c>
      <c r="C564" t="s">
        <v>103</v>
      </c>
      <c r="D564" t="s">
        <v>87</v>
      </c>
      <c r="E564" t="s">
        <v>13</v>
      </c>
      <c r="F564" t="s">
        <v>1798</v>
      </c>
      <c r="G564" t="s">
        <v>781</v>
      </c>
      <c r="H564" t="s">
        <v>1799</v>
      </c>
      <c r="I564">
        <v>3.7</v>
      </c>
      <c r="J564">
        <v>48</v>
      </c>
      <c r="K564" t="s">
        <v>1800</v>
      </c>
    </row>
    <row r="565" spans="1:11" x14ac:dyDescent="0.2">
      <c r="A565" t="str">
        <f>HYPERLINK("https://www.tiwall.com//p/chaleh2","چاله")</f>
        <v>چاله</v>
      </c>
      <c r="B565">
        <v>30</v>
      </c>
      <c r="C565" t="s">
        <v>117</v>
      </c>
      <c r="D565" t="s">
        <v>12</v>
      </c>
      <c r="E565" t="s">
        <v>138</v>
      </c>
      <c r="F565" t="s">
        <v>52</v>
      </c>
      <c r="G565" t="s">
        <v>1801</v>
      </c>
      <c r="H565" t="s">
        <v>1802</v>
      </c>
      <c r="I565">
        <v>0</v>
      </c>
      <c r="J565">
        <v>0</v>
      </c>
      <c r="K565" t="s">
        <v>1803</v>
      </c>
    </row>
    <row r="566" spans="1:11" x14ac:dyDescent="0.2">
      <c r="A566" t="str">
        <f>HYPERLINK("https://www.tiwall.com//p/haar","هار")</f>
        <v>هار</v>
      </c>
      <c r="B566">
        <v>50</v>
      </c>
      <c r="C566" t="s">
        <v>31</v>
      </c>
      <c r="D566" t="s">
        <v>87</v>
      </c>
      <c r="E566" t="s">
        <v>13</v>
      </c>
      <c r="F566" t="s">
        <v>239</v>
      </c>
      <c r="G566" t="s">
        <v>1804</v>
      </c>
      <c r="H566" t="s">
        <v>1804</v>
      </c>
      <c r="I566">
        <v>3.8</v>
      </c>
      <c r="J566">
        <v>42</v>
      </c>
      <c r="K566" t="s">
        <v>1805</v>
      </c>
    </row>
    <row r="567" spans="1:11" x14ac:dyDescent="0.2">
      <c r="A567" t="str">
        <f>HYPERLINK("https://www.tiwall.com//p/agha.zabih11","ذبیح")</f>
        <v>ذبیح</v>
      </c>
      <c r="B567">
        <v>50</v>
      </c>
      <c r="C567" t="s">
        <v>129</v>
      </c>
      <c r="D567" t="s">
        <v>256</v>
      </c>
      <c r="E567" t="s">
        <v>71</v>
      </c>
      <c r="F567" t="s">
        <v>260</v>
      </c>
      <c r="G567" t="s">
        <v>1806</v>
      </c>
      <c r="H567" t="s">
        <v>886</v>
      </c>
      <c r="I567">
        <v>3.9</v>
      </c>
      <c r="J567">
        <v>8</v>
      </c>
      <c r="K567" t="s">
        <v>1807</v>
      </c>
    </row>
    <row r="568" spans="1:11" x14ac:dyDescent="0.2">
      <c r="A568" t="str">
        <f>HYPERLINK("https://www.tiwall.com//p/reza.shemrkhoon","رضا شمرخون")</f>
        <v>رضا شمرخون</v>
      </c>
      <c r="B568">
        <v>60</v>
      </c>
      <c r="C568" t="s">
        <v>137</v>
      </c>
      <c r="D568" t="s">
        <v>12</v>
      </c>
      <c r="E568" t="s">
        <v>235</v>
      </c>
      <c r="F568" t="s">
        <v>650</v>
      </c>
      <c r="G568" t="s">
        <v>236</v>
      </c>
      <c r="H568" t="s">
        <v>236</v>
      </c>
      <c r="I568">
        <v>0</v>
      </c>
      <c r="J568">
        <v>0</v>
      </c>
      <c r="K568" t="s">
        <v>1808</v>
      </c>
    </row>
    <row r="569" spans="1:11" x14ac:dyDescent="0.2">
      <c r="A569" t="str">
        <f>HYPERLINK("https://www.tiwall.com//p/behesht5","بهشت حکیم الله")</f>
        <v>بهشت حکیم الله</v>
      </c>
      <c r="B569">
        <v>50</v>
      </c>
      <c r="C569" t="s">
        <v>344</v>
      </c>
      <c r="D569" t="s">
        <v>217</v>
      </c>
      <c r="E569" t="s">
        <v>235</v>
      </c>
      <c r="F569" t="s">
        <v>893</v>
      </c>
      <c r="G569" t="s">
        <v>1809</v>
      </c>
      <c r="H569" t="s">
        <v>1621</v>
      </c>
      <c r="I569">
        <v>3.8</v>
      </c>
      <c r="J569">
        <v>8</v>
      </c>
      <c r="K569" t="s">
        <v>1809</v>
      </c>
    </row>
    <row r="570" spans="1:11" x14ac:dyDescent="0.2">
      <c r="A570" t="str">
        <f>HYPERLINK("https://www.tiwall.com//p/akharin.seshanbeh","آخرین سه‌شنبه سال")</f>
        <v>آخرین سه‌شنبه سال</v>
      </c>
      <c r="B570">
        <v>170</v>
      </c>
      <c r="C570" t="s">
        <v>37</v>
      </c>
      <c r="D570" t="s">
        <v>65</v>
      </c>
      <c r="E570" t="s">
        <v>303</v>
      </c>
      <c r="F570" t="s">
        <v>142</v>
      </c>
      <c r="G570" t="s">
        <v>772</v>
      </c>
      <c r="H570" t="s">
        <v>29</v>
      </c>
      <c r="I570">
        <v>3.1</v>
      </c>
      <c r="J570">
        <v>30</v>
      </c>
      <c r="K570" t="s">
        <v>1810</v>
      </c>
    </row>
    <row r="571" spans="1:11" x14ac:dyDescent="0.2">
      <c r="A571" t="str">
        <f>HYPERLINK("https://www.tiwall.com//p/pedarane2","پدرانه")</f>
        <v>پدرانه</v>
      </c>
      <c r="B571">
        <v>25</v>
      </c>
      <c r="C571" t="s">
        <v>1811</v>
      </c>
      <c r="D571" t="s">
        <v>12</v>
      </c>
      <c r="E571" t="s">
        <v>46</v>
      </c>
      <c r="F571" t="s">
        <v>614</v>
      </c>
      <c r="G571" t="s">
        <v>1812</v>
      </c>
      <c r="H571" t="s">
        <v>652</v>
      </c>
      <c r="I571">
        <v>0</v>
      </c>
      <c r="J571">
        <v>0</v>
      </c>
      <c r="K571" t="s">
        <v>1813</v>
      </c>
    </row>
    <row r="572" spans="1:11" x14ac:dyDescent="0.2">
      <c r="A572" t="str">
        <f>HYPERLINK("https://www.tiwall.com//p/ghouti","قوطی")</f>
        <v>قوطی</v>
      </c>
      <c r="B572">
        <v>60</v>
      </c>
      <c r="C572" t="s">
        <v>199</v>
      </c>
      <c r="D572" t="s">
        <v>32</v>
      </c>
      <c r="E572" t="s">
        <v>13</v>
      </c>
      <c r="F572" t="s">
        <v>286</v>
      </c>
      <c r="G572" t="s">
        <v>1814</v>
      </c>
      <c r="H572" t="s">
        <v>1814</v>
      </c>
      <c r="I572">
        <v>0</v>
      </c>
      <c r="J572">
        <v>0</v>
      </c>
      <c r="K572" t="s">
        <v>1815</v>
      </c>
    </row>
    <row r="573" spans="1:11" x14ac:dyDescent="0.2">
      <c r="A573" t="str">
        <f>HYPERLINK("https://www.tiwall.com//p/disgraced","داغ ننگ - Disgraced")</f>
        <v>داغ ننگ - Disgraced</v>
      </c>
      <c r="B573">
        <v>70</v>
      </c>
      <c r="C573" t="s">
        <v>31</v>
      </c>
      <c r="D573" t="s">
        <v>1816</v>
      </c>
      <c r="E573" t="s">
        <v>26</v>
      </c>
      <c r="F573" t="s">
        <v>345</v>
      </c>
      <c r="G573" t="s">
        <v>1817</v>
      </c>
      <c r="H573" t="s">
        <v>1818</v>
      </c>
      <c r="I573">
        <v>3</v>
      </c>
      <c r="J573">
        <v>22</v>
      </c>
      <c r="K573" t="s">
        <v>1819</v>
      </c>
    </row>
    <row r="574" spans="1:11" x14ac:dyDescent="0.2">
      <c r="A574" t="str">
        <f>HYPERLINK("https://www.tiwall.com//p/mardanejang2","برگشتن افتخار آمیز مردان جنگی")</f>
        <v>برگشتن افتخار آمیز مردان جنگی</v>
      </c>
      <c r="B574">
        <v>35</v>
      </c>
      <c r="C574" t="s">
        <v>180</v>
      </c>
      <c r="D574" t="s">
        <v>12</v>
      </c>
      <c r="E574" t="s">
        <v>13</v>
      </c>
      <c r="F574" t="s">
        <v>787</v>
      </c>
      <c r="G574" t="s">
        <v>1820</v>
      </c>
      <c r="H574" t="s">
        <v>895</v>
      </c>
      <c r="I574">
        <v>2.2000000000000002</v>
      </c>
      <c r="J574">
        <v>5</v>
      </c>
      <c r="K574" t="s">
        <v>1821</v>
      </c>
    </row>
    <row r="575" spans="1:11" x14ac:dyDescent="0.2">
      <c r="A575" t="str">
        <f>HYPERLINK("https://www.tiwall.com//p/rasolhosein","رأس الحسین")</f>
        <v>رأس الحسین</v>
      </c>
      <c r="B575">
        <v>60</v>
      </c>
      <c r="C575" t="s">
        <v>417</v>
      </c>
      <c r="D575" t="s">
        <v>146</v>
      </c>
      <c r="E575" t="s">
        <v>26</v>
      </c>
      <c r="F575" t="s">
        <v>1822</v>
      </c>
      <c r="G575" t="s">
        <v>569</v>
      </c>
      <c r="H575" t="s">
        <v>1823</v>
      </c>
      <c r="I575">
        <v>0</v>
      </c>
      <c r="J575">
        <v>0</v>
      </c>
      <c r="K575" t="s">
        <v>1824</v>
      </c>
    </row>
    <row r="576" spans="1:11" x14ac:dyDescent="0.2">
      <c r="A576" t="str">
        <f>HYPERLINK("https://www.tiwall.com//p/belafigura2","بلافیگورا")</f>
        <v>بلافیگورا</v>
      </c>
      <c r="B576">
        <v>40</v>
      </c>
      <c r="C576" t="s">
        <v>121</v>
      </c>
      <c r="D576" t="s">
        <v>12</v>
      </c>
      <c r="E576" t="s">
        <v>208</v>
      </c>
      <c r="F576" t="s">
        <v>239</v>
      </c>
      <c r="G576" t="s">
        <v>1825</v>
      </c>
      <c r="H576" t="s">
        <v>685</v>
      </c>
      <c r="I576">
        <v>0</v>
      </c>
      <c r="J576">
        <v>0</v>
      </c>
      <c r="K576" t="s">
        <v>1826</v>
      </c>
    </row>
    <row r="577" spans="1:11" x14ac:dyDescent="0.2">
      <c r="A577" t="str">
        <f>HYPERLINK("https://www.tiwall.com//p/shabbekheir","شب بخیر و روز...")</f>
        <v>شب بخیر و روز...</v>
      </c>
      <c r="B577">
        <v>45</v>
      </c>
      <c r="C577" t="s">
        <v>103</v>
      </c>
      <c r="D577" t="s">
        <v>38</v>
      </c>
      <c r="E577" t="s">
        <v>13</v>
      </c>
      <c r="F577" t="s">
        <v>596</v>
      </c>
      <c r="G577" t="s">
        <v>1827</v>
      </c>
      <c r="H577" t="s">
        <v>1827</v>
      </c>
      <c r="I577">
        <v>4</v>
      </c>
      <c r="J577">
        <v>10</v>
      </c>
      <c r="K577" t="s">
        <v>1828</v>
      </c>
    </row>
    <row r="578" spans="1:11" x14ac:dyDescent="0.2">
      <c r="A578" t="str">
        <f>HYPERLINK("https://www.tiwall.com//p/boofekoor2","بوف کور")</f>
        <v>بوف کور</v>
      </c>
      <c r="B578">
        <v>40</v>
      </c>
      <c r="C578" t="s">
        <v>108</v>
      </c>
      <c r="D578" t="s">
        <v>87</v>
      </c>
      <c r="E578" t="s">
        <v>303</v>
      </c>
      <c r="F578" t="s">
        <v>1086</v>
      </c>
      <c r="G578" t="s">
        <v>1829</v>
      </c>
      <c r="H578" t="s">
        <v>1830</v>
      </c>
      <c r="I578">
        <v>0</v>
      </c>
      <c r="J578">
        <v>0</v>
      </c>
      <c r="K578" t="s">
        <v>1831</v>
      </c>
    </row>
    <row r="579" spans="1:11" x14ac:dyDescent="0.2">
      <c r="A579" t="str">
        <f>HYPERLINK("https://www.tiwall.com//p/nokaresheytan","نوکر شیطان")</f>
        <v>نوکر شیطان</v>
      </c>
      <c r="B579">
        <v>45</v>
      </c>
      <c r="C579" t="s">
        <v>51</v>
      </c>
      <c r="D579" t="s">
        <v>32</v>
      </c>
      <c r="E579" t="s">
        <v>303</v>
      </c>
      <c r="F579" t="s">
        <v>1832</v>
      </c>
      <c r="G579" t="s">
        <v>1127</v>
      </c>
      <c r="H579" t="s">
        <v>485</v>
      </c>
      <c r="I579">
        <v>0</v>
      </c>
      <c r="J579">
        <v>0</v>
      </c>
      <c r="K579" t="s">
        <v>1833</v>
      </c>
    </row>
    <row r="580" spans="1:11" x14ac:dyDescent="0.2">
      <c r="A580" t="str">
        <f>HYPERLINK("https://www.tiwall.com//p/marsie.naghus","مرثیه ناقوس ها")</f>
        <v>مرثیه ناقوس ها</v>
      </c>
      <c r="B580">
        <v>50</v>
      </c>
      <c r="C580" t="s">
        <v>1834</v>
      </c>
      <c r="D580" t="s">
        <v>217</v>
      </c>
      <c r="E580" t="s">
        <v>46</v>
      </c>
      <c r="F580" t="s">
        <v>1145</v>
      </c>
      <c r="G580" t="s">
        <v>1835</v>
      </c>
      <c r="H580" t="s">
        <v>1835</v>
      </c>
      <c r="I580">
        <v>0</v>
      </c>
      <c r="J580">
        <v>0</v>
      </c>
      <c r="K580" t="s">
        <v>1836</v>
      </c>
    </row>
    <row r="581" spans="1:11" x14ac:dyDescent="0.2">
      <c r="A581" t="str">
        <f>HYPERLINK("https://www.tiwall.com//p/eterafatidarbarezanan8","اعترافاتی درباره زنان")</f>
        <v>اعترافاتی درباره زنان</v>
      </c>
      <c r="B581">
        <v>10</v>
      </c>
      <c r="C581" t="s">
        <v>1837</v>
      </c>
      <c r="D581" t="s">
        <v>32</v>
      </c>
      <c r="E581" t="s">
        <v>26</v>
      </c>
      <c r="F581" t="s">
        <v>1838</v>
      </c>
      <c r="G581" t="s">
        <v>1839</v>
      </c>
      <c r="H581" t="s">
        <v>1840</v>
      </c>
      <c r="I581">
        <v>0</v>
      </c>
      <c r="J581">
        <v>0</v>
      </c>
      <c r="K581" t="s">
        <v>1841</v>
      </c>
    </row>
    <row r="582" spans="1:11" x14ac:dyDescent="0.2">
      <c r="A582" t="str">
        <f>HYPERLINK("https://www.tiwall.com//p/zirzaminiha","زیرزمینی ها")</f>
        <v>زیرزمینی ها</v>
      </c>
      <c r="B582">
        <v>150</v>
      </c>
      <c r="C582" t="s">
        <v>230</v>
      </c>
      <c r="D582" t="s">
        <v>280</v>
      </c>
      <c r="E582" t="s">
        <v>19</v>
      </c>
      <c r="F582" t="s">
        <v>1842</v>
      </c>
      <c r="G582" t="s">
        <v>1843</v>
      </c>
      <c r="H582" t="s">
        <v>1844</v>
      </c>
      <c r="I582">
        <v>3.9</v>
      </c>
      <c r="J582">
        <v>55</v>
      </c>
      <c r="K582" t="s">
        <v>1845</v>
      </c>
    </row>
    <row r="583" spans="1:11" x14ac:dyDescent="0.2">
      <c r="A583" t="str">
        <f>HYPERLINK("https://www.tiwall.com//p/khargadan","خرگدن")</f>
        <v>خرگدن</v>
      </c>
      <c r="B583">
        <v>55</v>
      </c>
      <c r="C583" t="s">
        <v>1846</v>
      </c>
      <c r="D583" t="s">
        <v>87</v>
      </c>
      <c r="E583" t="s">
        <v>1847</v>
      </c>
      <c r="F583" t="s">
        <v>1037</v>
      </c>
      <c r="G583" t="s">
        <v>1848</v>
      </c>
      <c r="H583" t="s">
        <v>1848</v>
      </c>
      <c r="I583">
        <v>0</v>
      </c>
      <c r="J583">
        <v>0</v>
      </c>
      <c r="K583" t="s">
        <v>1849</v>
      </c>
    </row>
    <row r="584" spans="1:11" x14ac:dyDescent="0.2">
      <c r="A584" t="str">
        <f>HYPERLINK("https://www.tiwall.com//p/kerap4","آخرین نوار کراپ")</f>
        <v>آخرین نوار کراپ</v>
      </c>
      <c r="B584">
        <v>80</v>
      </c>
      <c r="C584" t="s">
        <v>44</v>
      </c>
      <c r="D584" t="s">
        <v>12</v>
      </c>
      <c r="E584" t="s">
        <v>88</v>
      </c>
      <c r="F584" t="s">
        <v>1850</v>
      </c>
      <c r="G584" t="s">
        <v>1851</v>
      </c>
      <c r="H584" t="s">
        <v>1852</v>
      </c>
      <c r="I584">
        <v>3.4</v>
      </c>
      <c r="J584">
        <v>8</v>
      </c>
      <c r="K584" t="s">
        <v>1853</v>
      </c>
    </row>
    <row r="585" spans="1:11" x14ac:dyDescent="0.2">
      <c r="A585" t="str">
        <f>HYPERLINK("https://www.tiwall.com//p/robinson3","روبینسون و کروزو")</f>
        <v>روبینسون و کروزو</v>
      </c>
      <c r="B585">
        <v>130</v>
      </c>
      <c r="C585" t="s">
        <v>410</v>
      </c>
      <c r="D585" t="s">
        <v>280</v>
      </c>
      <c r="E585" t="s">
        <v>88</v>
      </c>
      <c r="F585" t="s">
        <v>273</v>
      </c>
      <c r="G585" t="s">
        <v>714</v>
      </c>
      <c r="H585" t="s">
        <v>1854</v>
      </c>
      <c r="I585">
        <v>3.8</v>
      </c>
      <c r="J585">
        <v>46</v>
      </c>
      <c r="K585" t="s">
        <v>1855</v>
      </c>
    </row>
    <row r="586" spans="1:11" x14ac:dyDescent="0.2">
      <c r="A586" t="str">
        <f>HYPERLINK("https://www.tiwall.com//p/asrarkouhpayeh","اسرار کوهپایه")</f>
        <v>اسرار کوهپایه</v>
      </c>
      <c r="B586">
        <v>50</v>
      </c>
      <c r="C586" t="s">
        <v>51</v>
      </c>
      <c r="D586" t="s">
        <v>25</v>
      </c>
      <c r="E586" t="s">
        <v>194</v>
      </c>
      <c r="F586" t="s">
        <v>826</v>
      </c>
      <c r="G586" t="s">
        <v>1856</v>
      </c>
      <c r="H586" t="s">
        <v>1856</v>
      </c>
      <c r="I586">
        <v>3.8</v>
      </c>
      <c r="J586">
        <v>6</v>
      </c>
      <c r="K586" t="s">
        <v>1857</v>
      </c>
    </row>
    <row r="587" spans="1:11" x14ac:dyDescent="0.2">
      <c r="A587" t="str">
        <f>HYPERLINK("https://www.tiwall.com//p/mardomankhashmgin","مردمان خشمگین")</f>
        <v>مردمان خشمگین</v>
      </c>
      <c r="B587">
        <v>100</v>
      </c>
      <c r="C587" t="s">
        <v>358</v>
      </c>
      <c r="D587" t="s">
        <v>25</v>
      </c>
      <c r="E587" t="s">
        <v>303</v>
      </c>
      <c r="F587" t="s">
        <v>812</v>
      </c>
      <c r="G587" t="s">
        <v>1858</v>
      </c>
      <c r="H587" t="s">
        <v>1859</v>
      </c>
      <c r="I587">
        <v>4.3</v>
      </c>
      <c r="J587">
        <v>36</v>
      </c>
      <c r="K587" t="s">
        <v>1860</v>
      </c>
    </row>
    <row r="588" spans="1:11" x14ac:dyDescent="0.2">
      <c r="A588" t="str">
        <f>HYPERLINK("https://www.tiwall.com//p/negativ2","نگاتیو")</f>
        <v>نگاتیو</v>
      </c>
      <c r="B588">
        <v>50</v>
      </c>
      <c r="C588" t="s">
        <v>51</v>
      </c>
      <c r="D588" t="s">
        <v>87</v>
      </c>
      <c r="E588" t="s">
        <v>194</v>
      </c>
      <c r="F588" t="s">
        <v>1861</v>
      </c>
      <c r="G588" t="s">
        <v>1862</v>
      </c>
      <c r="H588" t="s">
        <v>1863</v>
      </c>
      <c r="I588">
        <v>0</v>
      </c>
      <c r="J588">
        <v>0</v>
      </c>
      <c r="K588" t="s">
        <v>1864</v>
      </c>
    </row>
    <row r="589" spans="1:11" x14ac:dyDescent="0.2">
      <c r="A589" t="str">
        <f>HYPERLINK("https://www.tiwall.com//p/darmani.zendegi","کاربردی، درمانی زندگی نه چندان خصوصی")</f>
        <v>کاربردی، درمانی زندگی نه چندان خصوصی</v>
      </c>
      <c r="B589">
        <v>150</v>
      </c>
      <c r="C589" t="s">
        <v>1646</v>
      </c>
      <c r="D589" t="s">
        <v>45</v>
      </c>
      <c r="E589" t="s">
        <v>303</v>
      </c>
      <c r="F589" t="s">
        <v>1865</v>
      </c>
      <c r="G589" t="s">
        <v>1648</v>
      </c>
      <c r="H589" t="s">
        <v>1648</v>
      </c>
      <c r="I589">
        <v>0</v>
      </c>
      <c r="J589">
        <v>0</v>
      </c>
      <c r="K589" t="s">
        <v>1866</v>
      </c>
    </row>
    <row r="590" spans="1:11" x14ac:dyDescent="0.2">
      <c r="A590" t="str">
        <f>HYPERLINK("https://www.tiwall.com//p/samzodaei","سم زدائی")</f>
        <v>سم زدائی</v>
      </c>
      <c r="B590">
        <v>70</v>
      </c>
      <c r="C590" t="s">
        <v>117</v>
      </c>
      <c r="D590" t="s">
        <v>12</v>
      </c>
      <c r="E590" t="s">
        <v>138</v>
      </c>
      <c r="F590" t="s">
        <v>1867</v>
      </c>
      <c r="G590" t="s">
        <v>1868</v>
      </c>
      <c r="H590" t="s">
        <v>1868</v>
      </c>
      <c r="I590">
        <v>0</v>
      </c>
      <c r="J590">
        <v>0</v>
      </c>
      <c r="K590" t="s">
        <v>1869</v>
      </c>
    </row>
    <row r="591" spans="1:11" x14ac:dyDescent="0.2">
      <c r="A591" t="str">
        <f>HYPERLINK("https://www.tiwall.com//p/vazendegi","و زندگی")</f>
        <v>و زندگی</v>
      </c>
      <c r="B591">
        <v>25</v>
      </c>
      <c r="C591" t="s">
        <v>1870</v>
      </c>
      <c r="D591" t="s">
        <v>1871</v>
      </c>
      <c r="E591" t="s">
        <v>13</v>
      </c>
      <c r="F591" t="s">
        <v>1872</v>
      </c>
      <c r="G591" t="s">
        <v>1873</v>
      </c>
      <c r="H591" t="s">
        <v>1873</v>
      </c>
      <c r="I591">
        <v>0</v>
      </c>
      <c r="J591">
        <v>0</v>
      </c>
      <c r="K591" t="s">
        <v>1874</v>
      </c>
    </row>
    <row r="592" spans="1:11" x14ac:dyDescent="0.2">
      <c r="A592" t="str">
        <f>HYPERLINK("https://www.tiwall.com//p/ghors.naan","دروگبر و یک قرص نان")</f>
        <v>دروگبر و یک قرص نان</v>
      </c>
      <c r="B592">
        <v>80</v>
      </c>
      <c r="C592" t="s">
        <v>358</v>
      </c>
      <c r="D592" t="s">
        <v>12</v>
      </c>
      <c r="E592" t="s">
        <v>26</v>
      </c>
      <c r="F592" t="s">
        <v>1875</v>
      </c>
      <c r="G592" t="s">
        <v>283</v>
      </c>
      <c r="H592" t="s">
        <v>283</v>
      </c>
      <c r="I592">
        <v>0</v>
      </c>
      <c r="J592">
        <v>0</v>
      </c>
      <c r="K592" t="s">
        <v>1876</v>
      </c>
    </row>
    <row r="593" spans="1:11" x14ac:dyDescent="0.2">
      <c r="A593" t="str">
        <f>HYPERLINK("https://www.tiwall.com//p/doushezeh","دوشیزه")</f>
        <v>دوشیزه</v>
      </c>
      <c r="B593">
        <v>50</v>
      </c>
      <c r="C593" t="s">
        <v>51</v>
      </c>
      <c r="D593" t="s">
        <v>25</v>
      </c>
      <c r="E593" t="s">
        <v>235</v>
      </c>
      <c r="F593" t="s">
        <v>52</v>
      </c>
      <c r="G593" t="s">
        <v>236</v>
      </c>
      <c r="H593" t="s">
        <v>236</v>
      </c>
      <c r="I593">
        <v>0</v>
      </c>
      <c r="J593">
        <v>0</v>
      </c>
      <c r="K593" t="s">
        <v>1877</v>
      </c>
    </row>
    <row r="594" spans="1:11" x14ac:dyDescent="0.2">
      <c r="A594" t="str">
        <f>HYPERLINK("https://www.tiwall.com//p/aura4","آئورا")</f>
        <v>آئورا</v>
      </c>
      <c r="B594">
        <v>70</v>
      </c>
      <c r="C594" t="s">
        <v>262</v>
      </c>
      <c r="D594" t="s">
        <v>32</v>
      </c>
      <c r="E594" t="s">
        <v>19</v>
      </c>
      <c r="F594" t="s">
        <v>1878</v>
      </c>
      <c r="G594" t="s">
        <v>722</v>
      </c>
      <c r="H594" t="s">
        <v>722</v>
      </c>
      <c r="I594">
        <v>3.1</v>
      </c>
      <c r="J594">
        <v>30</v>
      </c>
      <c r="K594" t="s">
        <v>1879</v>
      </c>
    </row>
    <row r="595" spans="1:11" x14ac:dyDescent="0.2">
      <c r="A595" t="str">
        <f>HYPERLINK("https://www.tiwall.com//p/gozar.saghakhane2","پایین، گذر سقاخانه")</f>
        <v>پایین، گذر سقاخانه</v>
      </c>
      <c r="B595">
        <v>60</v>
      </c>
      <c r="C595" t="s">
        <v>145</v>
      </c>
      <c r="D595" t="s">
        <v>299</v>
      </c>
      <c r="E595" t="s">
        <v>303</v>
      </c>
      <c r="F595" t="s">
        <v>1798</v>
      </c>
      <c r="G595" t="s">
        <v>1880</v>
      </c>
      <c r="H595" t="s">
        <v>492</v>
      </c>
      <c r="I595">
        <v>3.9</v>
      </c>
      <c r="J595">
        <v>80</v>
      </c>
      <c r="K595" t="s">
        <v>1881</v>
      </c>
    </row>
    <row r="596" spans="1:11" x14ac:dyDescent="0.2">
      <c r="A596" t="str">
        <f>HYPERLINK("https://www.tiwall.com//p/khianat.einstein2","خیانت انیشتین")</f>
        <v>خیانت انیشتین</v>
      </c>
      <c r="B596">
        <v>40</v>
      </c>
      <c r="C596" t="s">
        <v>1882</v>
      </c>
      <c r="D596" t="s">
        <v>87</v>
      </c>
      <c r="E596" t="s">
        <v>26</v>
      </c>
      <c r="F596" t="s">
        <v>1883</v>
      </c>
      <c r="G596" t="s">
        <v>941</v>
      </c>
      <c r="H596" t="s">
        <v>438</v>
      </c>
      <c r="I596">
        <v>0</v>
      </c>
      <c r="J596">
        <v>0</v>
      </c>
      <c r="K596" t="s">
        <v>1214</v>
      </c>
    </row>
    <row r="597" spans="1:11" x14ac:dyDescent="0.2">
      <c r="A597" t="str">
        <f>HYPERLINK("https://www.tiwall.com//p/sanjagh.ghofli","سنجاق قفلی")</f>
        <v>سنجاق قفلی</v>
      </c>
      <c r="B597">
        <v>60</v>
      </c>
      <c r="C597" t="s">
        <v>44</v>
      </c>
      <c r="D597" t="s">
        <v>1884</v>
      </c>
      <c r="E597" t="s">
        <v>26</v>
      </c>
      <c r="F597" t="s">
        <v>1885</v>
      </c>
      <c r="G597" t="s">
        <v>1886</v>
      </c>
      <c r="H597" t="s">
        <v>1080</v>
      </c>
      <c r="I597">
        <v>0</v>
      </c>
      <c r="J597">
        <v>0</v>
      </c>
      <c r="K597" t="s">
        <v>1887</v>
      </c>
    </row>
    <row r="598" spans="1:11" x14ac:dyDescent="0.2">
      <c r="A598" t="str">
        <f>HYPERLINK("https://www.tiwall.com//p/yegazekocholou2","یه گاز کوچولو")</f>
        <v>یه گاز کوچولو</v>
      </c>
      <c r="B598">
        <v>35</v>
      </c>
      <c r="C598" t="s">
        <v>344</v>
      </c>
      <c r="D598" t="s">
        <v>87</v>
      </c>
      <c r="E598" t="s">
        <v>26</v>
      </c>
      <c r="F598" t="s">
        <v>162</v>
      </c>
      <c r="G598" t="s">
        <v>1132</v>
      </c>
      <c r="H598" t="s">
        <v>1133</v>
      </c>
      <c r="I598">
        <v>3.3</v>
      </c>
      <c r="J598">
        <v>9</v>
      </c>
      <c r="K598" t="s">
        <v>1888</v>
      </c>
    </row>
    <row r="599" spans="1:11" x14ac:dyDescent="0.2">
      <c r="A599" t="str">
        <f>HYPERLINK("https://www.tiwall.com//p/ast5","است")</f>
        <v>است</v>
      </c>
      <c r="B599">
        <v>45</v>
      </c>
      <c r="C599" t="s">
        <v>1314</v>
      </c>
      <c r="D599" t="s">
        <v>12</v>
      </c>
      <c r="E599" t="s">
        <v>13</v>
      </c>
      <c r="F599" t="s">
        <v>1889</v>
      </c>
      <c r="G599" t="s">
        <v>1890</v>
      </c>
      <c r="H599" t="s">
        <v>1891</v>
      </c>
      <c r="I599">
        <v>3.1</v>
      </c>
      <c r="J599">
        <v>62</v>
      </c>
      <c r="K599" t="s">
        <v>1892</v>
      </c>
    </row>
    <row r="600" spans="1:11" x14ac:dyDescent="0.2">
      <c r="A600" t="str">
        <f>HYPERLINK("https://www.tiwall.com//p/keshty.heyvanat","کشتی حیوانات")</f>
        <v>کشتی حیوانات</v>
      </c>
      <c r="B600">
        <v>40</v>
      </c>
      <c r="C600" t="s">
        <v>397</v>
      </c>
      <c r="D600" t="s">
        <v>156</v>
      </c>
      <c r="E600" t="s">
        <v>46</v>
      </c>
      <c r="F600" t="s">
        <v>1893</v>
      </c>
      <c r="G600" t="s">
        <v>1894</v>
      </c>
      <c r="H600" t="s">
        <v>1895</v>
      </c>
      <c r="I600">
        <v>0</v>
      </c>
      <c r="J600">
        <v>0</v>
      </c>
      <c r="K600" t="s">
        <v>1896</v>
      </c>
    </row>
    <row r="601" spans="1:11" x14ac:dyDescent="0.2">
      <c r="A601" t="str">
        <f>HYPERLINK("https://www.tiwall.com//p/tasmim","تصمیم")</f>
        <v>تصمیم</v>
      </c>
      <c r="B601">
        <v>30</v>
      </c>
      <c r="C601" t="s">
        <v>383</v>
      </c>
      <c r="D601" t="s">
        <v>87</v>
      </c>
      <c r="E601" t="s">
        <v>13</v>
      </c>
      <c r="F601" t="s">
        <v>1897</v>
      </c>
      <c r="G601" t="s">
        <v>1898</v>
      </c>
      <c r="H601" t="s">
        <v>1898</v>
      </c>
      <c r="I601">
        <v>0</v>
      </c>
      <c r="J601">
        <v>0</v>
      </c>
      <c r="K601" t="s">
        <v>1898</v>
      </c>
    </row>
    <row r="602" spans="1:11" x14ac:dyDescent="0.2">
      <c r="A602" t="str">
        <f>HYPERLINK("https://www.tiwall.com//p/yavashnistand","وقتی همه یواش نیستند")</f>
        <v>وقتی همه یواش نیستند</v>
      </c>
      <c r="B602">
        <v>45</v>
      </c>
      <c r="C602" t="s">
        <v>121</v>
      </c>
      <c r="D602" t="s">
        <v>217</v>
      </c>
      <c r="E602" t="s">
        <v>26</v>
      </c>
      <c r="F602" t="s">
        <v>1284</v>
      </c>
      <c r="G602" t="s">
        <v>123</v>
      </c>
      <c r="H602" t="s">
        <v>1899</v>
      </c>
      <c r="I602">
        <v>3.9</v>
      </c>
      <c r="J602">
        <v>8</v>
      </c>
      <c r="K602" t="s">
        <v>1900</v>
      </c>
    </row>
    <row r="603" spans="1:11" x14ac:dyDescent="0.2">
      <c r="A603" t="str">
        <f>HYPERLINK("https://www.tiwall.com//p/ayineyeantigon","آیینه آنتیگون")</f>
        <v>آیینه آنتیگون</v>
      </c>
      <c r="B603">
        <v>40</v>
      </c>
      <c r="C603" t="s">
        <v>44</v>
      </c>
      <c r="D603" t="s">
        <v>12</v>
      </c>
      <c r="E603" t="s">
        <v>88</v>
      </c>
      <c r="F603" t="s">
        <v>104</v>
      </c>
      <c r="G603" t="s">
        <v>1901</v>
      </c>
      <c r="H603" t="s">
        <v>1901</v>
      </c>
      <c r="I603">
        <v>0</v>
      </c>
      <c r="J603">
        <v>0</v>
      </c>
      <c r="K603" t="s">
        <v>1902</v>
      </c>
    </row>
    <row r="604" spans="1:11" x14ac:dyDescent="0.2">
      <c r="A604" t="str">
        <f>HYPERLINK("https://www.tiwall.com//p/playinextratime","بازی در وقت اضافه")</f>
        <v>بازی در وقت اضافه</v>
      </c>
      <c r="B604">
        <v>25</v>
      </c>
      <c r="C604" t="s">
        <v>383</v>
      </c>
      <c r="D604" t="s">
        <v>25</v>
      </c>
      <c r="E604" t="s">
        <v>235</v>
      </c>
      <c r="F604" t="s">
        <v>395</v>
      </c>
      <c r="G604" t="s">
        <v>1903</v>
      </c>
      <c r="H604" t="s">
        <v>1903</v>
      </c>
      <c r="I604">
        <v>0</v>
      </c>
      <c r="J604">
        <v>0</v>
      </c>
      <c r="K604" t="s">
        <v>1904</v>
      </c>
    </row>
    <row r="605" spans="1:11" x14ac:dyDescent="0.2">
      <c r="A605" t="str">
        <f>HYPERLINK("https://www.tiwall.com//p/posht.panjereh","رازِ باغِ پُشتِ پنجره")</f>
        <v>رازِ باغِ پُشتِ پنجره</v>
      </c>
      <c r="B605">
        <v>35</v>
      </c>
      <c r="C605" t="s">
        <v>821</v>
      </c>
      <c r="D605" t="s">
        <v>12</v>
      </c>
      <c r="E605" t="s">
        <v>138</v>
      </c>
      <c r="F605" t="s">
        <v>1905</v>
      </c>
      <c r="G605" t="s">
        <v>1906</v>
      </c>
      <c r="H605" t="s">
        <v>1906</v>
      </c>
      <c r="I605">
        <v>0</v>
      </c>
      <c r="J605">
        <v>0</v>
      </c>
      <c r="K605" t="s">
        <v>1907</v>
      </c>
    </row>
    <row r="606" spans="1:11" x14ac:dyDescent="0.2">
      <c r="A606" t="str">
        <f>HYPERLINK("https://www.tiwall.com//p/zaa","کمدی زا")</f>
        <v>کمدی زا</v>
      </c>
      <c r="B606">
        <v>30</v>
      </c>
      <c r="C606" t="s">
        <v>145</v>
      </c>
      <c r="D606" t="s">
        <v>12</v>
      </c>
      <c r="E606" t="s">
        <v>88</v>
      </c>
      <c r="F606" t="s">
        <v>1344</v>
      </c>
      <c r="G606" t="s">
        <v>1908</v>
      </c>
      <c r="H606" t="s">
        <v>1909</v>
      </c>
      <c r="I606">
        <v>0</v>
      </c>
      <c r="J606">
        <v>0</v>
      </c>
      <c r="K606" t="s">
        <v>1910</v>
      </c>
    </row>
    <row r="607" spans="1:11" x14ac:dyDescent="0.2">
      <c r="A607" t="str">
        <f>HYPERLINK("https://www.tiwall.com//p/house.bernarda.alba6","خانه برناردا آلبا")</f>
        <v>خانه برناردا آلبا</v>
      </c>
      <c r="B607">
        <v>50</v>
      </c>
      <c r="C607" t="s">
        <v>121</v>
      </c>
      <c r="D607" t="s">
        <v>384</v>
      </c>
      <c r="E607" t="s">
        <v>13</v>
      </c>
      <c r="F607" t="s">
        <v>40</v>
      </c>
      <c r="G607" t="s">
        <v>1911</v>
      </c>
      <c r="H607" t="s">
        <v>447</v>
      </c>
      <c r="I607">
        <v>3.1</v>
      </c>
      <c r="J607">
        <v>8</v>
      </c>
      <c r="K607" t="s">
        <v>1912</v>
      </c>
    </row>
    <row r="608" spans="1:11" x14ac:dyDescent="0.2">
      <c r="A608" t="str">
        <f>HYPERLINK("https://www.tiwall.com//p/ernestboodan","اهمیت ارنست بودن")</f>
        <v>اهمیت ارنست بودن</v>
      </c>
      <c r="B608">
        <v>80</v>
      </c>
      <c r="C608" t="s">
        <v>170</v>
      </c>
      <c r="D608" t="s">
        <v>12</v>
      </c>
      <c r="E608" t="s">
        <v>71</v>
      </c>
      <c r="F608" t="s">
        <v>1913</v>
      </c>
      <c r="G608" t="s">
        <v>1914</v>
      </c>
      <c r="H608" t="s">
        <v>1915</v>
      </c>
      <c r="I608">
        <v>3.9</v>
      </c>
      <c r="J608">
        <v>19</v>
      </c>
      <c r="K608" t="s">
        <v>1916</v>
      </c>
    </row>
    <row r="609" spans="1:11" x14ac:dyDescent="0.2">
      <c r="A609" t="str">
        <f>HYPERLINK("https://www.tiwall.com//p/otagh3","اتاق")</f>
        <v>اتاق</v>
      </c>
      <c r="B609">
        <v>50</v>
      </c>
      <c r="C609" t="s">
        <v>132</v>
      </c>
      <c r="D609" t="s">
        <v>12</v>
      </c>
      <c r="E609" t="s">
        <v>71</v>
      </c>
      <c r="F609" t="s">
        <v>257</v>
      </c>
      <c r="G609" t="s">
        <v>1917</v>
      </c>
      <c r="H609" t="s">
        <v>1917</v>
      </c>
      <c r="I609">
        <v>4.2</v>
      </c>
      <c r="J609">
        <v>25</v>
      </c>
      <c r="K609" t="s">
        <v>1918</v>
      </c>
    </row>
    <row r="610" spans="1:11" x14ac:dyDescent="0.2">
      <c r="A610" t="str">
        <f>HYPERLINK("https://www.tiwall.com//p/snow.foam2","برف شادی")</f>
        <v>برف شادی</v>
      </c>
      <c r="B610">
        <v>80</v>
      </c>
      <c r="C610" t="s">
        <v>86</v>
      </c>
      <c r="D610" t="s">
        <v>87</v>
      </c>
      <c r="E610" t="s">
        <v>88</v>
      </c>
      <c r="F610" t="s">
        <v>325</v>
      </c>
      <c r="G610" t="s">
        <v>1561</v>
      </c>
      <c r="H610" t="s">
        <v>1561</v>
      </c>
      <c r="I610">
        <v>4.3</v>
      </c>
      <c r="J610">
        <v>60</v>
      </c>
      <c r="K610" t="s">
        <v>1919</v>
      </c>
    </row>
    <row r="611" spans="1:11" x14ac:dyDescent="0.2">
      <c r="A611" t="str">
        <f>HYPERLINK("https://www.tiwall.com//p/pesar2","پسر")</f>
        <v>پسر</v>
      </c>
      <c r="B611">
        <v>40</v>
      </c>
      <c r="C611" t="s">
        <v>155</v>
      </c>
      <c r="D611" t="s">
        <v>45</v>
      </c>
      <c r="E611" t="s">
        <v>71</v>
      </c>
      <c r="F611" t="s">
        <v>1920</v>
      </c>
      <c r="G611" t="s">
        <v>1921</v>
      </c>
      <c r="H611" t="s">
        <v>91</v>
      </c>
      <c r="I611">
        <v>0</v>
      </c>
      <c r="J611">
        <v>0</v>
      </c>
      <c r="K611" t="s">
        <v>1922</v>
      </c>
    </row>
    <row r="612" spans="1:11" x14ac:dyDescent="0.2">
      <c r="A612" t="str">
        <f>HYPERLINK("https://www.tiwall.com//p/mobarak.japan2","مبارک در ژاپن")</f>
        <v>مبارک در ژاپن</v>
      </c>
      <c r="B612">
        <v>50</v>
      </c>
      <c r="C612" t="s">
        <v>145</v>
      </c>
      <c r="D612" t="s">
        <v>45</v>
      </c>
      <c r="E612" t="s">
        <v>98</v>
      </c>
      <c r="F612" t="s">
        <v>99</v>
      </c>
      <c r="G612" t="s">
        <v>1737</v>
      </c>
      <c r="H612" t="s">
        <v>1737</v>
      </c>
      <c r="I612">
        <v>4.5</v>
      </c>
      <c r="J612">
        <v>87</v>
      </c>
      <c r="K612" t="s">
        <v>1923</v>
      </c>
    </row>
    <row r="613" spans="1:11" x14ac:dyDescent="0.2">
      <c r="A613" t="str">
        <f>HYPERLINK("https://www.tiwall.com//p/gheseh.gharn","قصه قرن")</f>
        <v>قصه قرن</v>
      </c>
      <c r="B613">
        <v>60</v>
      </c>
      <c r="C613" t="s">
        <v>1290</v>
      </c>
      <c r="D613" t="s">
        <v>65</v>
      </c>
      <c r="E613" t="s">
        <v>194</v>
      </c>
      <c r="F613" t="s">
        <v>1681</v>
      </c>
      <c r="G613" t="s">
        <v>236</v>
      </c>
      <c r="H613" t="s">
        <v>236</v>
      </c>
      <c r="I613">
        <v>3.8</v>
      </c>
      <c r="J613">
        <v>19</v>
      </c>
      <c r="K613" t="s">
        <v>1924</v>
      </c>
    </row>
    <row r="614" spans="1:11" x14ac:dyDescent="0.2">
      <c r="A614" t="str">
        <f>HYPERLINK("https://www.tiwall.com//p/hokm2","حکم")</f>
        <v>حکم</v>
      </c>
      <c r="B614">
        <v>35</v>
      </c>
      <c r="C614" t="s">
        <v>64</v>
      </c>
      <c r="D614" t="s">
        <v>12</v>
      </c>
      <c r="E614" t="s">
        <v>235</v>
      </c>
      <c r="F614" t="s">
        <v>1344</v>
      </c>
      <c r="G614" t="s">
        <v>1925</v>
      </c>
      <c r="H614" t="s">
        <v>1926</v>
      </c>
      <c r="I614">
        <v>0</v>
      </c>
      <c r="J614">
        <v>0</v>
      </c>
      <c r="K614" t="s">
        <v>1927</v>
      </c>
    </row>
    <row r="615" spans="1:11" x14ac:dyDescent="0.2">
      <c r="A615" t="str">
        <f>HYPERLINK("https://www.tiwall.com//p/mazhakehsiah","مضحکه سیاه")</f>
        <v>مضحکه سیاه</v>
      </c>
      <c r="B615">
        <v>50</v>
      </c>
      <c r="C615" t="s">
        <v>86</v>
      </c>
      <c r="D615" t="s">
        <v>25</v>
      </c>
      <c r="E615" t="s">
        <v>13</v>
      </c>
      <c r="F615" t="s">
        <v>1928</v>
      </c>
      <c r="G615" t="s">
        <v>886</v>
      </c>
      <c r="H615" t="s">
        <v>886</v>
      </c>
      <c r="I615">
        <v>3.9</v>
      </c>
      <c r="J615">
        <v>30</v>
      </c>
      <c r="K615" t="s">
        <v>1929</v>
      </c>
    </row>
    <row r="616" spans="1:11" x14ac:dyDescent="0.2">
      <c r="A616" t="str">
        <f>HYPERLINK("https://www.tiwall.com//p/60minusone","شصت دقیقه منهای یک")</f>
        <v>شصت دقیقه منهای یک</v>
      </c>
      <c r="B616">
        <v>40</v>
      </c>
      <c r="C616" t="s">
        <v>204</v>
      </c>
      <c r="D616" t="s">
        <v>470</v>
      </c>
      <c r="E616" t="s">
        <v>1930</v>
      </c>
      <c r="F616" t="s">
        <v>205</v>
      </c>
      <c r="G616" t="s">
        <v>1931</v>
      </c>
      <c r="H616" t="s">
        <v>1932</v>
      </c>
      <c r="I616">
        <v>3.2</v>
      </c>
      <c r="J616">
        <v>43</v>
      </c>
      <c r="K616" t="s">
        <v>1933</v>
      </c>
    </row>
    <row r="617" spans="1:11" x14ac:dyDescent="0.2">
      <c r="A617" t="str">
        <f>HYPERLINK("https://www.tiwall.com//p/shabeh.mahtabi.neda","شب مهتابی ندا")</f>
        <v>شب مهتابی ندا</v>
      </c>
      <c r="B617">
        <v>30</v>
      </c>
      <c r="C617" t="s">
        <v>728</v>
      </c>
      <c r="D617" t="s">
        <v>146</v>
      </c>
      <c r="E617" t="s">
        <v>13</v>
      </c>
      <c r="F617" t="s">
        <v>1934</v>
      </c>
      <c r="G617" t="s">
        <v>1935</v>
      </c>
      <c r="H617" t="s">
        <v>1935</v>
      </c>
      <c r="I617">
        <v>0</v>
      </c>
      <c r="J617">
        <v>0</v>
      </c>
      <c r="K617" t="s">
        <v>1936</v>
      </c>
    </row>
    <row r="618" spans="1:11" x14ac:dyDescent="0.2">
      <c r="A618" t="str">
        <f>HYPERLINK("https://www.tiwall.com//p/guards.at.the.taj","نگهبانان تاج محل")</f>
        <v>نگهبانان تاج محل</v>
      </c>
      <c r="B618">
        <v>25</v>
      </c>
      <c r="C618" t="s">
        <v>1937</v>
      </c>
      <c r="D618" t="s">
        <v>87</v>
      </c>
      <c r="E618" t="s">
        <v>71</v>
      </c>
      <c r="F618" t="s">
        <v>694</v>
      </c>
      <c r="G618" t="s">
        <v>1938</v>
      </c>
      <c r="H618" t="s">
        <v>1939</v>
      </c>
      <c r="I618">
        <v>0</v>
      </c>
      <c r="J618">
        <v>0</v>
      </c>
      <c r="K618" t="s">
        <v>1940</v>
      </c>
    </row>
    <row r="619" spans="1:11" x14ac:dyDescent="0.2">
      <c r="A619" t="str">
        <f>HYPERLINK("https://www.tiwall.com//p/kargah2","کارگاه")</f>
        <v>کارگاه</v>
      </c>
      <c r="B619">
        <v>60</v>
      </c>
      <c r="C619" t="s">
        <v>56</v>
      </c>
      <c r="D619" t="s">
        <v>217</v>
      </c>
      <c r="E619" t="s">
        <v>138</v>
      </c>
      <c r="F619" t="s">
        <v>1941</v>
      </c>
      <c r="G619" t="s">
        <v>1942</v>
      </c>
      <c r="H619" t="s">
        <v>1942</v>
      </c>
      <c r="I619">
        <v>0</v>
      </c>
      <c r="J619">
        <v>0</v>
      </c>
      <c r="K619" t="s">
        <v>1943</v>
      </c>
    </row>
    <row r="620" spans="1:11" x14ac:dyDescent="0.2">
      <c r="A620" t="str">
        <f>HYPERLINK("https://www.tiwall.com//p/gorbehdarshab","گربه در نیمه شب")</f>
        <v>گربه در نیمه شب</v>
      </c>
      <c r="B620">
        <v>70</v>
      </c>
      <c r="C620" t="s">
        <v>51</v>
      </c>
      <c r="D620" t="s">
        <v>65</v>
      </c>
      <c r="E620" t="s">
        <v>71</v>
      </c>
      <c r="F620" t="s">
        <v>760</v>
      </c>
      <c r="G620" t="s">
        <v>1153</v>
      </c>
      <c r="H620" t="s">
        <v>1944</v>
      </c>
      <c r="I620">
        <v>4.2</v>
      </c>
      <c r="J620">
        <v>39</v>
      </c>
      <c r="K620" t="s">
        <v>1945</v>
      </c>
    </row>
    <row r="621" spans="1:11" x14ac:dyDescent="0.2">
      <c r="A621" t="str">
        <f>HYPERLINK("https://www.tiwall.com//p/didan.jorm.nist","دیدن این نمایش جرم نیست")</f>
        <v>دیدن این نمایش جرم نیست</v>
      </c>
      <c r="B621">
        <v>35</v>
      </c>
      <c r="C621" t="s">
        <v>121</v>
      </c>
      <c r="D621" t="s">
        <v>25</v>
      </c>
      <c r="E621" t="s">
        <v>13</v>
      </c>
      <c r="F621" t="s">
        <v>1946</v>
      </c>
      <c r="G621" t="s">
        <v>1947</v>
      </c>
      <c r="H621" t="s">
        <v>1947</v>
      </c>
      <c r="I621">
        <v>0</v>
      </c>
      <c r="J621">
        <v>0</v>
      </c>
      <c r="K621" t="s">
        <v>1948</v>
      </c>
    </row>
    <row r="622" spans="1:11" x14ac:dyDescent="0.2">
      <c r="A622" t="str">
        <f>HYPERLINK("https://www.tiwall.com//p/zaminemordegan","زمین مردگان")</f>
        <v>زمین مردگان</v>
      </c>
      <c r="B622">
        <v>30</v>
      </c>
      <c r="C622" t="s">
        <v>121</v>
      </c>
      <c r="D622" t="s">
        <v>146</v>
      </c>
      <c r="E622" t="s">
        <v>303</v>
      </c>
      <c r="F622" t="s">
        <v>732</v>
      </c>
      <c r="G622" t="s">
        <v>1949</v>
      </c>
      <c r="H622" t="s">
        <v>1949</v>
      </c>
      <c r="I622">
        <v>0</v>
      </c>
      <c r="J622">
        <v>0</v>
      </c>
      <c r="K622" t="s">
        <v>1950</v>
      </c>
    </row>
    <row r="623" spans="1:11" x14ac:dyDescent="0.2">
      <c r="A623" t="str">
        <f>HYPERLINK("https://www.tiwall.com//p/gavbarian","سلسله گاوباریان")</f>
        <v>سلسله گاوباریان</v>
      </c>
      <c r="B623">
        <v>60</v>
      </c>
      <c r="C623" t="s">
        <v>501</v>
      </c>
      <c r="D623" t="s">
        <v>45</v>
      </c>
      <c r="E623" t="s">
        <v>71</v>
      </c>
      <c r="F623" t="s">
        <v>940</v>
      </c>
      <c r="G623" t="s">
        <v>1951</v>
      </c>
      <c r="H623" t="s">
        <v>1951</v>
      </c>
      <c r="I623">
        <v>4.2</v>
      </c>
      <c r="J623">
        <v>24</v>
      </c>
      <c r="K623" t="s">
        <v>1952</v>
      </c>
    </row>
    <row r="624" spans="1:11" x14ac:dyDescent="0.2">
      <c r="A624" t="str">
        <f>HYPERLINK("https://www.tiwall.com//p/motorkhoneh","موتورخونه")</f>
        <v>موتورخونه</v>
      </c>
      <c r="B624">
        <v>65</v>
      </c>
      <c r="C624" t="s">
        <v>86</v>
      </c>
      <c r="D624" t="s">
        <v>299</v>
      </c>
      <c r="E624" t="s">
        <v>13</v>
      </c>
      <c r="F624" t="s">
        <v>1953</v>
      </c>
      <c r="G624" t="s">
        <v>1954</v>
      </c>
      <c r="H624" t="s">
        <v>1954</v>
      </c>
      <c r="I624">
        <v>3.9</v>
      </c>
      <c r="J624">
        <v>63</v>
      </c>
      <c r="K624" t="s">
        <v>1955</v>
      </c>
    </row>
    <row r="625" spans="1:11" x14ac:dyDescent="0.2">
      <c r="A625" t="str">
        <f>HYPERLINK("https://www.tiwall.com//p/khodayan","خدایان")</f>
        <v>خدایان</v>
      </c>
      <c r="B625">
        <v>50</v>
      </c>
      <c r="C625" t="s">
        <v>60</v>
      </c>
      <c r="D625" t="s">
        <v>146</v>
      </c>
      <c r="E625" t="s">
        <v>138</v>
      </c>
      <c r="F625" t="s">
        <v>1956</v>
      </c>
      <c r="G625" t="s">
        <v>1957</v>
      </c>
      <c r="H625" t="s">
        <v>1073</v>
      </c>
      <c r="I625">
        <v>4.2</v>
      </c>
      <c r="J625">
        <v>9</v>
      </c>
      <c r="K625" t="s">
        <v>1958</v>
      </c>
    </row>
    <row r="626" spans="1:11" x14ac:dyDescent="0.2">
      <c r="A626" t="str">
        <f>HYPERLINK("https://www.tiwall.com//p/joker5","ژوکر")</f>
        <v>ژوکر</v>
      </c>
      <c r="B626">
        <v>45</v>
      </c>
      <c r="C626" t="s">
        <v>121</v>
      </c>
      <c r="D626" t="s">
        <v>65</v>
      </c>
      <c r="E626" t="s">
        <v>26</v>
      </c>
      <c r="F626" t="s">
        <v>40</v>
      </c>
      <c r="G626" t="s">
        <v>1959</v>
      </c>
      <c r="H626" t="s">
        <v>1960</v>
      </c>
      <c r="I626">
        <v>0</v>
      </c>
      <c r="J626">
        <v>0</v>
      </c>
      <c r="K626" t="s">
        <v>1961</v>
      </c>
    </row>
    <row r="627" spans="1:11" x14ac:dyDescent="0.2">
      <c r="A627" t="str">
        <f>HYPERLINK("https://www.tiwall.com//p/safar.vatan","سفر دور و دراز به وطن")</f>
        <v>سفر دور و دراز به وطن</v>
      </c>
      <c r="B627">
        <v>55</v>
      </c>
      <c r="C627" t="s">
        <v>1215</v>
      </c>
      <c r="D627" t="s">
        <v>470</v>
      </c>
      <c r="E627" t="s">
        <v>235</v>
      </c>
      <c r="F627" t="s">
        <v>260</v>
      </c>
      <c r="G627" t="s">
        <v>48</v>
      </c>
      <c r="H627" t="s">
        <v>985</v>
      </c>
      <c r="I627">
        <v>3</v>
      </c>
      <c r="J627">
        <v>5</v>
      </c>
      <c r="K627" t="s">
        <v>1962</v>
      </c>
    </row>
    <row r="628" spans="1:11" x14ac:dyDescent="0.2">
      <c r="A628" t="str">
        <f>HYPERLINK("https://www.tiwall.com//p/cafeasheghi4","کافه عاشقی")</f>
        <v>کافه عاشقی</v>
      </c>
      <c r="B628">
        <v>150</v>
      </c>
      <c r="C628" t="s">
        <v>410</v>
      </c>
      <c r="D628" t="s">
        <v>45</v>
      </c>
      <c r="E628" t="s">
        <v>303</v>
      </c>
      <c r="F628" t="s">
        <v>555</v>
      </c>
      <c r="G628" t="s">
        <v>1576</v>
      </c>
      <c r="H628" t="s">
        <v>1576</v>
      </c>
      <c r="I628">
        <v>4</v>
      </c>
      <c r="J628">
        <v>56</v>
      </c>
      <c r="K628" t="s">
        <v>1963</v>
      </c>
    </row>
    <row r="629" spans="1:11" x14ac:dyDescent="0.2">
      <c r="A629" t="str">
        <f>HYPERLINK("https://www.tiwall.com//p/ashkan.atabaki","دست نوشته های گمشده ی اشکان اتابکی")</f>
        <v>دست نوشته های گمشده ی اشکان اتابکی</v>
      </c>
      <c r="B629">
        <v>40</v>
      </c>
      <c r="C629" t="s">
        <v>1446</v>
      </c>
      <c r="D629" t="s">
        <v>12</v>
      </c>
      <c r="E629" t="s">
        <v>1428</v>
      </c>
      <c r="F629" t="s">
        <v>571</v>
      </c>
      <c r="G629" t="s">
        <v>1726</v>
      </c>
      <c r="H629" t="s">
        <v>1726</v>
      </c>
      <c r="I629">
        <v>3.6</v>
      </c>
      <c r="J629">
        <v>12</v>
      </c>
      <c r="K629" t="s">
        <v>1964</v>
      </c>
    </row>
    <row r="630" spans="1:11" x14ac:dyDescent="0.2">
      <c r="A630" t="str">
        <f>HYPERLINK("https://www.tiwall.com//p/shekast2","شکست")</f>
        <v>شکست</v>
      </c>
      <c r="B630">
        <v>50</v>
      </c>
      <c r="C630" t="s">
        <v>103</v>
      </c>
      <c r="D630" t="s">
        <v>38</v>
      </c>
      <c r="E630" t="s">
        <v>46</v>
      </c>
      <c r="F630" t="s">
        <v>1965</v>
      </c>
      <c r="G630" t="s">
        <v>1966</v>
      </c>
      <c r="H630" t="s">
        <v>1967</v>
      </c>
      <c r="I630">
        <v>0</v>
      </c>
      <c r="J630">
        <v>0</v>
      </c>
      <c r="K630" t="s">
        <v>1968</v>
      </c>
    </row>
    <row r="631" spans="1:11" x14ac:dyDescent="0.2">
      <c r="A631" t="str">
        <f>HYPERLINK("https://www.tiwall.com//p/tab4","تب")</f>
        <v>تب</v>
      </c>
      <c r="B631">
        <v>70</v>
      </c>
      <c r="C631" t="s">
        <v>151</v>
      </c>
      <c r="D631" t="s">
        <v>38</v>
      </c>
      <c r="E631" t="s">
        <v>13</v>
      </c>
      <c r="F631" t="s">
        <v>778</v>
      </c>
      <c r="G631" t="s">
        <v>1969</v>
      </c>
      <c r="H631" t="s">
        <v>1970</v>
      </c>
      <c r="I631">
        <v>3.9</v>
      </c>
      <c r="J631">
        <v>13</v>
      </c>
      <c r="K631" t="s">
        <v>1971</v>
      </c>
    </row>
    <row r="632" spans="1:11" x14ac:dyDescent="0.2">
      <c r="A632" t="str">
        <f>HYPERLINK("https://www.tiwall.com//p/neveshtsar2","نوشت سر")</f>
        <v>نوشت سر</v>
      </c>
      <c r="B632">
        <v>60</v>
      </c>
      <c r="C632" t="s">
        <v>1314</v>
      </c>
      <c r="D632" t="s">
        <v>87</v>
      </c>
      <c r="E632" t="s">
        <v>208</v>
      </c>
      <c r="F632" t="s">
        <v>395</v>
      </c>
      <c r="G632" t="s">
        <v>1266</v>
      </c>
      <c r="H632" t="s">
        <v>1266</v>
      </c>
      <c r="I632">
        <v>3.3</v>
      </c>
      <c r="J632">
        <v>12</v>
      </c>
      <c r="K632" t="s">
        <v>1972</v>
      </c>
    </row>
    <row r="633" spans="1:11" x14ac:dyDescent="0.2">
      <c r="A633" t="str">
        <f>HYPERLINK("https://www.tiwall.com//p/gorgasha","گُرگاس‌ها  (یا روز به‌خیر آقای وزیر)")</f>
        <v>گُرگاس‌ها  (یا روز به‌خیر آقای وزیر)</v>
      </c>
      <c r="B633">
        <v>60</v>
      </c>
      <c r="C633" t="s">
        <v>362</v>
      </c>
      <c r="D633" t="s">
        <v>87</v>
      </c>
      <c r="E633" t="s">
        <v>39</v>
      </c>
      <c r="F633" t="s">
        <v>787</v>
      </c>
      <c r="G633" t="s">
        <v>1973</v>
      </c>
      <c r="H633" t="s">
        <v>1973</v>
      </c>
      <c r="I633">
        <v>3.6</v>
      </c>
      <c r="J633">
        <v>47</v>
      </c>
      <c r="K633" t="s">
        <v>1974</v>
      </c>
    </row>
    <row r="634" spans="1:11" x14ac:dyDescent="0.2">
      <c r="A634" t="str">
        <f>HYPERLINK("https://www.tiwall.com//p/gavmish3","گاومیش")</f>
        <v>گاومیش</v>
      </c>
      <c r="B634">
        <v>40</v>
      </c>
      <c r="C634" t="s">
        <v>199</v>
      </c>
      <c r="D634" t="s">
        <v>146</v>
      </c>
      <c r="E634" t="s">
        <v>138</v>
      </c>
      <c r="F634" t="s">
        <v>1975</v>
      </c>
      <c r="G634" t="s">
        <v>1205</v>
      </c>
      <c r="H634" t="s">
        <v>1976</v>
      </c>
      <c r="I634">
        <v>0</v>
      </c>
      <c r="J634">
        <v>0</v>
      </c>
      <c r="K634" t="s">
        <v>1977</v>
      </c>
    </row>
    <row r="635" spans="1:11" x14ac:dyDescent="0.2">
      <c r="A635" t="str">
        <f>HYPERLINK("https://www.tiwall.com//p/bazporsvaredmishavad3","بازپرس وارد می‌شود")</f>
        <v>بازپرس وارد می‌شود</v>
      </c>
      <c r="B635">
        <v>40</v>
      </c>
      <c r="C635" t="s">
        <v>44</v>
      </c>
      <c r="D635" t="s">
        <v>12</v>
      </c>
      <c r="E635" t="s">
        <v>26</v>
      </c>
      <c r="F635" t="s">
        <v>304</v>
      </c>
      <c r="G635" t="s">
        <v>1317</v>
      </c>
      <c r="H635" t="s">
        <v>1318</v>
      </c>
      <c r="I635">
        <v>0</v>
      </c>
      <c r="J635">
        <v>0</v>
      </c>
      <c r="K635" t="s">
        <v>1319</v>
      </c>
    </row>
    <row r="636" spans="1:11" x14ac:dyDescent="0.2">
      <c r="A636" t="str">
        <f>HYPERLINK("https://www.tiwall.com//p/jimy.nemisheh2","هیچکس جیمی نمیشه")</f>
        <v>هیچکس جیمی نمیشه</v>
      </c>
      <c r="B636">
        <v>50</v>
      </c>
      <c r="C636" t="s">
        <v>204</v>
      </c>
      <c r="D636" t="s">
        <v>12</v>
      </c>
      <c r="E636" t="s">
        <v>26</v>
      </c>
      <c r="F636" t="s">
        <v>668</v>
      </c>
      <c r="G636" t="s">
        <v>458</v>
      </c>
      <c r="H636" t="s">
        <v>1978</v>
      </c>
      <c r="I636">
        <v>3.9</v>
      </c>
      <c r="J636">
        <v>59</v>
      </c>
      <c r="K636" t="s">
        <v>1979</v>
      </c>
    </row>
    <row r="637" spans="1:11" x14ac:dyDescent="0.2">
      <c r="A637" t="str">
        <f>HYPERLINK("https://www.tiwall.com//p/marz7","مرز")</f>
        <v>مرز</v>
      </c>
      <c r="B637">
        <v>30</v>
      </c>
      <c r="C637" t="s">
        <v>1980</v>
      </c>
      <c r="D637" t="s">
        <v>38</v>
      </c>
      <c r="E637" t="s">
        <v>13</v>
      </c>
      <c r="F637" t="s">
        <v>388</v>
      </c>
      <c r="G637" t="s">
        <v>1103</v>
      </c>
      <c r="H637" t="s">
        <v>1103</v>
      </c>
      <c r="I637">
        <v>0</v>
      </c>
      <c r="J637">
        <v>0</v>
      </c>
      <c r="K637" t="s">
        <v>1981</v>
      </c>
    </row>
    <row r="638" spans="1:11" x14ac:dyDescent="0.2">
      <c r="A638" t="str">
        <f>HYPERLINK("https://www.tiwall.com//p/payanbardegi2","پایان بردگی سردار")</f>
        <v>پایان بردگی سردار</v>
      </c>
      <c r="B638">
        <v>40</v>
      </c>
      <c r="C638" t="s">
        <v>137</v>
      </c>
      <c r="D638" t="s">
        <v>12</v>
      </c>
      <c r="E638" t="s">
        <v>26</v>
      </c>
      <c r="F638" t="s">
        <v>181</v>
      </c>
      <c r="G638" t="s">
        <v>1982</v>
      </c>
      <c r="H638" t="s">
        <v>1982</v>
      </c>
      <c r="I638">
        <v>0</v>
      </c>
      <c r="J638">
        <v>0</v>
      </c>
      <c r="K638" t="s">
        <v>1983</v>
      </c>
    </row>
    <row r="639" spans="1:11" x14ac:dyDescent="0.2">
      <c r="A639" t="str">
        <f>HYPERLINK("https://www.tiwall.com//p/marg.hitler","مرگ هیتلر به روایت تلفنچی!")</f>
        <v>مرگ هیتلر به روایت تلفنچی!</v>
      </c>
      <c r="B639">
        <v>60</v>
      </c>
      <c r="C639" t="s">
        <v>1290</v>
      </c>
      <c r="D639" t="s">
        <v>12</v>
      </c>
      <c r="E639" t="s">
        <v>26</v>
      </c>
      <c r="F639" t="s">
        <v>359</v>
      </c>
      <c r="G639" t="s">
        <v>206</v>
      </c>
      <c r="H639" t="s">
        <v>206</v>
      </c>
      <c r="I639">
        <v>3.6</v>
      </c>
      <c r="J639">
        <v>19</v>
      </c>
      <c r="K639" t="s">
        <v>1984</v>
      </c>
    </row>
    <row r="640" spans="1:11" x14ac:dyDescent="0.2">
      <c r="A640" t="str">
        <f>HYPERLINK("https://www.tiwall.com//p/taghsimbarsefr","تقسیم بر صفر")</f>
        <v>تقسیم بر صفر</v>
      </c>
      <c r="B640">
        <v>80</v>
      </c>
      <c r="C640" t="s">
        <v>224</v>
      </c>
      <c r="D640" t="s">
        <v>146</v>
      </c>
      <c r="E640" t="s">
        <v>71</v>
      </c>
      <c r="F640" t="s">
        <v>506</v>
      </c>
      <c r="G640" t="s">
        <v>856</v>
      </c>
      <c r="H640" t="s">
        <v>1985</v>
      </c>
      <c r="I640">
        <v>3.8</v>
      </c>
      <c r="J640">
        <v>11</v>
      </c>
      <c r="K640" t="s">
        <v>1986</v>
      </c>
    </row>
    <row r="641" spans="1:11" x14ac:dyDescent="0.2">
      <c r="A641" t="str">
        <f>HYPERLINK("https://www.tiwall.com//p/seraydar","سرایدار")</f>
        <v>سرایدار</v>
      </c>
      <c r="B641">
        <v>50</v>
      </c>
      <c r="C641" t="s">
        <v>60</v>
      </c>
      <c r="D641" t="s">
        <v>87</v>
      </c>
      <c r="E641" t="s">
        <v>71</v>
      </c>
      <c r="F641" t="s">
        <v>1987</v>
      </c>
      <c r="G641" t="s">
        <v>1988</v>
      </c>
      <c r="H641" t="s">
        <v>1989</v>
      </c>
      <c r="I641">
        <v>3.2</v>
      </c>
      <c r="J641">
        <v>27</v>
      </c>
      <c r="K641" t="s">
        <v>1990</v>
      </c>
    </row>
    <row r="642" spans="1:11" x14ac:dyDescent="0.2">
      <c r="A642" t="str">
        <f>HYPERLINK("https://www.tiwall.com//p/mordeshour2","مرده شور")</f>
        <v>مرده شور</v>
      </c>
      <c r="B642">
        <v>50</v>
      </c>
      <c r="C642" t="s">
        <v>24</v>
      </c>
      <c r="D642" t="s">
        <v>384</v>
      </c>
      <c r="E642" t="s">
        <v>138</v>
      </c>
      <c r="F642" t="s">
        <v>826</v>
      </c>
      <c r="G642" t="s">
        <v>1991</v>
      </c>
      <c r="H642" t="s">
        <v>1992</v>
      </c>
      <c r="I642">
        <v>0</v>
      </c>
      <c r="J642">
        <v>0</v>
      </c>
      <c r="K642" t="s">
        <v>1993</v>
      </c>
    </row>
    <row r="643" spans="1:11" x14ac:dyDescent="0.2">
      <c r="A643" t="str">
        <f>HYPERLINK("https://www.tiwall.com//p/afsanebabr5","افسانه ببر")</f>
        <v>افسانه ببر</v>
      </c>
      <c r="B643">
        <v>80</v>
      </c>
      <c r="C643" t="s">
        <v>170</v>
      </c>
      <c r="D643" t="s">
        <v>87</v>
      </c>
      <c r="E643" t="s">
        <v>13</v>
      </c>
      <c r="F643" t="s">
        <v>1994</v>
      </c>
      <c r="G643" t="s">
        <v>1995</v>
      </c>
      <c r="H643" t="s">
        <v>1084</v>
      </c>
      <c r="I643">
        <v>0</v>
      </c>
      <c r="J643">
        <v>0</v>
      </c>
      <c r="K643" t="s">
        <v>1996</v>
      </c>
    </row>
    <row r="644" spans="1:11" x14ac:dyDescent="0.2">
      <c r="A644" t="str">
        <f>HYPERLINK("https://www.tiwall.com//p/tajern","تاجران")</f>
        <v>تاجران</v>
      </c>
      <c r="B644">
        <v>35</v>
      </c>
      <c r="C644" t="s">
        <v>103</v>
      </c>
      <c r="D644" t="s">
        <v>217</v>
      </c>
      <c r="E644" t="s">
        <v>415</v>
      </c>
      <c r="F644" t="s">
        <v>1997</v>
      </c>
      <c r="G644" t="s">
        <v>1998</v>
      </c>
      <c r="H644" t="s">
        <v>1999</v>
      </c>
      <c r="I644">
        <v>0</v>
      </c>
      <c r="J644">
        <v>0</v>
      </c>
      <c r="K644" t="s">
        <v>2000</v>
      </c>
    </row>
    <row r="645" spans="1:11" x14ac:dyDescent="0.2">
      <c r="A645" t="str">
        <f>HYPERLINK("https://www.tiwall.com//p/codeine","کدئین")</f>
        <v>کدئین</v>
      </c>
      <c r="B645">
        <v>40</v>
      </c>
      <c r="C645" t="s">
        <v>44</v>
      </c>
      <c r="D645" t="s">
        <v>70</v>
      </c>
      <c r="E645" t="s">
        <v>19</v>
      </c>
      <c r="F645" t="s">
        <v>2001</v>
      </c>
      <c r="G645" t="s">
        <v>472</v>
      </c>
      <c r="H645" t="s">
        <v>2002</v>
      </c>
      <c r="I645">
        <v>3.6</v>
      </c>
      <c r="J645">
        <v>5</v>
      </c>
      <c r="K645" t="s">
        <v>2003</v>
      </c>
    </row>
    <row r="646" spans="1:11" x14ac:dyDescent="0.2">
      <c r="A646" t="str">
        <f>HYPERLINK("https://www.tiwall.com//p/otagh4","اتاق")</f>
        <v>اتاق</v>
      </c>
      <c r="B646">
        <v>100</v>
      </c>
      <c r="C646" t="s">
        <v>60</v>
      </c>
      <c r="D646" t="s">
        <v>256</v>
      </c>
      <c r="E646" t="s">
        <v>88</v>
      </c>
      <c r="F646" t="s">
        <v>295</v>
      </c>
      <c r="G646" t="s">
        <v>2004</v>
      </c>
      <c r="H646" t="s">
        <v>1989</v>
      </c>
      <c r="I646">
        <v>3.9</v>
      </c>
      <c r="J646">
        <v>16</v>
      </c>
      <c r="K646" t="s">
        <v>2005</v>
      </c>
    </row>
    <row r="647" spans="1:11" x14ac:dyDescent="0.2">
      <c r="A647" t="str">
        <f>HYPERLINK("https://www.tiwall.com//p/marg.esteareh","مرگ و استعاره")</f>
        <v>مرگ و استعاره</v>
      </c>
      <c r="B647">
        <v>40</v>
      </c>
      <c r="C647" t="s">
        <v>204</v>
      </c>
      <c r="D647" t="s">
        <v>45</v>
      </c>
      <c r="E647" t="s">
        <v>71</v>
      </c>
      <c r="F647" t="s">
        <v>1997</v>
      </c>
      <c r="G647" t="s">
        <v>2006</v>
      </c>
      <c r="H647" t="s">
        <v>2007</v>
      </c>
      <c r="I647">
        <v>0</v>
      </c>
      <c r="J647">
        <v>0</v>
      </c>
      <c r="K647" t="s">
        <v>2008</v>
      </c>
    </row>
    <row r="648" spans="1:11" x14ac:dyDescent="0.2">
      <c r="A648" t="str">
        <f>HYPERLINK("https://www.tiwall.com//p/talafat","تلفات")</f>
        <v>تلفات</v>
      </c>
      <c r="B648">
        <v>30</v>
      </c>
      <c r="C648" t="s">
        <v>369</v>
      </c>
      <c r="D648" t="s">
        <v>217</v>
      </c>
      <c r="E648" t="s">
        <v>138</v>
      </c>
      <c r="F648" t="s">
        <v>2009</v>
      </c>
      <c r="G648" t="s">
        <v>520</v>
      </c>
      <c r="H648" t="s">
        <v>520</v>
      </c>
      <c r="I648">
        <v>4.4000000000000004</v>
      </c>
      <c r="J648">
        <v>18</v>
      </c>
      <c r="K648" t="s">
        <v>2010</v>
      </c>
    </row>
    <row r="649" spans="1:11" x14ac:dyDescent="0.2">
      <c r="A649" t="str">
        <f>HYPERLINK("https://www.tiwall.com//p/jonoubamigh","جنوب عمیق")</f>
        <v>جنوب عمیق</v>
      </c>
      <c r="B649">
        <v>60</v>
      </c>
      <c r="C649" t="s">
        <v>86</v>
      </c>
      <c r="D649" t="s">
        <v>12</v>
      </c>
      <c r="E649" t="s">
        <v>13</v>
      </c>
      <c r="F649" t="s">
        <v>1040</v>
      </c>
      <c r="G649" t="s">
        <v>2011</v>
      </c>
      <c r="H649" t="s">
        <v>2011</v>
      </c>
      <c r="I649">
        <v>2.1</v>
      </c>
      <c r="J649">
        <v>7</v>
      </c>
      <c r="K649" t="s">
        <v>2012</v>
      </c>
    </row>
    <row r="650" spans="1:11" x14ac:dyDescent="0.2">
      <c r="A650" t="str">
        <f>HYPERLINK("https://www.tiwall.com//p/gosheh.dayereh","یه گوشه از دایره")</f>
        <v>یه گوشه از دایره</v>
      </c>
      <c r="B650">
        <v>90</v>
      </c>
      <c r="C650" t="s">
        <v>170</v>
      </c>
      <c r="D650" t="s">
        <v>65</v>
      </c>
      <c r="E650" t="s">
        <v>26</v>
      </c>
      <c r="F650" t="s">
        <v>740</v>
      </c>
      <c r="G650" t="s">
        <v>2013</v>
      </c>
      <c r="H650" t="s">
        <v>2013</v>
      </c>
      <c r="I650">
        <v>4.5999999999999996</v>
      </c>
      <c r="J650">
        <v>8</v>
      </c>
      <c r="K650" t="s">
        <v>2014</v>
      </c>
    </row>
    <row r="651" spans="1:11" x14ac:dyDescent="0.2">
      <c r="A651" t="str">
        <f>HYPERLINK("https://www.tiwall.com//p/bargashtan3","برگشتن")</f>
        <v>برگشتن</v>
      </c>
      <c r="B651">
        <v>30</v>
      </c>
      <c r="C651" t="s">
        <v>825</v>
      </c>
      <c r="D651" t="s">
        <v>12</v>
      </c>
      <c r="E651" t="s">
        <v>13</v>
      </c>
      <c r="F651" t="s">
        <v>109</v>
      </c>
      <c r="G651" t="s">
        <v>2015</v>
      </c>
      <c r="H651" t="s">
        <v>2016</v>
      </c>
      <c r="I651">
        <v>0</v>
      </c>
      <c r="J651">
        <v>0</v>
      </c>
      <c r="K651" t="s">
        <v>2017</v>
      </c>
    </row>
    <row r="652" spans="1:11" x14ac:dyDescent="0.2">
      <c r="A652" t="str">
        <f>HYPERLINK("https://www.tiwall.com//p/gomidanfamily","خانواده گومیدان")</f>
        <v>خانواده گومیدان</v>
      </c>
      <c r="B652">
        <v>50</v>
      </c>
      <c r="C652" t="s">
        <v>24</v>
      </c>
      <c r="D652" t="s">
        <v>217</v>
      </c>
      <c r="E652" t="s">
        <v>138</v>
      </c>
      <c r="F652" t="s">
        <v>2018</v>
      </c>
      <c r="G652" t="s">
        <v>2019</v>
      </c>
      <c r="H652" t="s">
        <v>621</v>
      </c>
      <c r="I652">
        <v>0</v>
      </c>
      <c r="J652">
        <v>0</v>
      </c>
      <c r="K652" t="s">
        <v>2020</v>
      </c>
    </row>
    <row r="653" spans="1:11" x14ac:dyDescent="0.2">
      <c r="A653" t="str">
        <f>HYPERLINK("https://www.tiwall.com//p/koori3","کوری")</f>
        <v>کوری</v>
      </c>
      <c r="B653">
        <v>60</v>
      </c>
      <c r="C653" t="s">
        <v>713</v>
      </c>
      <c r="D653" t="s">
        <v>12</v>
      </c>
      <c r="E653" t="s">
        <v>13</v>
      </c>
      <c r="F653" t="s">
        <v>99</v>
      </c>
      <c r="G653" t="s">
        <v>2021</v>
      </c>
      <c r="H653" t="s">
        <v>2021</v>
      </c>
      <c r="I653">
        <v>0</v>
      </c>
      <c r="J653">
        <v>0</v>
      </c>
      <c r="K653" t="s">
        <v>2022</v>
      </c>
    </row>
    <row r="654" spans="1:11" x14ac:dyDescent="0.2">
      <c r="A654" t="str">
        <f>HYPERLINK("https://www.tiwall.com//p/libero","لیبرو")</f>
        <v>لیبرو</v>
      </c>
      <c r="B654">
        <v>120</v>
      </c>
      <c r="C654" t="s">
        <v>18</v>
      </c>
      <c r="D654" t="s">
        <v>25</v>
      </c>
      <c r="E654" t="s">
        <v>71</v>
      </c>
      <c r="F654" t="s">
        <v>388</v>
      </c>
      <c r="G654" t="s">
        <v>2023</v>
      </c>
      <c r="H654" t="s">
        <v>2024</v>
      </c>
      <c r="I654">
        <v>3.9</v>
      </c>
      <c r="J654">
        <v>12</v>
      </c>
      <c r="K654" t="s">
        <v>2025</v>
      </c>
    </row>
    <row r="655" spans="1:11" x14ac:dyDescent="0.2">
      <c r="A655" t="str">
        <f>HYPERLINK("https://www.tiwall.com//p/khune.ghadimi","خونه قدیمی")</f>
        <v>خونه قدیمی</v>
      </c>
      <c r="B655">
        <v>35</v>
      </c>
      <c r="C655" t="s">
        <v>2026</v>
      </c>
      <c r="D655" t="s">
        <v>45</v>
      </c>
      <c r="E655" t="s">
        <v>909</v>
      </c>
      <c r="F655" t="s">
        <v>2027</v>
      </c>
      <c r="G655" t="s">
        <v>2028</v>
      </c>
      <c r="H655" t="s">
        <v>2029</v>
      </c>
      <c r="I655">
        <v>0</v>
      </c>
      <c r="J655">
        <v>0</v>
      </c>
      <c r="K655" t="s">
        <v>2030</v>
      </c>
    </row>
    <row r="656" spans="1:11" x14ac:dyDescent="0.2">
      <c r="A656" t="str">
        <f>HYPERLINK("https://www.tiwall.com//p/antitez","آنتی تز")</f>
        <v>آنتی تز</v>
      </c>
      <c r="B656">
        <v>50</v>
      </c>
      <c r="C656" t="s">
        <v>1215</v>
      </c>
      <c r="D656" t="s">
        <v>87</v>
      </c>
      <c r="E656" t="s">
        <v>26</v>
      </c>
      <c r="F656" t="s">
        <v>506</v>
      </c>
      <c r="G656" t="s">
        <v>2031</v>
      </c>
      <c r="H656" t="s">
        <v>2032</v>
      </c>
      <c r="I656">
        <v>3.6</v>
      </c>
      <c r="J656">
        <v>11</v>
      </c>
      <c r="K656" t="s">
        <v>2033</v>
      </c>
    </row>
    <row r="657" spans="1:11" x14ac:dyDescent="0.2">
      <c r="A657" t="str">
        <f>HYPERLINK("https://www.tiwall.com//p/barfsiyah","برف سیاه")</f>
        <v>برف سیاه</v>
      </c>
      <c r="B657">
        <v>70</v>
      </c>
      <c r="C657" t="s">
        <v>24</v>
      </c>
      <c r="D657" t="s">
        <v>1353</v>
      </c>
      <c r="E657" t="s">
        <v>13</v>
      </c>
      <c r="F657" t="s">
        <v>226</v>
      </c>
      <c r="G657" t="s">
        <v>1342</v>
      </c>
      <c r="H657" t="s">
        <v>1342</v>
      </c>
      <c r="I657">
        <v>3.8</v>
      </c>
      <c r="J657">
        <v>14</v>
      </c>
      <c r="K657" t="s">
        <v>2034</v>
      </c>
    </row>
    <row r="658" spans="1:11" x14ac:dyDescent="0.2">
      <c r="A658" t="str">
        <f>HYPERLINK("https://www.tiwall.com//p/otolsoron","اتول سورون")</f>
        <v>اتول سورون</v>
      </c>
      <c r="B658">
        <v>60</v>
      </c>
      <c r="C658" t="s">
        <v>31</v>
      </c>
      <c r="D658" t="s">
        <v>87</v>
      </c>
      <c r="E658" t="s">
        <v>303</v>
      </c>
      <c r="F658" t="s">
        <v>610</v>
      </c>
      <c r="G658" t="s">
        <v>2035</v>
      </c>
      <c r="H658" t="s">
        <v>428</v>
      </c>
      <c r="I658">
        <v>3.7</v>
      </c>
      <c r="J658">
        <v>35</v>
      </c>
      <c r="K658" t="s">
        <v>2036</v>
      </c>
    </row>
    <row r="659" spans="1:11" x14ac:dyDescent="0.2">
      <c r="A659" t="str">
        <f>HYPERLINK("https://www.tiwall.com//p/iranian","ایرانیان")</f>
        <v>ایرانیان</v>
      </c>
      <c r="B659">
        <v>50</v>
      </c>
      <c r="C659" t="s">
        <v>199</v>
      </c>
      <c r="D659" t="s">
        <v>146</v>
      </c>
      <c r="E659" t="s">
        <v>19</v>
      </c>
      <c r="F659" t="s">
        <v>519</v>
      </c>
      <c r="G659" t="s">
        <v>2037</v>
      </c>
      <c r="H659" t="s">
        <v>2038</v>
      </c>
      <c r="I659">
        <v>0</v>
      </c>
      <c r="J659">
        <v>0</v>
      </c>
      <c r="K659" t="s">
        <v>2039</v>
      </c>
    </row>
    <row r="660" spans="1:11" x14ac:dyDescent="0.2">
      <c r="A660" t="str">
        <f>HYPERLINK("https://www.tiwall.com//p/shabi.dar.tehran2","شبی در طهران")</f>
        <v>شبی در طهران</v>
      </c>
      <c r="B660">
        <v>80</v>
      </c>
      <c r="C660" t="s">
        <v>24</v>
      </c>
      <c r="D660" t="s">
        <v>256</v>
      </c>
      <c r="E660" t="s">
        <v>13</v>
      </c>
      <c r="F660" t="s">
        <v>2040</v>
      </c>
      <c r="G660" t="s">
        <v>631</v>
      </c>
      <c r="H660" t="s">
        <v>538</v>
      </c>
      <c r="I660">
        <v>3.3</v>
      </c>
      <c r="J660">
        <v>29</v>
      </c>
      <c r="K660" t="s">
        <v>2041</v>
      </c>
    </row>
    <row r="661" spans="1:11" x14ac:dyDescent="0.2">
      <c r="A661" t="str">
        <f>HYPERLINK("https://www.tiwall.com//p/deldadegi","دلدادگی کهن")</f>
        <v>دلدادگی کهن</v>
      </c>
      <c r="B661">
        <v>30</v>
      </c>
      <c r="C661" t="s">
        <v>2042</v>
      </c>
      <c r="D661" t="s">
        <v>146</v>
      </c>
      <c r="E661" t="s">
        <v>26</v>
      </c>
      <c r="F661" t="s">
        <v>555</v>
      </c>
      <c r="G661" t="s">
        <v>2043</v>
      </c>
      <c r="H661" t="s">
        <v>2043</v>
      </c>
      <c r="I661">
        <v>0</v>
      </c>
      <c r="J661">
        <v>0</v>
      </c>
      <c r="K661" t="s">
        <v>2044</v>
      </c>
    </row>
    <row r="662" spans="1:11" x14ac:dyDescent="0.2">
      <c r="A662" t="str">
        <f>HYPERLINK("https://www.tiwall.com//p/revayat.zara","روایت هایی از زارا")</f>
        <v>روایت هایی از زارا</v>
      </c>
      <c r="B662">
        <v>50</v>
      </c>
      <c r="C662" t="s">
        <v>242</v>
      </c>
      <c r="D662" t="s">
        <v>32</v>
      </c>
      <c r="E662" t="s">
        <v>194</v>
      </c>
      <c r="F662" t="s">
        <v>778</v>
      </c>
      <c r="G662" t="s">
        <v>2045</v>
      </c>
      <c r="H662" t="s">
        <v>2045</v>
      </c>
      <c r="I662">
        <v>0</v>
      </c>
      <c r="J662">
        <v>0</v>
      </c>
      <c r="K662" t="s">
        <v>2046</v>
      </c>
    </row>
    <row r="663" spans="1:11" x14ac:dyDescent="0.2">
      <c r="A663" t="str">
        <f>HYPERLINK("https://www.tiwall.com//p/moscow.bagheshah","مسکو، فلکه باغشاه")</f>
        <v>مسکو، فلکه باغشاه</v>
      </c>
      <c r="B663">
        <v>35</v>
      </c>
      <c r="C663" t="s">
        <v>56</v>
      </c>
      <c r="D663" t="s">
        <v>217</v>
      </c>
      <c r="E663" t="s">
        <v>19</v>
      </c>
      <c r="F663" t="s">
        <v>2047</v>
      </c>
      <c r="G663" t="s">
        <v>2048</v>
      </c>
      <c r="H663" t="s">
        <v>2049</v>
      </c>
      <c r="I663">
        <v>0</v>
      </c>
      <c r="J663">
        <v>0</v>
      </c>
      <c r="K663" t="s">
        <v>2050</v>
      </c>
    </row>
    <row r="664" spans="1:11" x14ac:dyDescent="0.2">
      <c r="A664" t="str">
        <f>HYPERLINK("https://www.tiwall.com//p/majhoul2","مجهول ابن اجل")</f>
        <v>مجهول ابن اجل</v>
      </c>
      <c r="B664">
        <v>60</v>
      </c>
      <c r="C664" t="s">
        <v>199</v>
      </c>
      <c r="D664" t="s">
        <v>12</v>
      </c>
      <c r="E664" t="s">
        <v>13</v>
      </c>
      <c r="F664" t="s">
        <v>480</v>
      </c>
      <c r="G664" t="s">
        <v>711</v>
      </c>
      <c r="H664" t="s">
        <v>711</v>
      </c>
      <c r="I664">
        <v>0</v>
      </c>
      <c r="J664">
        <v>0</v>
      </c>
      <c r="K664" t="s">
        <v>2051</v>
      </c>
    </row>
    <row r="665" spans="1:11" x14ac:dyDescent="0.2">
      <c r="A665" t="str">
        <f>HYPERLINK("https://www.tiwall.com//p/p.o.v2","P.O.V")</f>
        <v>P.O.V</v>
      </c>
      <c r="B665">
        <v>40</v>
      </c>
      <c r="C665" t="s">
        <v>86</v>
      </c>
      <c r="D665" t="s">
        <v>957</v>
      </c>
      <c r="E665" t="s">
        <v>13</v>
      </c>
      <c r="F665" t="s">
        <v>321</v>
      </c>
      <c r="G665" t="s">
        <v>2052</v>
      </c>
      <c r="H665" t="s">
        <v>2052</v>
      </c>
      <c r="I665">
        <v>0</v>
      </c>
      <c r="J665">
        <v>0</v>
      </c>
      <c r="K665" t="s">
        <v>2052</v>
      </c>
    </row>
    <row r="666" spans="1:11" x14ac:dyDescent="0.2">
      <c r="A666" t="str">
        <f>HYPERLINK("https://www.tiwall.com//p/hagakore","هاگاکوره - تراژدی در یک پرده")</f>
        <v>هاگاکوره - تراژدی در یک پرده</v>
      </c>
      <c r="B666">
        <v>70</v>
      </c>
      <c r="C666" t="s">
        <v>204</v>
      </c>
      <c r="D666" t="s">
        <v>384</v>
      </c>
      <c r="E666" t="s">
        <v>13</v>
      </c>
      <c r="F666" t="s">
        <v>506</v>
      </c>
      <c r="G666" t="s">
        <v>2053</v>
      </c>
      <c r="H666" t="s">
        <v>2053</v>
      </c>
      <c r="I666">
        <v>2.9</v>
      </c>
      <c r="J666">
        <v>22</v>
      </c>
      <c r="K666" t="s">
        <v>2054</v>
      </c>
    </row>
    <row r="667" spans="1:11" x14ac:dyDescent="0.2">
      <c r="A667" t="str">
        <f>HYPERLINK("https://www.tiwall.com//p/democracysefareshi","دموکراسی سفارشی")</f>
        <v>دموکراسی سفارشی</v>
      </c>
      <c r="B667">
        <v>30</v>
      </c>
      <c r="C667" t="s">
        <v>2055</v>
      </c>
      <c r="D667" t="s">
        <v>32</v>
      </c>
      <c r="E667" t="s">
        <v>71</v>
      </c>
      <c r="F667" t="s">
        <v>2056</v>
      </c>
      <c r="G667" t="s">
        <v>1648</v>
      </c>
      <c r="H667" t="s">
        <v>1648</v>
      </c>
      <c r="I667">
        <v>0</v>
      </c>
      <c r="J667">
        <v>0</v>
      </c>
      <c r="K667" t="s">
        <v>2057</v>
      </c>
    </row>
    <row r="668" spans="1:11" x14ac:dyDescent="0.2">
      <c r="A668" t="str">
        <f>HYPERLINK("https://www.tiwall.com//p/mokhtalefim2","مختلفیم")</f>
        <v>مختلفیم</v>
      </c>
      <c r="B668">
        <v>60</v>
      </c>
      <c r="C668" t="s">
        <v>410</v>
      </c>
      <c r="D668" t="s">
        <v>32</v>
      </c>
      <c r="E668" t="s">
        <v>303</v>
      </c>
      <c r="F668" t="s">
        <v>732</v>
      </c>
      <c r="G668" t="s">
        <v>1139</v>
      </c>
      <c r="H668" t="s">
        <v>2058</v>
      </c>
      <c r="I668">
        <v>4.0999999999999996</v>
      </c>
      <c r="J668">
        <v>50</v>
      </c>
      <c r="K668" t="s">
        <v>2059</v>
      </c>
    </row>
    <row r="669" spans="1:11" x14ac:dyDescent="0.2">
      <c r="A669" t="str">
        <f>HYPERLINK("https://www.tiwall.com//p/tajrobehayeakhir10","تجربه های اخیر")</f>
        <v>تجربه های اخیر</v>
      </c>
      <c r="B669">
        <v>50</v>
      </c>
      <c r="C669" t="s">
        <v>112</v>
      </c>
      <c r="D669" t="s">
        <v>146</v>
      </c>
      <c r="E669" t="s">
        <v>13</v>
      </c>
      <c r="F669" t="s">
        <v>1102</v>
      </c>
      <c r="G669" t="s">
        <v>2060</v>
      </c>
      <c r="H669" t="s">
        <v>920</v>
      </c>
      <c r="I669">
        <v>3.3</v>
      </c>
      <c r="J669">
        <v>26</v>
      </c>
      <c r="K669" t="s">
        <v>2061</v>
      </c>
    </row>
    <row r="670" spans="1:11" x14ac:dyDescent="0.2">
      <c r="A670" t="str">
        <f>HYPERLINK("https://www.tiwall.com//p/darmianeabrha2","جایی در میان ابرها")</f>
        <v>جایی در میان ابرها</v>
      </c>
      <c r="B670">
        <v>70</v>
      </c>
      <c r="C670" t="s">
        <v>112</v>
      </c>
      <c r="D670" t="s">
        <v>45</v>
      </c>
      <c r="E670" t="s">
        <v>13</v>
      </c>
      <c r="F670" t="s">
        <v>1298</v>
      </c>
      <c r="G670" t="s">
        <v>437</v>
      </c>
      <c r="H670" t="s">
        <v>437</v>
      </c>
      <c r="I670">
        <v>0</v>
      </c>
      <c r="J670">
        <v>0</v>
      </c>
      <c r="K670" t="s">
        <v>2062</v>
      </c>
    </row>
    <row r="671" spans="1:11" x14ac:dyDescent="0.2">
      <c r="A671" t="str">
        <f>HYPERLINK("https://www.tiwall.com//p/shabebistoyekom4","شب بیست و یکم")</f>
        <v>شب بیست و یکم</v>
      </c>
      <c r="B671">
        <v>40</v>
      </c>
      <c r="C671" t="s">
        <v>86</v>
      </c>
      <c r="D671" t="s">
        <v>87</v>
      </c>
      <c r="E671" t="s">
        <v>26</v>
      </c>
      <c r="F671" t="s">
        <v>568</v>
      </c>
      <c r="G671" t="s">
        <v>2063</v>
      </c>
      <c r="H671" t="s">
        <v>1695</v>
      </c>
      <c r="I671">
        <v>3.7</v>
      </c>
      <c r="J671">
        <v>20</v>
      </c>
      <c r="K671" t="s">
        <v>2064</v>
      </c>
    </row>
    <row r="672" spans="1:11" x14ac:dyDescent="0.2">
      <c r="A672" t="str">
        <f>HYPERLINK("https://www.tiwall.com//p/teroma3","تروما")</f>
        <v>تروما</v>
      </c>
      <c r="B672">
        <v>100</v>
      </c>
      <c r="C672" t="s">
        <v>170</v>
      </c>
      <c r="D672" t="s">
        <v>65</v>
      </c>
      <c r="E672" t="s">
        <v>138</v>
      </c>
      <c r="F672" t="s">
        <v>764</v>
      </c>
      <c r="G672" t="s">
        <v>2065</v>
      </c>
      <c r="H672" t="s">
        <v>2065</v>
      </c>
      <c r="I672">
        <v>0</v>
      </c>
      <c r="J672">
        <v>0</v>
      </c>
      <c r="K672" t="s">
        <v>2066</v>
      </c>
    </row>
    <row r="673" spans="1:11" x14ac:dyDescent="0.2">
      <c r="A673" t="str">
        <f>HYPERLINK("https://www.tiwall.com//p/oham","اوهام")</f>
        <v>اوهام</v>
      </c>
      <c r="B673">
        <v>60</v>
      </c>
      <c r="C673" t="s">
        <v>2067</v>
      </c>
      <c r="D673" t="s">
        <v>12</v>
      </c>
      <c r="E673" t="s">
        <v>26</v>
      </c>
      <c r="F673" t="s">
        <v>1865</v>
      </c>
      <c r="G673" t="s">
        <v>2068</v>
      </c>
      <c r="H673" t="s">
        <v>2069</v>
      </c>
      <c r="I673">
        <v>0</v>
      </c>
      <c r="J673">
        <v>0</v>
      </c>
      <c r="K673" t="s">
        <v>2070</v>
      </c>
    </row>
    <row r="674" spans="1:11" x14ac:dyDescent="0.2">
      <c r="A674" t="str">
        <f>HYPERLINK("https://www.tiwall.com//p/mardanejang","برگشتن افتخار آمیز مردان جنگ")</f>
        <v>برگشتن افتخار آمیز مردان جنگ</v>
      </c>
      <c r="B674">
        <v>30</v>
      </c>
      <c r="C674" t="s">
        <v>180</v>
      </c>
      <c r="D674" t="s">
        <v>25</v>
      </c>
      <c r="E674" t="s">
        <v>88</v>
      </c>
      <c r="F674" t="s">
        <v>1394</v>
      </c>
      <c r="G674" t="s">
        <v>1820</v>
      </c>
      <c r="H674" t="s">
        <v>895</v>
      </c>
      <c r="I674">
        <v>0</v>
      </c>
      <c r="J674">
        <v>0</v>
      </c>
      <c r="K674" t="s">
        <v>2071</v>
      </c>
    </row>
    <row r="675" spans="1:11" x14ac:dyDescent="0.2">
      <c r="A675" t="str">
        <f>HYPERLINK("https://www.tiwall.com//p/arezooyemahal","احتمال تحقق آرزوی محال")</f>
        <v>احتمال تحقق آرزوی محال</v>
      </c>
      <c r="B675">
        <v>80</v>
      </c>
      <c r="C675" t="s">
        <v>11</v>
      </c>
      <c r="D675" t="s">
        <v>65</v>
      </c>
      <c r="E675" t="s">
        <v>303</v>
      </c>
      <c r="F675" t="s">
        <v>778</v>
      </c>
      <c r="G675" t="s">
        <v>2072</v>
      </c>
      <c r="H675" t="s">
        <v>2072</v>
      </c>
      <c r="I675">
        <v>3.8</v>
      </c>
      <c r="J675">
        <v>23</v>
      </c>
      <c r="K675" t="s">
        <v>2073</v>
      </c>
    </row>
    <row r="676" spans="1:11" x14ac:dyDescent="0.2">
      <c r="A676" t="str">
        <f>HYPERLINK("https://www.tiwall.com//p/yekshanbe.ghamangiz","یکشنبه غم انگیز")</f>
        <v>یکشنبه غم انگیز</v>
      </c>
      <c r="B676">
        <v>50</v>
      </c>
      <c r="C676" t="s">
        <v>44</v>
      </c>
      <c r="D676" t="s">
        <v>12</v>
      </c>
      <c r="E676" t="s">
        <v>138</v>
      </c>
      <c r="F676" t="s">
        <v>1772</v>
      </c>
      <c r="G676" t="s">
        <v>2074</v>
      </c>
      <c r="H676" t="s">
        <v>2074</v>
      </c>
      <c r="I676">
        <v>0</v>
      </c>
      <c r="J676">
        <v>0</v>
      </c>
      <c r="K676" t="s">
        <v>2075</v>
      </c>
    </row>
    <row r="677" spans="1:11" x14ac:dyDescent="0.2">
      <c r="A677" t="str">
        <f>HYPERLINK("https://www.tiwall.com//p/yellowcake","کیک زرد")</f>
        <v>کیک زرد</v>
      </c>
      <c r="B677">
        <v>100</v>
      </c>
      <c r="C677" t="s">
        <v>332</v>
      </c>
      <c r="D677" t="s">
        <v>87</v>
      </c>
      <c r="E677" t="s">
        <v>13</v>
      </c>
      <c r="F677" t="s">
        <v>2076</v>
      </c>
      <c r="G677" t="s">
        <v>2077</v>
      </c>
      <c r="H677" t="s">
        <v>1574</v>
      </c>
      <c r="I677">
        <v>0</v>
      </c>
      <c r="J677">
        <v>0</v>
      </c>
      <c r="K677" t="s">
        <v>2078</v>
      </c>
    </row>
    <row r="678" spans="1:11" x14ac:dyDescent="0.2">
      <c r="A678" t="str">
        <f>HYPERLINK("https://www.tiwall.com//p/sima.shanbeh","سیمای شنبه ها")</f>
        <v>سیمای شنبه ها</v>
      </c>
      <c r="B678">
        <v>50</v>
      </c>
      <c r="C678" t="s">
        <v>1054</v>
      </c>
      <c r="D678" t="s">
        <v>12</v>
      </c>
      <c r="E678" t="s">
        <v>13</v>
      </c>
      <c r="F678" t="s">
        <v>511</v>
      </c>
      <c r="G678" t="s">
        <v>2079</v>
      </c>
      <c r="H678" t="s">
        <v>2080</v>
      </c>
      <c r="I678">
        <v>0</v>
      </c>
      <c r="J678">
        <v>0</v>
      </c>
      <c r="K678" t="s">
        <v>2081</v>
      </c>
    </row>
    <row r="679" spans="1:11" x14ac:dyDescent="0.2">
      <c r="A679" t="str">
        <f>HYPERLINK("https://www.tiwall.com//p/jepeto","ژپتو")</f>
        <v>ژپتو</v>
      </c>
      <c r="B679">
        <v>60</v>
      </c>
      <c r="C679" t="s">
        <v>37</v>
      </c>
      <c r="D679" t="s">
        <v>32</v>
      </c>
      <c r="E679" t="s">
        <v>13</v>
      </c>
      <c r="F679" t="s">
        <v>668</v>
      </c>
      <c r="G679" t="s">
        <v>364</v>
      </c>
      <c r="H679" t="s">
        <v>364</v>
      </c>
      <c r="I679">
        <v>4</v>
      </c>
      <c r="J679">
        <v>147</v>
      </c>
      <c r="K679" t="s">
        <v>1542</v>
      </c>
    </row>
    <row r="680" spans="1:11" x14ac:dyDescent="0.2">
      <c r="A680" t="str">
        <f>HYPERLINK("https://www.tiwall.com//p/takhlieh2","تخلیه")</f>
        <v>تخلیه</v>
      </c>
      <c r="B680">
        <v>60</v>
      </c>
      <c r="C680" t="s">
        <v>928</v>
      </c>
      <c r="D680" t="s">
        <v>470</v>
      </c>
      <c r="E680" t="s">
        <v>26</v>
      </c>
      <c r="F680" t="s">
        <v>2082</v>
      </c>
      <c r="G680" t="s">
        <v>2083</v>
      </c>
      <c r="H680" t="s">
        <v>2084</v>
      </c>
      <c r="I680">
        <v>0</v>
      </c>
      <c r="J680">
        <v>0</v>
      </c>
      <c r="K680" t="s">
        <v>2085</v>
      </c>
    </row>
    <row r="681" spans="1:11" x14ac:dyDescent="0.2">
      <c r="A681" t="str">
        <f>HYPERLINK("https://www.tiwall.com//p/khab3","خواب")</f>
        <v>خواب</v>
      </c>
      <c r="B681">
        <v>60</v>
      </c>
      <c r="C681" t="s">
        <v>928</v>
      </c>
      <c r="D681" t="s">
        <v>12</v>
      </c>
      <c r="E681" t="s">
        <v>71</v>
      </c>
      <c r="F681" t="s">
        <v>2086</v>
      </c>
      <c r="G681" t="s">
        <v>2087</v>
      </c>
      <c r="H681" t="s">
        <v>2088</v>
      </c>
      <c r="I681">
        <v>3.5</v>
      </c>
      <c r="J681">
        <v>13</v>
      </c>
      <c r="K681" t="s">
        <v>2089</v>
      </c>
    </row>
    <row r="682" spans="1:11" x14ac:dyDescent="0.2">
      <c r="A682" t="str">
        <f>HYPERLINK("https://www.tiwall.com//p/nausia3","تهوع")</f>
        <v>تهوع</v>
      </c>
      <c r="B682">
        <v>90</v>
      </c>
      <c r="C682" t="s">
        <v>1518</v>
      </c>
      <c r="D682" t="s">
        <v>12</v>
      </c>
      <c r="E682" t="s">
        <v>13</v>
      </c>
      <c r="F682" t="s">
        <v>373</v>
      </c>
      <c r="G682" t="s">
        <v>1519</v>
      </c>
      <c r="H682" t="s">
        <v>1520</v>
      </c>
      <c r="I682">
        <v>0</v>
      </c>
      <c r="J682">
        <v>0</v>
      </c>
      <c r="K682" t="s">
        <v>2090</v>
      </c>
    </row>
    <row r="683" spans="1:11" x14ac:dyDescent="0.2">
      <c r="A683" t="str">
        <f>HYPERLINK("https://www.tiwall.com//p/goush.salem2","در گوش سالمم زمزمه کن")</f>
        <v>در گوش سالمم زمزمه کن</v>
      </c>
      <c r="B683">
        <v>90</v>
      </c>
      <c r="C683" t="s">
        <v>24</v>
      </c>
      <c r="D683" t="s">
        <v>25</v>
      </c>
      <c r="E683" t="s">
        <v>26</v>
      </c>
      <c r="F683" t="s">
        <v>226</v>
      </c>
      <c r="G683" t="s">
        <v>2091</v>
      </c>
      <c r="H683" t="s">
        <v>2092</v>
      </c>
      <c r="I683">
        <v>4</v>
      </c>
      <c r="J683">
        <v>16</v>
      </c>
      <c r="K683" t="s">
        <v>2093</v>
      </c>
    </row>
    <row r="684" spans="1:11" x14ac:dyDescent="0.2">
      <c r="A684" t="str">
        <f>HYPERLINK("https://www.tiwall.com//p/yakh","یخ")</f>
        <v>یخ</v>
      </c>
      <c r="B684">
        <v>30</v>
      </c>
      <c r="C684" t="s">
        <v>995</v>
      </c>
      <c r="D684" t="s">
        <v>87</v>
      </c>
      <c r="E684" t="s">
        <v>26</v>
      </c>
      <c r="F684" t="s">
        <v>2094</v>
      </c>
      <c r="G684" t="s">
        <v>2095</v>
      </c>
      <c r="H684" t="s">
        <v>2096</v>
      </c>
      <c r="I684">
        <v>0</v>
      </c>
      <c r="J684">
        <v>0</v>
      </c>
      <c r="K684" t="s">
        <v>2097</v>
      </c>
    </row>
    <row r="685" spans="1:11" x14ac:dyDescent="0.2">
      <c r="A685" t="str">
        <f>HYPERLINK("https://www.tiwall.com//p/kalepookha14","کله پوک ها")</f>
        <v>کله پوک ها</v>
      </c>
      <c r="B685">
        <v>45</v>
      </c>
      <c r="C685" t="s">
        <v>24</v>
      </c>
      <c r="D685" t="s">
        <v>146</v>
      </c>
      <c r="E685" t="s">
        <v>26</v>
      </c>
      <c r="F685" t="s">
        <v>2098</v>
      </c>
      <c r="G685" t="s">
        <v>431</v>
      </c>
      <c r="H685" t="s">
        <v>183</v>
      </c>
      <c r="I685">
        <v>0</v>
      </c>
      <c r="J685">
        <v>0</v>
      </c>
      <c r="K685" t="s">
        <v>2099</v>
      </c>
    </row>
    <row r="686" spans="1:11" x14ac:dyDescent="0.2">
      <c r="A686" t="str">
        <f>HYPERLINK("https://www.tiwall.com//p/lokomotiv","لوکوموتیو")</f>
        <v>لوکوموتیو</v>
      </c>
      <c r="B686">
        <v>60</v>
      </c>
      <c r="C686" t="s">
        <v>199</v>
      </c>
      <c r="D686" t="s">
        <v>12</v>
      </c>
      <c r="E686" t="s">
        <v>71</v>
      </c>
      <c r="F686" t="s">
        <v>515</v>
      </c>
      <c r="G686" t="s">
        <v>856</v>
      </c>
      <c r="H686" t="s">
        <v>856</v>
      </c>
      <c r="I686">
        <v>0</v>
      </c>
      <c r="J686">
        <v>0</v>
      </c>
      <c r="K686" t="s">
        <v>2100</v>
      </c>
    </row>
    <row r="687" spans="1:11" x14ac:dyDescent="0.2">
      <c r="A687" t="str">
        <f>HYPERLINK("https://www.tiwall.com//p/nazekaniz2","ناز کنیز")</f>
        <v>ناز کنیز</v>
      </c>
      <c r="B687">
        <v>15</v>
      </c>
      <c r="C687" t="s">
        <v>2101</v>
      </c>
      <c r="D687" t="s">
        <v>87</v>
      </c>
      <c r="E687" t="s">
        <v>26</v>
      </c>
      <c r="F687" t="s">
        <v>744</v>
      </c>
      <c r="G687" t="s">
        <v>2102</v>
      </c>
      <c r="H687" t="s">
        <v>2103</v>
      </c>
      <c r="I687">
        <v>0</v>
      </c>
      <c r="J687">
        <v>0</v>
      </c>
      <c r="K687" t="s">
        <v>2104</v>
      </c>
    </row>
    <row r="688" spans="1:11" x14ac:dyDescent="0.2">
      <c r="A688" t="str">
        <f>HYPERLINK("https://www.tiwall.com//p/amoughatel","عمو قاتل")</f>
        <v>عمو قاتل</v>
      </c>
      <c r="B688">
        <v>60</v>
      </c>
      <c r="C688" t="s">
        <v>410</v>
      </c>
      <c r="D688" t="s">
        <v>217</v>
      </c>
      <c r="E688" t="s">
        <v>138</v>
      </c>
      <c r="F688" t="s">
        <v>1328</v>
      </c>
      <c r="G688" t="s">
        <v>236</v>
      </c>
      <c r="H688" t="s">
        <v>236</v>
      </c>
      <c r="I688">
        <v>0</v>
      </c>
      <c r="J688">
        <v>0</v>
      </c>
      <c r="K688" t="s">
        <v>2105</v>
      </c>
    </row>
    <row r="689" spans="1:11" x14ac:dyDescent="0.2">
      <c r="A689" t="str">
        <f>HYPERLINK("https://www.tiwall.com//p/dorough5","دروغ")</f>
        <v>دروغ</v>
      </c>
      <c r="B689">
        <v>50</v>
      </c>
      <c r="C689" t="s">
        <v>24</v>
      </c>
      <c r="D689" t="s">
        <v>45</v>
      </c>
      <c r="E689" t="s">
        <v>88</v>
      </c>
      <c r="F689" t="s">
        <v>480</v>
      </c>
      <c r="G689" t="s">
        <v>90</v>
      </c>
      <c r="H689" t="s">
        <v>91</v>
      </c>
      <c r="I689">
        <v>0</v>
      </c>
      <c r="J689">
        <v>0</v>
      </c>
      <c r="K689" t="s">
        <v>2106</v>
      </c>
    </row>
    <row r="690" spans="1:11" x14ac:dyDescent="0.2">
      <c r="A690" t="str">
        <f>HYPERLINK("https://www.tiwall.com//p/lebasepadeshah2","لباس جدید پادشاه")</f>
        <v>لباس جدید پادشاه</v>
      </c>
      <c r="B690">
        <v>30</v>
      </c>
      <c r="C690" t="s">
        <v>145</v>
      </c>
      <c r="D690" t="s">
        <v>87</v>
      </c>
      <c r="E690" t="s">
        <v>71</v>
      </c>
      <c r="F690" t="s">
        <v>2107</v>
      </c>
      <c r="G690" t="s">
        <v>2108</v>
      </c>
      <c r="H690" t="s">
        <v>2109</v>
      </c>
      <c r="I690">
        <v>3.8</v>
      </c>
      <c r="J690">
        <v>8</v>
      </c>
      <c r="K690" t="s">
        <v>2110</v>
      </c>
    </row>
    <row r="691" spans="1:11" x14ac:dyDescent="0.2">
      <c r="A691" t="str">
        <f>HYPERLINK("https://www.tiwall.com//p/foroupashi.jesm","فروپاشی کامل جسم")</f>
        <v>فروپاشی کامل جسم</v>
      </c>
      <c r="B691">
        <v>60</v>
      </c>
      <c r="C691" t="s">
        <v>132</v>
      </c>
      <c r="D691" t="s">
        <v>65</v>
      </c>
      <c r="E691" t="s">
        <v>26</v>
      </c>
      <c r="F691" t="s">
        <v>668</v>
      </c>
      <c r="G691" t="s">
        <v>2111</v>
      </c>
      <c r="H691" t="s">
        <v>135</v>
      </c>
      <c r="I691">
        <v>3.3</v>
      </c>
      <c r="J691">
        <v>14</v>
      </c>
      <c r="K691" t="s">
        <v>2112</v>
      </c>
    </row>
    <row r="692" spans="1:11" x14ac:dyDescent="0.2">
      <c r="A692" t="str">
        <f>HYPERLINK("https://www.tiwall.com//p/layali","اسم من لیالی است")</f>
        <v>اسم من لیالی است</v>
      </c>
      <c r="B692">
        <v>30</v>
      </c>
      <c r="C692" t="s">
        <v>137</v>
      </c>
      <c r="D692" t="s">
        <v>32</v>
      </c>
      <c r="E692" t="s">
        <v>19</v>
      </c>
      <c r="F692" t="s">
        <v>1007</v>
      </c>
      <c r="G692" t="s">
        <v>2113</v>
      </c>
      <c r="H692" t="s">
        <v>2113</v>
      </c>
      <c r="I692">
        <v>0</v>
      </c>
      <c r="J692">
        <v>0</v>
      </c>
      <c r="K692" t="s">
        <v>2114</v>
      </c>
    </row>
    <row r="693" spans="1:11" x14ac:dyDescent="0.2">
      <c r="A693" t="str">
        <f>HYPERLINK("https://www.tiwall.com//p/masih.kosht","چه کسی مسیح را کشت؟")</f>
        <v>چه کسی مسیح را کشت؟</v>
      </c>
      <c r="B693">
        <v>60</v>
      </c>
      <c r="C693" t="s">
        <v>1846</v>
      </c>
      <c r="D693" t="s">
        <v>280</v>
      </c>
      <c r="E693" t="s">
        <v>13</v>
      </c>
      <c r="F693" t="s">
        <v>592</v>
      </c>
      <c r="G693" t="s">
        <v>2115</v>
      </c>
      <c r="H693" t="s">
        <v>2115</v>
      </c>
      <c r="I693">
        <v>4.3</v>
      </c>
      <c r="J693">
        <v>21</v>
      </c>
      <c r="K693" t="s">
        <v>2116</v>
      </c>
    </row>
    <row r="694" spans="1:11" x14ac:dyDescent="0.2">
      <c r="A694" t="str">
        <f>HYPERLINK("https://www.tiwall.com//p/jonoone.janin","جنون جنین جن زده")</f>
        <v>جنون جنین جن زده</v>
      </c>
      <c r="B694">
        <v>70</v>
      </c>
      <c r="C694" t="s">
        <v>204</v>
      </c>
      <c r="D694" t="s">
        <v>146</v>
      </c>
      <c r="E694" t="s">
        <v>138</v>
      </c>
      <c r="F694" t="s">
        <v>226</v>
      </c>
      <c r="G694" t="s">
        <v>990</v>
      </c>
      <c r="H694" t="s">
        <v>990</v>
      </c>
      <c r="I694">
        <v>3.2</v>
      </c>
      <c r="J694">
        <v>9</v>
      </c>
      <c r="K694" t="s">
        <v>2117</v>
      </c>
    </row>
    <row r="695" spans="1:11" x14ac:dyDescent="0.2">
      <c r="A695" t="str">
        <f>HYPERLINK("https://www.tiwall.com//p/bazmandegan2","سایر بازماندگان")</f>
        <v>سایر بازماندگان</v>
      </c>
      <c r="B695">
        <v>60</v>
      </c>
      <c r="C695" t="s">
        <v>31</v>
      </c>
      <c r="D695" t="s">
        <v>25</v>
      </c>
      <c r="E695" t="s">
        <v>71</v>
      </c>
      <c r="F695" t="s">
        <v>2118</v>
      </c>
      <c r="G695" t="s">
        <v>2119</v>
      </c>
      <c r="H695" t="s">
        <v>2120</v>
      </c>
      <c r="I695">
        <v>3.7</v>
      </c>
      <c r="J695">
        <v>63</v>
      </c>
      <c r="K695" t="s">
        <v>2121</v>
      </c>
    </row>
    <row r="696" spans="1:11" x14ac:dyDescent="0.2">
      <c r="A696" t="str">
        <f>HYPERLINK("https://www.tiwall.com//p/romeojuliet.jodayi3","جدایی / رومئو / ژولیت")</f>
        <v>جدایی / رومئو / ژولیت</v>
      </c>
      <c r="B696">
        <v>30</v>
      </c>
      <c r="C696" t="s">
        <v>180</v>
      </c>
      <c r="D696" t="s">
        <v>217</v>
      </c>
      <c r="E696" t="s">
        <v>2122</v>
      </c>
      <c r="F696" t="s">
        <v>89</v>
      </c>
      <c r="G696" t="s">
        <v>2123</v>
      </c>
      <c r="H696" t="s">
        <v>1230</v>
      </c>
      <c r="I696">
        <v>3.9</v>
      </c>
      <c r="J696">
        <v>13</v>
      </c>
      <c r="K696" t="s">
        <v>2124</v>
      </c>
    </row>
    <row r="697" spans="1:11" x14ac:dyDescent="0.2">
      <c r="A697" t="str">
        <f>HYPERLINK("https://www.tiwall.com//p/fishabad2","فیش آباد")</f>
        <v>فیش آباد</v>
      </c>
      <c r="B697">
        <v>70</v>
      </c>
      <c r="C697" t="s">
        <v>230</v>
      </c>
      <c r="D697" t="s">
        <v>45</v>
      </c>
      <c r="E697" t="s">
        <v>13</v>
      </c>
      <c r="F697" t="s">
        <v>195</v>
      </c>
      <c r="G697" t="s">
        <v>1194</v>
      </c>
      <c r="H697" t="s">
        <v>2125</v>
      </c>
      <c r="I697">
        <v>1.9</v>
      </c>
      <c r="J697">
        <v>8</v>
      </c>
      <c r="K697" t="s">
        <v>2126</v>
      </c>
    </row>
    <row r="698" spans="1:11" x14ac:dyDescent="0.2">
      <c r="A698" t="str">
        <f>HYPERLINK("https://www.tiwall.com//p/ekotako2","دنیای شگفت انگیز اکو و تاکو")</f>
        <v>دنیای شگفت انگیز اکو و تاکو</v>
      </c>
      <c r="B698">
        <v>20</v>
      </c>
      <c r="C698" t="s">
        <v>2127</v>
      </c>
      <c r="D698" t="s">
        <v>87</v>
      </c>
      <c r="E698" t="s">
        <v>46</v>
      </c>
      <c r="F698" t="s">
        <v>2128</v>
      </c>
      <c r="G698" t="s">
        <v>2129</v>
      </c>
      <c r="H698" t="s">
        <v>2130</v>
      </c>
      <c r="I698">
        <v>0</v>
      </c>
      <c r="J698">
        <v>0</v>
      </c>
      <c r="K698" t="s">
        <v>2131</v>
      </c>
    </row>
    <row r="699" spans="1:11" x14ac:dyDescent="0.2">
      <c r="A699" t="str">
        <f>HYPERLINK("https://www.tiwall.com//p/sianjal","سیآنجل")</f>
        <v>سیآنجل</v>
      </c>
      <c r="B699">
        <v>65</v>
      </c>
      <c r="C699" t="s">
        <v>44</v>
      </c>
      <c r="D699" t="s">
        <v>65</v>
      </c>
      <c r="E699" t="s">
        <v>71</v>
      </c>
      <c r="F699" t="s">
        <v>214</v>
      </c>
      <c r="G699" t="s">
        <v>2132</v>
      </c>
      <c r="H699" t="s">
        <v>2132</v>
      </c>
      <c r="I699">
        <v>0</v>
      </c>
      <c r="J699">
        <v>0</v>
      </c>
      <c r="K699" t="s">
        <v>2133</v>
      </c>
    </row>
    <row r="700" spans="1:11" x14ac:dyDescent="0.2">
      <c r="A700" t="str">
        <f>HYPERLINK("https://www.tiwall.com//p/chehrazi3","چهرازی")</f>
        <v>چهرازی</v>
      </c>
      <c r="B700">
        <v>60</v>
      </c>
      <c r="C700" t="s">
        <v>928</v>
      </c>
      <c r="D700" t="s">
        <v>146</v>
      </c>
      <c r="E700" t="s">
        <v>19</v>
      </c>
      <c r="F700" t="s">
        <v>1928</v>
      </c>
      <c r="G700" t="s">
        <v>817</v>
      </c>
      <c r="H700" t="s">
        <v>817</v>
      </c>
      <c r="I700">
        <v>2.4</v>
      </c>
      <c r="J700">
        <v>10</v>
      </c>
      <c r="K700" t="s">
        <v>2134</v>
      </c>
    </row>
    <row r="701" spans="1:11" x14ac:dyDescent="0.2">
      <c r="A701" t="str">
        <f>HYPERLINK("https://www.tiwall.com//p/had2","حاد")</f>
        <v>حاد</v>
      </c>
      <c r="B701">
        <v>30</v>
      </c>
      <c r="C701" t="s">
        <v>155</v>
      </c>
      <c r="D701" t="s">
        <v>146</v>
      </c>
      <c r="E701" t="s">
        <v>138</v>
      </c>
      <c r="F701" t="s">
        <v>938</v>
      </c>
      <c r="G701" t="s">
        <v>903</v>
      </c>
      <c r="H701" t="s">
        <v>904</v>
      </c>
      <c r="I701">
        <v>0</v>
      </c>
      <c r="J701">
        <v>0</v>
      </c>
      <c r="K701" t="s">
        <v>905</v>
      </c>
    </row>
    <row r="702" spans="1:11" x14ac:dyDescent="0.2">
      <c r="A702" t="str">
        <f>HYPERLINK("https://www.tiwall.com//p/khaab.bidar","از خواب تو بیدار خواهم شد")</f>
        <v>از خواب تو بیدار خواهم شد</v>
      </c>
      <c r="B702">
        <v>70</v>
      </c>
      <c r="C702" t="s">
        <v>44</v>
      </c>
      <c r="D702" t="s">
        <v>65</v>
      </c>
      <c r="E702" t="s">
        <v>13</v>
      </c>
      <c r="F702" t="s">
        <v>345</v>
      </c>
      <c r="G702" t="s">
        <v>680</v>
      </c>
      <c r="H702" t="s">
        <v>2135</v>
      </c>
      <c r="I702">
        <v>0</v>
      </c>
      <c r="J702">
        <v>0</v>
      </c>
      <c r="K702" t="s">
        <v>2136</v>
      </c>
    </row>
    <row r="703" spans="1:11" x14ac:dyDescent="0.2">
      <c r="A703" t="str">
        <f>HYPERLINK("https://www.tiwall.com//p/molaghatemardeduzakhi2","ملاقات مرد دوزخی")</f>
        <v>ملاقات مرد دوزخی</v>
      </c>
      <c r="B703">
        <v>70</v>
      </c>
      <c r="C703" t="s">
        <v>1446</v>
      </c>
      <c r="D703" t="s">
        <v>45</v>
      </c>
      <c r="E703" t="s">
        <v>13</v>
      </c>
      <c r="F703" t="s">
        <v>2137</v>
      </c>
      <c r="G703" t="s">
        <v>2138</v>
      </c>
      <c r="H703" t="s">
        <v>2138</v>
      </c>
      <c r="I703">
        <v>4.4000000000000004</v>
      </c>
      <c r="J703">
        <v>8</v>
      </c>
      <c r="K703" t="s">
        <v>2139</v>
      </c>
    </row>
    <row r="704" spans="1:11" x14ac:dyDescent="0.2">
      <c r="A704" t="str">
        <f>HYPERLINK("https://www.tiwall.com//p/mehrma","بی مهرما")</f>
        <v>بی مهرما</v>
      </c>
      <c r="B704">
        <v>15</v>
      </c>
      <c r="C704" t="s">
        <v>2140</v>
      </c>
      <c r="D704" t="s">
        <v>217</v>
      </c>
      <c r="E704" t="s">
        <v>46</v>
      </c>
      <c r="F704" t="s">
        <v>2141</v>
      </c>
      <c r="G704" t="s">
        <v>2142</v>
      </c>
      <c r="H704" t="s">
        <v>2142</v>
      </c>
      <c r="I704">
        <v>0</v>
      </c>
      <c r="J704">
        <v>0</v>
      </c>
      <c r="K704" t="s">
        <v>2143</v>
      </c>
    </row>
    <row r="705" spans="1:11" x14ac:dyDescent="0.2">
      <c r="A705" t="str">
        <f>HYPERLINK("https://www.tiwall.com//p/daregoshi","درِگوشی")</f>
        <v>درِگوشی</v>
      </c>
      <c r="B705">
        <v>40</v>
      </c>
      <c r="C705" t="s">
        <v>224</v>
      </c>
      <c r="D705" t="s">
        <v>384</v>
      </c>
      <c r="E705" t="s">
        <v>415</v>
      </c>
      <c r="F705" t="s">
        <v>2144</v>
      </c>
      <c r="G705" t="s">
        <v>2145</v>
      </c>
      <c r="H705" t="s">
        <v>2146</v>
      </c>
      <c r="I705">
        <v>0</v>
      </c>
      <c r="J705">
        <v>0</v>
      </c>
      <c r="K705" t="s">
        <v>2147</v>
      </c>
    </row>
    <row r="706" spans="1:11" x14ac:dyDescent="0.2">
      <c r="A706" t="str">
        <f>HYPERLINK("https://www.tiwall.com//p/chahardarchahar","چهار در چهار")</f>
        <v>چهار در چهار</v>
      </c>
      <c r="B706">
        <v>40</v>
      </c>
      <c r="C706" t="s">
        <v>2148</v>
      </c>
      <c r="D706" t="s">
        <v>146</v>
      </c>
      <c r="E706" t="s">
        <v>138</v>
      </c>
      <c r="F706" t="s">
        <v>944</v>
      </c>
      <c r="G706" t="s">
        <v>593</v>
      </c>
      <c r="H706" t="s">
        <v>594</v>
      </c>
      <c r="I706">
        <v>0</v>
      </c>
      <c r="J706">
        <v>0</v>
      </c>
      <c r="K706" t="s">
        <v>2149</v>
      </c>
    </row>
    <row r="707" spans="1:11" x14ac:dyDescent="0.2">
      <c r="A707" t="str">
        <f>HYPERLINK("https://www.tiwall.com//p/komitehmoshtarak","کمیته مشترک")</f>
        <v>کمیته مشترک</v>
      </c>
      <c r="B707">
        <v>35</v>
      </c>
      <c r="C707" t="s">
        <v>2150</v>
      </c>
      <c r="D707" t="s">
        <v>45</v>
      </c>
      <c r="E707" t="s">
        <v>71</v>
      </c>
      <c r="F707" t="s">
        <v>2151</v>
      </c>
      <c r="G707" t="s">
        <v>1648</v>
      </c>
      <c r="H707" t="s">
        <v>1648</v>
      </c>
      <c r="I707">
        <v>3.2</v>
      </c>
      <c r="J707">
        <v>14</v>
      </c>
      <c r="K707" t="s">
        <v>2152</v>
      </c>
    </row>
    <row r="708" spans="1:11" x14ac:dyDescent="0.2">
      <c r="A708" t="str">
        <f>HYPERLINK("https://www.tiwall.com//p/cafeasheghi2","کافه عاشقی")</f>
        <v>کافه عاشقی</v>
      </c>
      <c r="B708">
        <v>70</v>
      </c>
      <c r="C708" t="s">
        <v>230</v>
      </c>
      <c r="D708" t="s">
        <v>65</v>
      </c>
      <c r="E708" t="s">
        <v>26</v>
      </c>
      <c r="F708" t="s">
        <v>2153</v>
      </c>
      <c r="G708" t="s">
        <v>1576</v>
      </c>
      <c r="H708" t="s">
        <v>1576</v>
      </c>
      <c r="I708">
        <v>3.9</v>
      </c>
      <c r="J708">
        <v>16</v>
      </c>
      <c r="K708" t="s">
        <v>2154</v>
      </c>
    </row>
    <row r="709" spans="1:11" x14ac:dyDescent="0.2">
      <c r="A709" t="str">
        <f>HYPERLINK("https://www.tiwall.com//p/khanehkharab2","کمدی خانه خراب")</f>
        <v>کمدی خانه خراب</v>
      </c>
      <c r="B709">
        <v>60</v>
      </c>
      <c r="C709" t="s">
        <v>230</v>
      </c>
      <c r="D709" t="s">
        <v>299</v>
      </c>
      <c r="E709" t="s">
        <v>208</v>
      </c>
      <c r="F709" t="s">
        <v>778</v>
      </c>
      <c r="G709" t="s">
        <v>2155</v>
      </c>
      <c r="H709" t="s">
        <v>2156</v>
      </c>
      <c r="I709">
        <v>3.1</v>
      </c>
      <c r="J709">
        <v>19</v>
      </c>
      <c r="K709" t="s">
        <v>2157</v>
      </c>
    </row>
    <row r="710" spans="1:11" x14ac:dyDescent="0.2">
      <c r="A710" t="str">
        <f>HYPERLINK("https://www.tiwall.com//p/odyssey4","اودیسه ۲۰۲۰")</f>
        <v>اودیسه ۲۰۲۰</v>
      </c>
      <c r="B710">
        <v>40</v>
      </c>
      <c r="C710" t="s">
        <v>358</v>
      </c>
      <c r="D710" t="s">
        <v>45</v>
      </c>
      <c r="E710" t="s">
        <v>19</v>
      </c>
      <c r="F710" t="s">
        <v>2158</v>
      </c>
      <c r="G710" t="s">
        <v>2159</v>
      </c>
      <c r="H710" t="s">
        <v>2160</v>
      </c>
      <c r="I710">
        <v>3.3</v>
      </c>
      <c r="J710">
        <v>34</v>
      </c>
      <c r="K710" t="s">
        <v>2161</v>
      </c>
    </row>
    <row r="711" spans="1:11" x14ac:dyDescent="0.2">
      <c r="A711" t="str">
        <f>HYPERLINK("https://www.tiwall.com//p/mah.aseman","یک ماه، هزار آسمان")</f>
        <v>یک ماه، هزار آسمان</v>
      </c>
      <c r="B711">
        <v>70</v>
      </c>
      <c r="C711" t="s">
        <v>2162</v>
      </c>
      <c r="D711" t="s">
        <v>87</v>
      </c>
      <c r="E711" t="s">
        <v>208</v>
      </c>
      <c r="F711" t="s">
        <v>536</v>
      </c>
      <c r="G711" t="s">
        <v>2163</v>
      </c>
      <c r="H711" t="s">
        <v>2163</v>
      </c>
      <c r="I711">
        <v>0</v>
      </c>
      <c r="J711">
        <v>0</v>
      </c>
      <c r="K711" t="s">
        <v>2164</v>
      </c>
    </row>
    <row r="712" spans="1:11" x14ac:dyDescent="0.2">
      <c r="A712" t="str">
        <f>HYPERLINK("https://www.tiwall.com//p/ghadamaval","قدم اول")</f>
        <v>قدم اول</v>
      </c>
      <c r="B712">
        <v>80</v>
      </c>
      <c r="C712" t="s">
        <v>129</v>
      </c>
      <c r="D712" t="s">
        <v>45</v>
      </c>
      <c r="E712" t="s">
        <v>26</v>
      </c>
      <c r="F712" t="s">
        <v>263</v>
      </c>
      <c r="G712" t="s">
        <v>2165</v>
      </c>
      <c r="H712" t="s">
        <v>2166</v>
      </c>
      <c r="I712">
        <v>4.4000000000000004</v>
      </c>
      <c r="J712">
        <v>12</v>
      </c>
      <c r="K712" t="s">
        <v>2167</v>
      </c>
    </row>
    <row r="713" spans="1:11" x14ac:dyDescent="0.2">
      <c r="A713" t="str">
        <f>HYPERLINK("https://www.tiwall.com//p/chamedan5","چمدان")</f>
        <v>چمدان</v>
      </c>
      <c r="B713">
        <v>60</v>
      </c>
      <c r="C713" t="s">
        <v>129</v>
      </c>
      <c r="D713" t="s">
        <v>25</v>
      </c>
      <c r="E713" t="s">
        <v>13</v>
      </c>
      <c r="F713" t="s">
        <v>2168</v>
      </c>
      <c r="G713" t="s">
        <v>186</v>
      </c>
      <c r="H713" t="s">
        <v>186</v>
      </c>
      <c r="I713">
        <v>0</v>
      </c>
      <c r="J713">
        <v>0</v>
      </c>
      <c r="K713" t="s">
        <v>2169</v>
      </c>
    </row>
    <row r="714" spans="1:11" x14ac:dyDescent="0.2">
      <c r="A714" t="str">
        <f>HYPERLINK("https://www.tiwall.com//p/rafflesia2","رافلسیا")</f>
        <v>رافلسیا</v>
      </c>
      <c r="B714">
        <v>70</v>
      </c>
      <c r="C714" t="s">
        <v>24</v>
      </c>
      <c r="D714" t="s">
        <v>280</v>
      </c>
      <c r="E714" t="s">
        <v>13</v>
      </c>
      <c r="F714" t="s">
        <v>188</v>
      </c>
      <c r="G714" t="s">
        <v>2170</v>
      </c>
      <c r="H714" t="s">
        <v>2171</v>
      </c>
      <c r="I714">
        <v>0</v>
      </c>
      <c r="J714">
        <v>0</v>
      </c>
      <c r="K714" t="s">
        <v>2172</v>
      </c>
    </row>
    <row r="715" spans="1:11" x14ac:dyDescent="0.2">
      <c r="A715" t="str">
        <f>HYPERLINK("https://www.tiwall.com//p/marz4","مرز")</f>
        <v>مرز</v>
      </c>
      <c r="B715">
        <v>30</v>
      </c>
      <c r="C715" t="s">
        <v>86</v>
      </c>
      <c r="D715" t="s">
        <v>384</v>
      </c>
      <c r="E715" t="s">
        <v>138</v>
      </c>
      <c r="F715" t="s">
        <v>2173</v>
      </c>
      <c r="G715" t="s">
        <v>1408</v>
      </c>
      <c r="H715" t="s">
        <v>1409</v>
      </c>
      <c r="I715">
        <v>0</v>
      </c>
      <c r="J715">
        <v>0</v>
      </c>
      <c r="K715" t="s">
        <v>1408</v>
      </c>
    </row>
    <row r="716" spans="1:11" x14ac:dyDescent="0.2">
      <c r="A716" t="str">
        <f>HYPERLINK("https://www.tiwall.com//p/bronsi2","برونسی")</f>
        <v>برونسی</v>
      </c>
      <c r="B716">
        <v>30</v>
      </c>
      <c r="C716" t="s">
        <v>344</v>
      </c>
      <c r="D716" t="s">
        <v>87</v>
      </c>
      <c r="E716" t="s">
        <v>26</v>
      </c>
      <c r="F716" t="s">
        <v>732</v>
      </c>
      <c r="G716" t="s">
        <v>1844</v>
      </c>
      <c r="H716" t="s">
        <v>1844</v>
      </c>
      <c r="I716">
        <v>2.8</v>
      </c>
      <c r="J716">
        <v>12</v>
      </c>
      <c r="K716" t="s">
        <v>2174</v>
      </c>
    </row>
    <row r="717" spans="1:11" x14ac:dyDescent="0.2">
      <c r="A717" t="str">
        <f>HYPERLINK("https://www.tiwall.com//p/gorosneha","گرسنه ها")</f>
        <v>گرسنه ها</v>
      </c>
      <c r="B717">
        <v>30</v>
      </c>
      <c r="C717" t="s">
        <v>64</v>
      </c>
      <c r="D717" t="s">
        <v>384</v>
      </c>
      <c r="E717" t="s">
        <v>235</v>
      </c>
      <c r="F717" t="s">
        <v>1086</v>
      </c>
      <c r="G717" t="s">
        <v>236</v>
      </c>
      <c r="H717" t="s">
        <v>236</v>
      </c>
      <c r="I717">
        <v>0</v>
      </c>
      <c r="J717">
        <v>0</v>
      </c>
      <c r="K717" t="s">
        <v>2175</v>
      </c>
    </row>
    <row r="718" spans="1:11" x14ac:dyDescent="0.2">
      <c r="A718" t="str">
        <f>HYPERLINK("https://www.tiwall.com//p/zan.chehreh","زنی در دو چهره")</f>
        <v>زنی در دو چهره</v>
      </c>
      <c r="B718">
        <v>70</v>
      </c>
      <c r="C718" t="s">
        <v>132</v>
      </c>
      <c r="D718" t="s">
        <v>12</v>
      </c>
      <c r="E718" t="s">
        <v>71</v>
      </c>
      <c r="F718" t="s">
        <v>314</v>
      </c>
      <c r="G718" t="s">
        <v>2176</v>
      </c>
      <c r="H718" t="s">
        <v>2176</v>
      </c>
      <c r="I718">
        <v>3.9</v>
      </c>
      <c r="J718">
        <v>35</v>
      </c>
      <c r="K718" t="s">
        <v>2177</v>
      </c>
    </row>
    <row r="719" spans="1:11" x14ac:dyDescent="0.2">
      <c r="A719" t="str">
        <f>HYPERLINK("https://www.tiwall.com//p/proof2","برهان")</f>
        <v>برهان</v>
      </c>
      <c r="B719">
        <v>16</v>
      </c>
      <c r="C719" t="s">
        <v>108</v>
      </c>
      <c r="D719" t="s">
        <v>146</v>
      </c>
      <c r="E719" t="s">
        <v>98</v>
      </c>
      <c r="F719" t="s">
        <v>2178</v>
      </c>
      <c r="G719" t="s">
        <v>2179</v>
      </c>
      <c r="H719" t="s">
        <v>2180</v>
      </c>
      <c r="I719">
        <v>0</v>
      </c>
      <c r="J719">
        <v>0</v>
      </c>
      <c r="K719" t="s">
        <v>2181</v>
      </c>
    </row>
    <row r="720" spans="1:11" x14ac:dyDescent="0.2">
      <c r="A720" t="str">
        <f>HYPERLINK("https://www.tiwall.com//p/noskhehvirastar","نسخه ویراستار")</f>
        <v>نسخه ویراستار</v>
      </c>
      <c r="B720">
        <v>30</v>
      </c>
      <c r="C720" t="s">
        <v>180</v>
      </c>
      <c r="D720" t="s">
        <v>32</v>
      </c>
      <c r="E720" t="s">
        <v>46</v>
      </c>
      <c r="F720" t="s">
        <v>385</v>
      </c>
      <c r="G720" t="s">
        <v>2182</v>
      </c>
      <c r="H720" t="s">
        <v>2182</v>
      </c>
      <c r="I720">
        <v>2.7</v>
      </c>
      <c r="J720">
        <v>7</v>
      </c>
      <c r="K720" t="s">
        <v>2183</v>
      </c>
    </row>
    <row r="721" spans="1:11" x14ac:dyDescent="0.2">
      <c r="A721" t="str">
        <f>HYPERLINK("https://www.tiwall.com//p/rombesh","رُمبِش")</f>
        <v>رُمبِش</v>
      </c>
      <c r="B721">
        <v>40</v>
      </c>
      <c r="C721" t="s">
        <v>64</v>
      </c>
      <c r="D721" t="s">
        <v>12</v>
      </c>
      <c r="E721" t="s">
        <v>138</v>
      </c>
      <c r="F721" t="s">
        <v>181</v>
      </c>
      <c r="G721" t="s">
        <v>2184</v>
      </c>
      <c r="H721" t="s">
        <v>2185</v>
      </c>
      <c r="I721">
        <v>0</v>
      </c>
      <c r="J721">
        <v>0</v>
      </c>
      <c r="K721" t="s">
        <v>2186</v>
      </c>
    </row>
    <row r="722" spans="1:11" x14ac:dyDescent="0.2">
      <c r="A722" t="str">
        <f>HYPERLINK("https://www.tiwall.com//p/shahrzad.senemar","قصه شهرزاد به روایت سنمار")</f>
        <v>قصه شهرزاد به روایت سنمار</v>
      </c>
      <c r="B722">
        <v>60</v>
      </c>
      <c r="C722" t="s">
        <v>230</v>
      </c>
      <c r="D722" t="s">
        <v>32</v>
      </c>
      <c r="E722" t="s">
        <v>13</v>
      </c>
      <c r="F722" t="s">
        <v>1456</v>
      </c>
      <c r="G722" t="s">
        <v>236</v>
      </c>
      <c r="H722" t="s">
        <v>236</v>
      </c>
      <c r="I722">
        <v>4.7</v>
      </c>
      <c r="J722">
        <v>6</v>
      </c>
      <c r="K722" t="s">
        <v>2187</v>
      </c>
    </row>
    <row r="723" spans="1:11" x14ac:dyDescent="0.2">
      <c r="A723" t="str">
        <f>HYPERLINK("https://www.tiwall.com//p/shab.kour2","شب کور")</f>
        <v>شب کور</v>
      </c>
      <c r="B723">
        <v>50</v>
      </c>
      <c r="C723" t="s">
        <v>2188</v>
      </c>
      <c r="D723" t="s">
        <v>65</v>
      </c>
      <c r="E723" t="s">
        <v>13</v>
      </c>
      <c r="F723" t="s">
        <v>2189</v>
      </c>
      <c r="G723" t="s">
        <v>1026</v>
      </c>
      <c r="H723" t="s">
        <v>1027</v>
      </c>
      <c r="I723">
        <v>0</v>
      </c>
      <c r="J723">
        <v>0</v>
      </c>
      <c r="K723" t="s">
        <v>2190</v>
      </c>
    </row>
    <row r="724" spans="1:11" x14ac:dyDescent="0.2">
      <c r="A724" t="str">
        <f>HYPERLINK("https://www.tiwall.com//p/khatabbepedar","خطاب به پدر")</f>
        <v>خطاب به پدر</v>
      </c>
      <c r="B724">
        <v>30</v>
      </c>
      <c r="C724" t="s">
        <v>383</v>
      </c>
      <c r="D724" t="s">
        <v>25</v>
      </c>
      <c r="E724" t="s">
        <v>138</v>
      </c>
      <c r="F724" t="s">
        <v>1652</v>
      </c>
      <c r="G724" t="s">
        <v>2191</v>
      </c>
      <c r="H724" t="s">
        <v>2192</v>
      </c>
      <c r="I724">
        <v>0</v>
      </c>
      <c r="J724">
        <v>0</v>
      </c>
      <c r="K724" t="s">
        <v>2193</v>
      </c>
    </row>
    <row r="725" spans="1:11" x14ac:dyDescent="0.2">
      <c r="A725" t="str">
        <f>HYPERLINK("https://www.tiwall.com//p/hambazi2","همبازی")</f>
        <v>همبازی</v>
      </c>
      <c r="B725">
        <v>30</v>
      </c>
      <c r="C725" t="s">
        <v>60</v>
      </c>
      <c r="D725" t="s">
        <v>299</v>
      </c>
      <c r="E725" t="s">
        <v>235</v>
      </c>
      <c r="F725" t="s">
        <v>2194</v>
      </c>
      <c r="G725" t="s">
        <v>236</v>
      </c>
      <c r="H725" t="s">
        <v>236</v>
      </c>
      <c r="I725">
        <v>0</v>
      </c>
      <c r="J725">
        <v>0</v>
      </c>
      <c r="K725" t="s">
        <v>2195</v>
      </c>
    </row>
    <row r="726" spans="1:11" x14ac:dyDescent="0.2">
      <c r="A726" t="str">
        <f>HYPERLINK("https://www.tiwall.com//p/soesaity","سوسایتی")</f>
        <v>سوسایتی</v>
      </c>
      <c r="B726">
        <v>45</v>
      </c>
      <c r="C726" t="s">
        <v>2196</v>
      </c>
      <c r="D726" t="s">
        <v>45</v>
      </c>
      <c r="E726" t="s">
        <v>303</v>
      </c>
      <c r="F726" t="s">
        <v>1306</v>
      </c>
      <c r="G726" t="s">
        <v>2197</v>
      </c>
      <c r="H726" t="s">
        <v>2197</v>
      </c>
      <c r="I726">
        <v>0</v>
      </c>
      <c r="J726">
        <v>0</v>
      </c>
      <c r="K726" t="s">
        <v>2198</v>
      </c>
    </row>
    <row r="727" spans="1:11" x14ac:dyDescent="0.2">
      <c r="A727" t="str">
        <f>HYPERLINK("https://www.tiwall.com//p/ekteshafat3","کمدی اکتشافات")</f>
        <v>کمدی اکتشافات</v>
      </c>
      <c r="B727">
        <v>70</v>
      </c>
      <c r="C727" t="s">
        <v>230</v>
      </c>
      <c r="D727" t="s">
        <v>12</v>
      </c>
      <c r="E727" t="s">
        <v>19</v>
      </c>
      <c r="F727" t="s">
        <v>2199</v>
      </c>
      <c r="G727" t="s">
        <v>1843</v>
      </c>
      <c r="H727" t="s">
        <v>408</v>
      </c>
      <c r="I727">
        <v>3.2</v>
      </c>
      <c r="J727">
        <v>6</v>
      </c>
      <c r="K727" t="s">
        <v>2200</v>
      </c>
    </row>
    <row r="728" spans="1:11" x14ac:dyDescent="0.2">
      <c r="A728" t="str">
        <f>HYPERLINK("https://www.tiwall.com//p/injabemirim2","آمده بودیم اینجا بمیریم")</f>
        <v>آمده بودیم اینجا بمیریم</v>
      </c>
      <c r="B728">
        <v>40</v>
      </c>
      <c r="C728" t="s">
        <v>825</v>
      </c>
      <c r="D728" t="s">
        <v>45</v>
      </c>
      <c r="E728" t="s">
        <v>26</v>
      </c>
      <c r="F728" t="s">
        <v>568</v>
      </c>
      <c r="G728" t="s">
        <v>2201</v>
      </c>
      <c r="H728" t="s">
        <v>2201</v>
      </c>
      <c r="I728">
        <v>0</v>
      </c>
      <c r="J728">
        <v>0</v>
      </c>
      <c r="K728" t="s">
        <v>2202</v>
      </c>
    </row>
    <row r="729" spans="1:11" x14ac:dyDescent="0.2">
      <c r="A729" t="str">
        <f>HYPERLINK("https://www.tiwall.com//p/gormo","گُرمو")</f>
        <v>گُرمو</v>
      </c>
      <c r="B729">
        <v>40</v>
      </c>
      <c r="C729" t="s">
        <v>1101</v>
      </c>
      <c r="D729" t="s">
        <v>45</v>
      </c>
      <c r="E729" t="s">
        <v>13</v>
      </c>
      <c r="F729" t="s">
        <v>2040</v>
      </c>
      <c r="G729" t="s">
        <v>1103</v>
      </c>
      <c r="H729" t="s">
        <v>1103</v>
      </c>
      <c r="I729">
        <v>0</v>
      </c>
      <c r="J729">
        <v>0</v>
      </c>
      <c r="K729" t="s">
        <v>2203</v>
      </c>
    </row>
    <row r="730" spans="1:11" x14ac:dyDescent="0.2">
      <c r="A730" t="str">
        <f>HYPERLINK("https://www.tiwall.com//p/khers14","خرس")</f>
        <v>خرس</v>
      </c>
      <c r="B730">
        <v>35</v>
      </c>
      <c r="C730" t="s">
        <v>1697</v>
      </c>
      <c r="D730" t="s">
        <v>12</v>
      </c>
      <c r="E730" t="s">
        <v>194</v>
      </c>
      <c r="F730" t="s">
        <v>1734</v>
      </c>
      <c r="G730" t="s">
        <v>2204</v>
      </c>
      <c r="H730" t="s">
        <v>352</v>
      </c>
      <c r="I730">
        <v>0</v>
      </c>
      <c r="J730">
        <v>0</v>
      </c>
      <c r="K730" t="s">
        <v>2205</v>
      </c>
    </row>
    <row r="731" spans="1:11" x14ac:dyDescent="0.2">
      <c r="A731" t="str">
        <f>HYPERLINK("https://www.tiwall.com//p/macbeth13","تراژدی مکبث")</f>
        <v>تراژدی مکبث</v>
      </c>
      <c r="B731">
        <v>80</v>
      </c>
      <c r="C731" t="s">
        <v>51</v>
      </c>
      <c r="D731" t="s">
        <v>146</v>
      </c>
      <c r="E731" t="s">
        <v>303</v>
      </c>
      <c r="F731" t="s">
        <v>2206</v>
      </c>
      <c r="G731" t="s">
        <v>1995</v>
      </c>
      <c r="H731" t="s">
        <v>1034</v>
      </c>
      <c r="I731">
        <v>0</v>
      </c>
      <c r="J731">
        <v>0</v>
      </c>
      <c r="K731" t="s">
        <v>2207</v>
      </c>
    </row>
    <row r="732" spans="1:11" x14ac:dyDescent="0.2">
      <c r="A732" t="str">
        <f>HYPERLINK("https://www.tiwall.com//p/ghafasrangarang","قفس رنگارنگ")</f>
        <v>قفس رنگارنگ</v>
      </c>
      <c r="B732">
        <v>50</v>
      </c>
      <c r="C732" t="s">
        <v>199</v>
      </c>
      <c r="D732" t="s">
        <v>12</v>
      </c>
      <c r="E732" t="s">
        <v>13</v>
      </c>
      <c r="F732" t="s">
        <v>596</v>
      </c>
      <c r="G732" t="s">
        <v>2208</v>
      </c>
      <c r="H732" t="s">
        <v>2208</v>
      </c>
      <c r="I732">
        <v>0</v>
      </c>
      <c r="J732">
        <v>0</v>
      </c>
      <c r="K732" t="s">
        <v>2209</v>
      </c>
    </row>
    <row r="733" spans="1:11" x14ac:dyDescent="0.2">
      <c r="A733" t="str">
        <f>HYPERLINK("https://www.tiwall.com//p/khaksefid","خاک سفید")</f>
        <v>خاک سفید</v>
      </c>
      <c r="B733">
        <v>60</v>
      </c>
      <c r="C733" t="s">
        <v>230</v>
      </c>
      <c r="D733" t="s">
        <v>45</v>
      </c>
      <c r="E733" t="s">
        <v>26</v>
      </c>
      <c r="F733" t="s">
        <v>1152</v>
      </c>
      <c r="G733" t="s">
        <v>1422</v>
      </c>
      <c r="H733" t="s">
        <v>1423</v>
      </c>
      <c r="I733">
        <v>3.8</v>
      </c>
      <c r="J733">
        <v>32</v>
      </c>
      <c r="K733" t="s">
        <v>2210</v>
      </c>
    </row>
    <row r="734" spans="1:11" x14ac:dyDescent="0.2">
      <c r="A734" t="str">
        <f>HYPERLINK("https://www.tiwall.com//p/shaamkhodahafezi","شام خداحافظی")</f>
        <v>شام خداحافظی</v>
      </c>
      <c r="B734">
        <v>40</v>
      </c>
      <c r="C734" t="s">
        <v>103</v>
      </c>
      <c r="D734" t="s">
        <v>87</v>
      </c>
      <c r="E734" t="s">
        <v>26</v>
      </c>
      <c r="F734" t="s">
        <v>2211</v>
      </c>
      <c r="G734" t="s">
        <v>2212</v>
      </c>
      <c r="H734" t="s">
        <v>2213</v>
      </c>
      <c r="I734">
        <v>0</v>
      </c>
      <c r="J734">
        <v>0</v>
      </c>
      <c r="K734" t="s">
        <v>2214</v>
      </c>
    </row>
    <row r="735" spans="1:11" x14ac:dyDescent="0.2">
      <c r="A735" t="str">
        <f>HYPERLINK("https://www.tiwall.com//p/salehan2","صالحان")</f>
        <v>صالحان</v>
      </c>
      <c r="B735">
        <v>120</v>
      </c>
      <c r="C735" t="s">
        <v>24</v>
      </c>
      <c r="D735" t="s">
        <v>12</v>
      </c>
      <c r="E735" t="s">
        <v>13</v>
      </c>
      <c r="F735" t="s">
        <v>672</v>
      </c>
      <c r="G735" t="s">
        <v>1638</v>
      </c>
      <c r="H735" t="s">
        <v>758</v>
      </c>
      <c r="I735">
        <v>4</v>
      </c>
      <c r="J735">
        <v>51</v>
      </c>
      <c r="K735" t="s">
        <v>2215</v>
      </c>
    </row>
    <row r="736" spans="1:11" x14ac:dyDescent="0.2">
      <c r="A736" t="str">
        <f>HYPERLINK("https://www.tiwall.com//p/fatemeh2","فاطمه")</f>
        <v>فاطمه</v>
      </c>
      <c r="B736">
        <v>100</v>
      </c>
      <c r="C736" t="s">
        <v>2216</v>
      </c>
      <c r="D736" t="s">
        <v>87</v>
      </c>
      <c r="E736" t="s">
        <v>71</v>
      </c>
      <c r="F736" t="s">
        <v>286</v>
      </c>
      <c r="G736" t="s">
        <v>1038</v>
      </c>
      <c r="H736" t="s">
        <v>1038</v>
      </c>
      <c r="I736">
        <v>0</v>
      </c>
      <c r="J736">
        <v>0</v>
      </c>
      <c r="K736" t="s">
        <v>1039</v>
      </c>
    </row>
    <row r="737" spans="1:11" x14ac:dyDescent="0.2">
      <c r="A737" t="str">
        <f>HYPERLINK("https://www.tiwall.com//p/pedar.pesar","پدر خط فاصله پسر")</f>
        <v>پدر خط فاصله پسر</v>
      </c>
      <c r="B737">
        <v>20</v>
      </c>
      <c r="C737" t="s">
        <v>242</v>
      </c>
      <c r="D737" t="s">
        <v>32</v>
      </c>
      <c r="E737" t="s">
        <v>138</v>
      </c>
      <c r="F737" t="s">
        <v>2217</v>
      </c>
      <c r="G737" t="s">
        <v>2218</v>
      </c>
      <c r="H737" t="s">
        <v>2218</v>
      </c>
      <c r="I737">
        <v>0</v>
      </c>
      <c r="J737">
        <v>0</v>
      </c>
      <c r="K737" t="s">
        <v>2219</v>
      </c>
    </row>
    <row r="738" spans="1:11" x14ac:dyDescent="0.2">
      <c r="A738" t="str">
        <f>HYPERLINK("https://www.tiwall.com//p/donyayekhialangiz","دنیای خیال انگیز من")</f>
        <v>دنیای خیال انگیز من</v>
      </c>
      <c r="B738">
        <v>12</v>
      </c>
      <c r="C738" t="s">
        <v>2220</v>
      </c>
      <c r="D738" t="s">
        <v>87</v>
      </c>
      <c r="E738" t="s">
        <v>415</v>
      </c>
      <c r="F738" t="s">
        <v>1889</v>
      </c>
      <c r="G738" t="s">
        <v>2221</v>
      </c>
      <c r="H738" t="s">
        <v>2221</v>
      </c>
      <c r="I738">
        <v>0</v>
      </c>
      <c r="J738">
        <v>0</v>
      </c>
      <c r="K738" t="s">
        <v>2221</v>
      </c>
    </row>
    <row r="739" spans="1:11" x14ac:dyDescent="0.2">
      <c r="A739" t="str">
        <f>HYPERLINK("https://www.tiwall.com//p/needliar","به یک دروغ گو نیازمندیم")</f>
        <v>به یک دروغ گو نیازمندیم</v>
      </c>
      <c r="B739">
        <v>30</v>
      </c>
      <c r="C739" t="s">
        <v>2222</v>
      </c>
      <c r="D739" t="s">
        <v>12</v>
      </c>
      <c r="E739" t="s">
        <v>175</v>
      </c>
      <c r="F739" t="s">
        <v>938</v>
      </c>
      <c r="G739" t="s">
        <v>2223</v>
      </c>
      <c r="H739" t="s">
        <v>2224</v>
      </c>
      <c r="I739">
        <v>0</v>
      </c>
      <c r="J739">
        <v>0</v>
      </c>
      <c r="K739" t="s">
        <v>2225</v>
      </c>
    </row>
    <row r="740" spans="1:11" x14ac:dyDescent="0.2">
      <c r="A740" t="str">
        <f>HYPERLINK("https://www.tiwall.com//p/dastansarzamin","داستان های سرزمین مردمان خردمند")</f>
        <v>داستان های سرزمین مردمان خردمند</v>
      </c>
      <c r="B740">
        <v>40</v>
      </c>
      <c r="C740" t="s">
        <v>1219</v>
      </c>
      <c r="D740" t="s">
        <v>217</v>
      </c>
      <c r="E740" t="s">
        <v>208</v>
      </c>
      <c r="F740" t="s">
        <v>14</v>
      </c>
      <c r="G740" t="s">
        <v>2226</v>
      </c>
      <c r="H740" t="s">
        <v>2227</v>
      </c>
      <c r="I740">
        <v>3.8</v>
      </c>
      <c r="J740">
        <v>18</v>
      </c>
      <c r="K740" t="s">
        <v>2228</v>
      </c>
    </row>
    <row r="741" spans="1:11" x14ac:dyDescent="0.2">
      <c r="A741" t="str">
        <f>HYPERLINK("https://www.tiwall.com//p/pardekhaneh","پرده خانه")</f>
        <v>پرده خانه</v>
      </c>
      <c r="B741">
        <v>100</v>
      </c>
      <c r="C741" t="s">
        <v>230</v>
      </c>
      <c r="D741" t="s">
        <v>225</v>
      </c>
      <c r="E741" t="s">
        <v>2229</v>
      </c>
      <c r="F741" t="s">
        <v>195</v>
      </c>
      <c r="G741" t="s">
        <v>704</v>
      </c>
      <c r="H741" t="s">
        <v>2230</v>
      </c>
      <c r="I741">
        <v>4.5</v>
      </c>
      <c r="J741">
        <v>297</v>
      </c>
      <c r="K741" t="s">
        <v>2231</v>
      </c>
    </row>
    <row r="742" spans="1:11" x14ac:dyDescent="0.2">
      <c r="A742" t="str">
        <f>HYPERLINK("https://www.tiwall.com//p/actor2","آکتور")</f>
        <v>آکتور</v>
      </c>
      <c r="B742">
        <v>70</v>
      </c>
      <c r="C742" t="s">
        <v>86</v>
      </c>
      <c r="D742" t="s">
        <v>265</v>
      </c>
      <c r="E742" t="s">
        <v>19</v>
      </c>
      <c r="F742" t="s">
        <v>476</v>
      </c>
      <c r="G742" t="s">
        <v>2232</v>
      </c>
      <c r="H742" t="s">
        <v>2232</v>
      </c>
      <c r="I742">
        <v>3.1</v>
      </c>
      <c r="J742">
        <v>13</v>
      </c>
      <c r="K742" t="s">
        <v>2233</v>
      </c>
    </row>
    <row r="743" spans="1:11" x14ac:dyDescent="0.2">
      <c r="A743" t="str">
        <f>HYPERLINK("https://www.tiwall.com//p/jesmesakht4","پس از برخورد جسم سخت به سر")</f>
        <v>پس از برخورد جسم سخت به سر</v>
      </c>
      <c r="B743">
        <v>40</v>
      </c>
      <c r="C743" t="s">
        <v>180</v>
      </c>
      <c r="D743" t="s">
        <v>217</v>
      </c>
      <c r="E743" t="s">
        <v>13</v>
      </c>
      <c r="F743" t="s">
        <v>2234</v>
      </c>
      <c r="G743" t="s">
        <v>2072</v>
      </c>
      <c r="H743" t="s">
        <v>2072</v>
      </c>
      <c r="I743">
        <v>3.8</v>
      </c>
      <c r="J743">
        <v>28</v>
      </c>
      <c r="K743" t="s">
        <v>2235</v>
      </c>
    </row>
    <row r="744" spans="1:11" x14ac:dyDescent="0.2">
      <c r="A744" t="str">
        <f>HYPERLINK("https://www.tiwall.com//p/khounmordegi","خون مردگی")</f>
        <v>خون مردگی</v>
      </c>
      <c r="B744">
        <v>35</v>
      </c>
      <c r="C744" t="s">
        <v>132</v>
      </c>
      <c r="D744" t="s">
        <v>87</v>
      </c>
      <c r="E744" t="s">
        <v>13</v>
      </c>
      <c r="F744" t="s">
        <v>897</v>
      </c>
      <c r="G744" t="s">
        <v>2236</v>
      </c>
      <c r="H744" t="s">
        <v>2236</v>
      </c>
      <c r="I744">
        <v>0</v>
      </c>
      <c r="J744">
        <v>0</v>
      </c>
      <c r="K744" t="s">
        <v>2237</v>
      </c>
    </row>
    <row r="745" spans="1:11" x14ac:dyDescent="0.2">
      <c r="A745" t="str">
        <f>HYPERLINK("https://www.tiwall.com//p/khabkoshi","خواب کُشی")</f>
        <v>خواب کُشی</v>
      </c>
      <c r="B745">
        <v>50</v>
      </c>
      <c r="C745" t="s">
        <v>137</v>
      </c>
      <c r="D745" t="s">
        <v>45</v>
      </c>
      <c r="E745" t="s">
        <v>13</v>
      </c>
      <c r="F745" t="s">
        <v>314</v>
      </c>
      <c r="G745" t="s">
        <v>2238</v>
      </c>
      <c r="H745" t="s">
        <v>2239</v>
      </c>
      <c r="I745">
        <v>4.3</v>
      </c>
      <c r="J745">
        <v>35</v>
      </c>
      <c r="K745" t="s">
        <v>2240</v>
      </c>
    </row>
    <row r="746" spans="1:11" x14ac:dyDescent="0.2">
      <c r="A746" t="str">
        <f>HYPERLINK("https://www.tiwall.com//p/majarayekheilisiah4","یک ماجرای خیلی خیلی خیلی سیاه")</f>
        <v>یک ماجرای خیلی خیلی خیلی سیاه</v>
      </c>
      <c r="B746">
        <v>50</v>
      </c>
      <c r="C746" t="s">
        <v>24</v>
      </c>
      <c r="D746" t="s">
        <v>87</v>
      </c>
      <c r="E746" t="s">
        <v>26</v>
      </c>
      <c r="F746" t="s">
        <v>2241</v>
      </c>
      <c r="G746" t="s">
        <v>1532</v>
      </c>
      <c r="H746" t="s">
        <v>755</v>
      </c>
      <c r="I746">
        <v>0</v>
      </c>
      <c r="J746">
        <v>0</v>
      </c>
      <c r="K746" t="s">
        <v>2242</v>
      </c>
    </row>
    <row r="747" spans="1:11" x14ac:dyDescent="0.2">
      <c r="A747" t="str">
        <f>HYPERLINK("https://www.tiwall.com//p/haghayegh.mahi.morde2","حقایقی درباره یک ماهی مرده")</f>
        <v>حقایقی درباره یک ماهی مرده</v>
      </c>
      <c r="B747">
        <v>40</v>
      </c>
      <c r="C747" t="s">
        <v>204</v>
      </c>
      <c r="D747" t="s">
        <v>265</v>
      </c>
      <c r="E747" t="s">
        <v>13</v>
      </c>
      <c r="F747" t="s">
        <v>2243</v>
      </c>
      <c r="G747" t="s">
        <v>2244</v>
      </c>
      <c r="H747" t="s">
        <v>538</v>
      </c>
      <c r="I747">
        <v>3.6</v>
      </c>
      <c r="J747">
        <v>32</v>
      </c>
      <c r="K747" t="s">
        <v>2245</v>
      </c>
    </row>
    <row r="748" spans="1:11" x14ac:dyDescent="0.2">
      <c r="A748" t="str">
        <f>HYPERLINK("https://www.tiwall.com//p/seganeheyeparisi2","سه گانه‌ی پاریسی")</f>
        <v>سه گانه‌ی پاریسی</v>
      </c>
      <c r="B748">
        <v>60</v>
      </c>
      <c r="C748" t="s">
        <v>31</v>
      </c>
      <c r="D748" t="s">
        <v>217</v>
      </c>
      <c r="E748" t="s">
        <v>138</v>
      </c>
      <c r="F748" t="s">
        <v>596</v>
      </c>
      <c r="G748" t="s">
        <v>2246</v>
      </c>
      <c r="H748" t="s">
        <v>2246</v>
      </c>
      <c r="I748">
        <v>3.8</v>
      </c>
      <c r="J748">
        <v>46</v>
      </c>
      <c r="K748" t="s">
        <v>2247</v>
      </c>
    </row>
    <row r="749" spans="1:11" x14ac:dyDescent="0.2">
      <c r="A749" t="str">
        <f>HYPERLINK("https://www.tiwall.com//p/veronicasroom9","اتاق ورونیکا")</f>
        <v>اتاق ورونیکا</v>
      </c>
      <c r="B749">
        <v>50</v>
      </c>
      <c r="C749" t="s">
        <v>2248</v>
      </c>
      <c r="D749" t="s">
        <v>12</v>
      </c>
      <c r="E749" t="s">
        <v>13</v>
      </c>
      <c r="F749" t="s">
        <v>57</v>
      </c>
      <c r="G749" t="s">
        <v>2249</v>
      </c>
      <c r="H749" t="s">
        <v>1676</v>
      </c>
      <c r="I749">
        <v>0</v>
      </c>
      <c r="J749">
        <v>0</v>
      </c>
      <c r="K749" t="s">
        <v>2250</v>
      </c>
    </row>
    <row r="750" spans="1:11" x14ac:dyDescent="0.2">
      <c r="A750" t="str">
        <f>HYPERLINK("https://www.tiwall.com//p/etehambekhod3","اتهام به خود")</f>
        <v>اتهام به خود</v>
      </c>
      <c r="B750">
        <v>30</v>
      </c>
      <c r="C750" t="s">
        <v>108</v>
      </c>
      <c r="D750" t="s">
        <v>12</v>
      </c>
      <c r="E750" t="s">
        <v>138</v>
      </c>
      <c r="F750" t="s">
        <v>2251</v>
      </c>
      <c r="G750" t="s">
        <v>2252</v>
      </c>
      <c r="H750" t="s">
        <v>1210</v>
      </c>
      <c r="I750">
        <v>0</v>
      </c>
      <c r="J750">
        <v>0</v>
      </c>
      <c r="K750" t="s">
        <v>2253</v>
      </c>
    </row>
    <row r="751" spans="1:11" x14ac:dyDescent="0.2">
      <c r="A751" t="str">
        <f>HYPERLINK("https://www.tiwall.com//p/shirinfarhad","شیرین و فرهاد")</f>
        <v>شیرین و فرهاد</v>
      </c>
      <c r="B751">
        <v>30</v>
      </c>
      <c r="C751" t="s">
        <v>918</v>
      </c>
      <c r="D751" t="s">
        <v>12</v>
      </c>
      <c r="E751" t="s">
        <v>98</v>
      </c>
      <c r="F751" t="s">
        <v>424</v>
      </c>
      <c r="G751" t="s">
        <v>2254</v>
      </c>
      <c r="H751" t="s">
        <v>2254</v>
      </c>
      <c r="I751">
        <v>0</v>
      </c>
      <c r="J751">
        <v>0</v>
      </c>
      <c r="K751" t="s">
        <v>2255</v>
      </c>
    </row>
    <row r="752" spans="1:11" x14ac:dyDescent="0.2">
      <c r="A752" t="str">
        <f>HYPERLINK("https://www.tiwall.com//p/rouzkhakestari","قصه‌ی بامدادِ یک روز خاکستری")</f>
        <v>قصه‌ی بامدادِ یک روز خاکستری</v>
      </c>
      <c r="B752">
        <v>35</v>
      </c>
      <c r="C752" t="s">
        <v>11</v>
      </c>
      <c r="D752" t="s">
        <v>87</v>
      </c>
      <c r="E752" t="s">
        <v>138</v>
      </c>
      <c r="F752" t="s">
        <v>596</v>
      </c>
      <c r="G752" t="s">
        <v>2256</v>
      </c>
      <c r="H752" t="s">
        <v>2257</v>
      </c>
      <c r="I752">
        <v>0</v>
      </c>
      <c r="J752">
        <v>0</v>
      </c>
      <c r="K752" t="s">
        <v>2258</v>
      </c>
    </row>
    <row r="753" spans="1:11" x14ac:dyDescent="0.2">
      <c r="A753" t="str">
        <f>HYPERLINK("https://www.tiwall.com//p/house.bernarda.alba8","خانه برناردا آلبا")</f>
        <v>خانه برناردا آلبا</v>
      </c>
      <c r="B753">
        <v>90</v>
      </c>
      <c r="C753" t="s">
        <v>224</v>
      </c>
      <c r="D753" t="s">
        <v>65</v>
      </c>
      <c r="E753" t="s">
        <v>88</v>
      </c>
      <c r="F753" t="s">
        <v>1388</v>
      </c>
      <c r="G753" t="s">
        <v>446</v>
      </c>
      <c r="H753" t="s">
        <v>447</v>
      </c>
      <c r="I753">
        <v>4.5</v>
      </c>
      <c r="J753">
        <v>15</v>
      </c>
      <c r="K753" t="s">
        <v>2259</v>
      </c>
    </row>
    <row r="754" spans="1:11" x14ac:dyDescent="0.2">
      <c r="A754" t="str">
        <f>HYPERLINK("https://www.tiwall.com//p/telmikha","تملیخا")</f>
        <v>تملیخا</v>
      </c>
      <c r="B754">
        <v>30</v>
      </c>
      <c r="C754" t="s">
        <v>112</v>
      </c>
      <c r="D754" t="s">
        <v>384</v>
      </c>
      <c r="E754" t="s">
        <v>235</v>
      </c>
      <c r="F754" t="s">
        <v>1294</v>
      </c>
      <c r="G754" t="s">
        <v>2260</v>
      </c>
      <c r="H754" t="s">
        <v>2261</v>
      </c>
      <c r="I754">
        <v>3.6</v>
      </c>
      <c r="J754">
        <v>18</v>
      </c>
      <c r="K754" t="s">
        <v>2262</v>
      </c>
    </row>
    <row r="755" spans="1:11" x14ac:dyDescent="0.2">
      <c r="A755" t="str">
        <f>HYPERLINK("https://www.tiwall.com//p/backtoblack","بک تو بلک")</f>
        <v>بک تو بلک</v>
      </c>
      <c r="B755">
        <v>150</v>
      </c>
      <c r="C755" t="s">
        <v>410</v>
      </c>
      <c r="D755" t="s">
        <v>70</v>
      </c>
      <c r="E755" t="s">
        <v>26</v>
      </c>
      <c r="F755" t="s">
        <v>1660</v>
      </c>
      <c r="G755" t="s">
        <v>2002</v>
      </c>
      <c r="H755" t="s">
        <v>2002</v>
      </c>
      <c r="I755">
        <v>3.9</v>
      </c>
      <c r="J755">
        <v>412</v>
      </c>
      <c r="K755" t="s">
        <v>2263</v>
      </c>
    </row>
    <row r="756" spans="1:11" x14ac:dyDescent="0.2">
      <c r="A756" t="str">
        <f>HYPERLINK("https://www.tiwall.com//p/eistagahkhayam","ایستگاه بعد، خیام")</f>
        <v>ایستگاه بعد، خیام</v>
      </c>
      <c r="B756">
        <v>80</v>
      </c>
      <c r="C756" t="s">
        <v>1446</v>
      </c>
      <c r="D756" t="s">
        <v>65</v>
      </c>
      <c r="E756" t="s">
        <v>138</v>
      </c>
      <c r="F756" t="s">
        <v>2264</v>
      </c>
      <c r="G756" t="s">
        <v>2265</v>
      </c>
      <c r="H756" t="s">
        <v>2266</v>
      </c>
      <c r="I756">
        <v>0</v>
      </c>
      <c r="J756">
        <v>0</v>
      </c>
      <c r="K756" t="s">
        <v>2267</v>
      </c>
    </row>
    <row r="757" spans="1:11" x14ac:dyDescent="0.2">
      <c r="A757" t="str">
        <f>HYPERLINK("https://www.tiwall.com//p/ghavitar7","قوی تر")</f>
        <v>قوی تر</v>
      </c>
      <c r="B757">
        <v>30</v>
      </c>
      <c r="C757" t="s">
        <v>514</v>
      </c>
      <c r="D757" t="s">
        <v>45</v>
      </c>
      <c r="E757" t="s">
        <v>235</v>
      </c>
      <c r="F757" t="s">
        <v>2268</v>
      </c>
      <c r="G757" t="s">
        <v>2269</v>
      </c>
      <c r="H757" t="s">
        <v>2270</v>
      </c>
      <c r="I757">
        <v>3</v>
      </c>
      <c r="J757">
        <v>6</v>
      </c>
      <c r="K757" t="s">
        <v>2271</v>
      </c>
    </row>
    <row r="758" spans="1:11" x14ac:dyDescent="0.2">
      <c r="A758" t="str">
        <f>HYPERLINK("https://www.tiwall.com//p/kabutarinagahan6","کبوتری ناگهان")</f>
        <v>کبوتری ناگهان</v>
      </c>
      <c r="B758">
        <v>30</v>
      </c>
      <c r="C758" t="s">
        <v>97</v>
      </c>
      <c r="D758" t="s">
        <v>32</v>
      </c>
      <c r="E758" t="s">
        <v>13</v>
      </c>
      <c r="F758" t="s">
        <v>40</v>
      </c>
      <c r="G758" t="s">
        <v>1225</v>
      </c>
      <c r="H758" t="s">
        <v>538</v>
      </c>
      <c r="I758">
        <v>0</v>
      </c>
      <c r="J758">
        <v>0</v>
      </c>
      <c r="K758" t="s">
        <v>2272</v>
      </c>
    </row>
    <row r="759" spans="1:11" x14ac:dyDescent="0.2">
      <c r="A759" t="str">
        <f>HYPERLINK("https://www.tiwall.com//p/neanderthal","نئاندرتال ها")</f>
        <v>نئاندرتال ها</v>
      </c>
      <c r="B759">
        <v>50</v>
      </c>
      <c r="C759" t="s">
        <v>204</v>
      </c>
      <c r="D759" t="s">
        <v>25</v>
      </c>
      <c r="E759" t="s">
        <v>194</v>
      </c>
      <c r="F759" t="s">
        <v>2273</v>
      </c>
      <c r="G759" t="s">
        <v>206</v>
      </c>
      <c r="H759" t="s">
        <v>206</v>
      </c>
      <c r="I759">
        <v>3.7</v>
      </c>
      <c r="J759">
        <v>34</v>
      </c>
      <c r="K759" t="s">
        <v>2274</v>
      </c>
    </row>
    <row r="760" spans="1:11" x14ac:dyDescent="0.2">
      <c r="A760" t="str">
        <f>HYPERLINK("https://www.tiwall.com//p/tansayeh","تن سایه")</f>
        <v>تن سایه</v>
      </c>
      <c r="B760">
        <v>130</v>
      </c>
      <c r="C760" t="s">
        <v>1290</v>
      </c>
      <c r="D760" t="s">
        <v>470</v>
      </c>
      <c r="E760" t="s">
        <v>303</v>
      </c>
      <c r="F760" t="s">
        <v>650</v>
      </c>
      <c r="G760" t="s">
        <v>2275</v>
      </c>
      <c r="H760" t="s">
        <v>2275</v>
      </c>
      <c r="I760">
        <v>3.5</v>
      </c>
      <c r="J760">
        <v>21</v>
      </c>
      <c r="K760" t="s">
        <v>2276</v>
      </c>
    </row>
    <row r="761" spans="1:11" x14ac:dyDescent="0.2">
      <c r="A761" t="str">
        <f>HYPERLINK("https://www.tiwall.com//p/baziyebozorg","بازی بزرگ")</f>
        <v>بازی بزرگ</v>
      </c>
      <c r="B761">
        <v>80</v>
      </c>
      <c r="C761" t="s">
        <v>151</v>
      </c>
      <c r="D761" t="s">
        <v>38</v>
      </c>
      <c r="E761" t="s">
        <v>19</v>
      </c>
      <c r="F761" t="s">
        <v>2277</v>
      </c>
      <c r="G761" t="s">
        <v>2278</v>
      </c>
      <c r="H761" t="s">
        <v>2278</v>
      </c>
      <c r="I761">
        <v>4.2</v>
      </c>
      <c r="J761">
        <v>33</v>
      </c>
      <c r="K761" t="s">
        <v>2279</v>
      </c>
    </row>
    <row r="762" spans="1:11" x14ac:dyDescent="0.2">
      <c r="A762" t="str">
        <f>HYPERLINK("https://www.tiwall.com//p/yeksaataramesh6","فقط یک ساعت آرامش")</f>
        <v>فقط یک ساعت آرامش</v>
      </c>
      <c r="B762">
        <v>80</v>
      </c>
      <c r="C762" t="s">
        <v>86</v>
      </c>
      <c r="D762" t="s">
        <v>65</v>
      </c>
      <c r="E762" t="s">
        <v>26</v>
      </c>
      <c r="F762" t="s">
        <v>2280</v>
      </c>
      <c r="G762" t="s">
        <v>2281</v>
      </c>
      <c r="H762" t="s">
        <v>2282</v>
      </c>
      <c r="I762">
        <v>3.3</v>
      </c>
      <c r="J762">
        <v>8</v>
      </c>
      <c r="K762" t="s">
        <v>2283</v>
      </c>
    </row>
    <row r="763" spans="1:11" x14ac:dyDescent="0.2">
      <c r="A763" t="str">
        <f>HYPERLINK("https://www.tiwall.com//p/tardid5","تردید")</f>
        <v>تردید</v>
      </c>
      <c r="B763">
        <v>70</v>
      </c>
      <c r="C763" t="s">
        <v>44</v>
      </c>
      <c r="D763" t="s">
        <v>65</v>
      </c>
      <c r="E763" t="s">
        <v>71</v>
      </c>
      <c r="F763" t="s">
        <v>200</v>
      </c>
      <c r="G763" t="s">
        <v>2284</v>
      </c>
      <c r="H763" t="s">
        <v>2284</v>
      </c>
      <c r="I763">
        <v>0</v>
      </c>
      <c r="J763">
        <v>0</v>
      </c>
      <c r="K763" t="s">
        <v>2285</v>
      </c>
    </row>
    <row r="764" spans="1:11" x14ac:dyDescent="0.2">
      <c r="A764" t="str">
        <f>HYPERLINK("https://www.tiwall.com//p/mokashefehshabyalda","مکاشفه‌ی شب یلدا")</f>
        <v>مکاشفه‌ی شب یلدا</v>
      </c>
      <c r="B764">
        <v>30</v>
      </c>
      <c r="C764" t="s">
        <v>369</v>
      </c>
      <c r="D764" t="s">
        <v>2286</v>
      </c>
      <c r="E764" t="s">
        <v>303</v>
      </c>
      <c r="F764" t="s">
        <v>2287</v>
      </c>
      <c r="G764" t="s">
        <v>2246</v>
      </c>
      <c r="H764" t="s">
        <v>2288</v>
      </c>
      <c r="I764">
        <v>2.4</v>
      </c>
      <c r="J764">
        <v>16</v>
      </c>
      <c r="K764" t="s">
        <v>2289</v>
      </c>
    </row>
    <row r="765" spans="1:11" x14ac:dyDescent="0.2">
      <c r="A765" t="str">
        <f>HYPERLINK("https://www.tiwall.com//p/vahamishepayiz2","و همیشه پاییز")</f>
        <v>و همیشه پاییز</v>
      </c>
      <c r="B765">
        <v>30</v>
      </c>
      <c r="C765" t="s">
        <v>369</v>
      </c>
      <c r="D765" t="s">
        <v>87</v>
      </c>
      <c r="E765" t="s">
        <v>13</v>
      </c>
      <c r="F765" t="s">
        <v>109</v>
      </c>
      <c r="G765" t="s">
        <v>2290</v>
      </c>
      <c r="H765" t="s">
        <v>2290</v>
      </c>
      <c r="I765">
        <v>0</v>
      </c>
      <c r="J765">
        <v>0</v>
      </c>
      <c r="K765" t="s">
        <v>2291</v>
      </c>
    </row>
    <row r="766" spans="1:11" x14ac:dyDescent="0.2">
      <c r="A766" t="str">
        <f>HYPERLINK("https://www.tiwall.com//p/naghashi.choub","نقاشی روی چوب")</f>
        <v>نقاشی روی چوب</v>
      </c>
      <c r="B766">
        <v>50</v>
      </c>
      <c r="C766" t="s">
        <v>224</v>
      </c>
      <c r="D766" t="s">
        <v>87</v>
      </c>
      <c r="E766" t="s">
        <v>26</v>
      </c>
      <c r="F766" t="s">
        <v>89</v>
      </c>
      <c r="G766" t="s">
        <v>2292</v>
      </c>
      <c r="H766" t="s">
        <v>2293</v>
      </c>
      <c r="I766">
        <v>0</v>
      </c>
      <c r="J766">
        <v>0</v>
      </c>
      <c r="K766" t="s">
        <v>2294</v>
      </c>
    </row>
    <row r="767" spans="1:11" x14ac:dyDescent="0.2">
      <c r="A767" t="str">
        <f>HYPERLINK("https://www.tiwall.com//p/anarchist7","مرگ تصادفی یک آنارشیست")</f>
        <v>مرگ تصادفی یک آنارشیست</v>
      </c>
      <c r="B767">
        <v>90</v>
      </c>
      <c r="C767" t="s">
        <v>151</v>
      </c>
      <c r="D767" t="s">
        <v>32</v>
      </c>
      <c r="E767" t="s">
        <v>13</v>
      </c>
      <c r="F767" t="s">
        <v>2295</v>
      </c>
      <c r="G767" t="s">
        <v>1908</v>
      </c>
      <c r="H767" t="s">
        <v>1084</v>
      </c>
      <c r="I767">
        <v>0</v>
      </c>
      <c r="J767">
        <v>0</v>
      </c>
      <c r="K767" t="s">
        <v>2296</v>
      </c>
    </row>
    <row r="768" spans="1:11" x14ac:dyDescent="0.2">
      <c r="A768" t="str">
        <f>HYPERLINK("https://www.tiwall.com//p/majlesghatlraees","مجلس قتل رئیس جمهور")</f>
        <v>مجلس قتل رئیس جمهور</v>
      </c>
      <c r="B768">
        <v>35</v>
      </c>
      <c r="C768" t="s">
        <v>199</v>
      </c>
      <c r="D768" t="s">
        <v>384</v>
      </c>
      <c r="E768" t="s">
        <v>88</v>
      </c>
      <c r="F768" t="s">
        <v>385</v>
      </c>
      <c r="G768" t="s">
        <v>2138</v>
      </c>
      <c r="H768" t="s">
        <v>2138</v>
      </c>
      <c r="I768">
        <v>2.2999999999999998</v>
      </c>
      <c r="J768">
        <v>6</v>
      </c>
      <c r="K768" t="s">
        <v>2297</v>
      </c>
    </row>
    <row r="769" spans="1:11" x14ac:dyDescent="0.2">
      <c r="A769" t="str">
        <f>HYPERLINK("https://www.tiwall.com//p/baghevahsh2","داستان باغ وحش")</f>
        <v>داستان باغ وحش</v>
      </c>
      <c r="B769">
        <v>40</v>
      </c>
      <c r="C769" t="s">
        <v>151</v>
      </c>
      <c r="D769" t="s">
        <v>45</v>
      </c>
      <c r="E769" t="s">
        <v>194</v>
      </c>
      <c r="F769" t="s">
        <v>2298</v>
      </c>
      <c r="G769" t="s">
        <v>2299</v>
      </c>
      <c r="H769" t="s">
        <v>334</v>
      </c>
      <c r="I769">
        <v>0</v>
      </c>
      <c r="J769">
        <v>0</v>
      </c>
      <c r="K769" t="s">
        <v>2300</v>
      </c>
    </row>
    <row r="770" spans="1:11" x14ac:dyDescent="0.2">
      <c r="A770" t="str">
        <f>HYPERLINK("https://www.tiwall.com//p/darhamtanidegi","در هم تنیدگی")</f>
        <v>در هم تنیدگی</v>
      </c>
      <c r="B770">
        <v>70</v>
      </c>
      <c r="C770" t="s">
        <v>230</v>
      </c>
      <c r="D770" t="s">
        <v>45</v>
      </c>
      <c r="E770" t="s">
        <v>26</v>
      </c>
      <c r="F770" t="s">
        <v>506</v>
      </c>
      <c r="G770" t="s">
        <v>2301</v>
      </c>
      <c r="H770" t="s">
        <v>2301</v>
      </c>
      <c r="I770">
        <v>3.2</v>
      </c>
      <c r="J770">
        <v>72</v>
      </c>
      <c r="K770" t="s">
        <v>2302</v>
      </c>
    </row>
    <row r="771" spans="1:11" x14ac:dyDescent="0.2">
      <c r="A771" t="str">
        <f>HYPERLINK("https://www.tiwall.com//p/marg.bedehkar","تو یه مرگ به من بدهکاری")</f>
        <v>تو یه مرگ به من بدهکاری</v>
      </c>
      <c r="B771">
        <v>60</v>
      </c>
      <c r="C771" t="s">
        <v>501</v>
      </c>
      <c r="D771" t="s">
        <v>384</v>
      </c>
      <c r="E771" t="s">
        <v>235</v>
      </c>
      <c r="F771" t="s">
        <v>1004</v>
      </c>
      <c r="G771" t="s">
        <v>2303</v>
      </c>
      <c r="H771" t="s">
        <v>2304</v>
      </c>
      <c r="I771">
        <v>2.8</v>
      </c>
      <c r="J771">
        <v>5</v>
      </c>
      <c r="K771" t="s">
        <v>2305</v>
      </c>
    </row>
    <row r="772" spans="1:11" x14ac:dyDescent="0.2">
      <c r="A772" t="str">
        <f>HYPERLINK("https://www.tiwall.com//p/gotcha","گاچا")</f>
        <v>گاچا</v>
      </c>
      <c r="B772">
        <v>80</v>
      </c>
      <c r="C772" t="s">
        <v>86</v>
      </c>
      <c r="D772" t="s">
        <v>87</v>
      </c>
      <c r="E772" t="s">
        <v>13</v>
      </c>
      <c r="F772" t="s">
        <v>2306</v>
      </c>
      <c r="G772" t="s">
        <v>2307</v>
      </c>
      <c r="H772" t="s">
        <v>2307</v>
      </c>
      <c r="I772">
        <v>0</v>
      </c>
      <c r="J772">
        <v>0</v>
      </c>
      <c r="K772" t="s">
        <v>2308</v>
      </c>
    </row>
    <row r="773" spans="1:11" x14ac:dyDescent="0.2">
      <c r="A773" t="str">
        <f>HYPERLINK("https://www.tiwall.com//p/sagesortme3","سگ سورتمه")</f>
        <v>سگ سورتمه</v>
      </c>
      <c r="B773">
        <v>70</v>
      </c>
      <c r="C773" t="s">
        <v>1290</v>
      </c>
      <c r="D773" t="s">
        <v>12</v>
      </c>
      <c r="E773" t="s">
        <v>13</v>
      </c>
      <c r="F773" t="s">
        <v>1905</v>
      </c>
      <c r="G773" t="s">
        <v>2309</v>
      </c>
      <c r="H773" t="s">
        <v>2309</v>
      </c>
      <c r="I773">
        <v>3.5</v>
      </c>
      <c r="J773">
        <v>51</v>
      </c>
      <c r="K773" t="s">
        <v>2310</v>
      </c>
    </row>
    <row r="774" spans="1:11" x14ac:dyDescent="0.2">
      <c r="A774" t="str">
        <f>HYPERLINK("https://www.tiwall.com//p/dokhtar.aftab","دختری از تبار آفتاب")</f>
        <v>دختری از تبار آفتاب</v>
      </c>
      <c r="B774">
        <v>80</v>
      </c>
      <c r="C774" t="s">
        <v>1446</v>
      </c>
      <c r="D774" t="s">
        <v>156</v>
      </c>
      <c r="E774" t="s">
        <v>13</v>
      </c>
      <c r="F774" t="s">
        <v>2311</v>
      </c>
      <c r="G774" t="s">
        <v>2312</v>
      </c>
      <c r="H774" t="s">
        <v>2313</v>
      </c>
      <c r="I774">
        <v>0</v>
      </c>
      <c r="J774">
        <v>0</v>
      </c>
      <c r="K774" t="s">
        <v>2314</v>
      </c>
    </row>
    <row r="775" spans="1:11" x14ac:dyDescent="0.2">
      <c r="A775" t="str">
        <f>HYPERLINK("https://www.tiwall.com//p/gorbe.zard","گربه های زرد")</f>
        <v>گربه های زرد</v>
      </c>
      <c r="B775">
        <v>60</v>
      </c>
      <c r="C775" t="s">
        <v>204</v>
      </c>
      <c r="D775" t="s">
        <v>12</v>
      </c>
      <c r="E775" t="s">
        <v>13</v>
      </c>
      <c r="F775" t="s">
        <v>2315</v>
      </c>
      <c r="G775" t="s">
        <v>2316</v>
      </c>
      <c r="H775" t="s">
        <v>2316</v>
      </c>
      <c r="I775">
        <v>4.0999999999999996</v>
      </c>
      <c r="J775">
        <v>19</v>
      </c>
      <c r="K775" t="s">
        <v>2317</v>
      </c>
    </row>
    <row r="776" spans="1:11" x14ac:dyDescent="0.2">
      <c r="A776" t="str">
        <f>HYPERLINK("https://www.tiwall.com//p/ghatlkakh","قتل در کاخ")</f>
        <v>قتل در کاخ</v>
      </c>
      <c r="B776">
        <v>50</v>
      </c>
      <c r="C776" t="s">
        <v>132</v>
      </c>
      <c r="D776" t="s">
        <v>12</v>
      </c>
      <c r="E776" t="s">
        <v>26</v>
      </c>
      <c r="F776" t="s">
        <v>725</v>
      </c>
      <c r="G776" t="s">
        <v>2318</v>
      </c>
      <c r="H776" t="s">
        <v>2319</v>
      </c>
      <c r="I776">
        <v>4.0999999999999996</v>
      </c>
      <c r="J776">
        <v>202</v>
      </c>
      <c r="K776" t="s">
        <v>2320</v>
      </c>
    </row>
    <row r="777" spans="1:11" x14ac:dyDescent="0.2">
      <c r="A777" t="str">
        <f>HYPERLINK("https://www.tiwall.com//p/respite2","مهلت")</f>
        <v>مهلت</v>
      </c>
      <c r="B777">
        <v>70</v>
      </c>
      <c r="C777" t="s">
        <v>224</v>
      </c>
      <c r="D777" t="s">
        <v>2286</v>
      </c>
      <c r="E777" t="s">
        <v>13</v>
      </c>
      <c r="F777" t="s">
        <v>1523</v>
      </c>
      <c r="G777" t="s">
        <v>653</v>
      </c>
      <c r="H777" t="s">
        <v>1420</v>
      </c>
      <c r="I777">
        <v>0</v>
      </c>
      <c r="J777">
        <v>0</v>
      </c>
      <c r="K777" t="s">
        <v>2321</v>
      </c>
    </row>
    <row r="778" spans="1:11" x14ac:dyDescent="0.2">
      <c r="A778" t="str">
        <f>HYPERLINK("https://www.tiwall.com//p/mesicity2","مِسی سیتی")</f>
        <v>مِسی سیتی</v>
      </c>
      <c r="B778">
        <v>50</v>
      </c>
      <c r="C778" t="s">
        <v>892</v>
      </c>
      <c r="D778" t="s">
        <v>45</v>
      </c>
      <c r="E778" t="s">
        <v>71</v>
      </c>
      <c r="F778" t="s">
        <v>506</v>
      </c>
      <c r="G778" t="s">
        <v>2322</v>
      </c>
      <c r="H778" t="s">
        <v>2323</v>
      </c>
      <c r="I778">
        <v>0</v>
      </c>
      <c r="J778">
        <v>0</v>
      </c>
      <c r="K778" t="s">
        <v>2324</v>
      </c>
    </row>
    <row r="779" spans="1:11" x14ac:dyDescent="0.2">
      <c r="A779" t="str">
        <f>HYPERLINK("https://www.tiwall.com//p/bazi.koshtar","بازی های کشتار همگانی")</f>
        <v>بازی های کشتار همگانی</v>
      </c>
      <c r="B779">
        <v>45</v>
      </c>
      <c r="C779" t="s">
        <v>24</v>
      </c>
      <c r="D779" t="s">
        <v>217</v>
      </c>
      <c r="E779" t="s">
        <v>303</v>
      </c>
      <c r="F779" t="s">
        <v>433</v>
      </c>
      <c r="G779" t="s">
        <v>1622</v>
      </c>
      <c r="H779" t="s">
        <v>1384</v>
      </c>
      <c r="I779">
        <v>4</v>
      </c>
      <c r="J779">
        <v>19</v>
      </c>
      <c r="K779" t="s">
        <v>2325</v>
      </c>
    </row>
    <row r="780" spans="1:11" x14ac:dyDescent="0.2">
      <c r="A780" t="str">
        <f>HYPERLINK("https://www.tiwall.com//p/fatemeh","فاطمه")</f>
        <v>فاطمه</v>
      </c>
      <c r="B780">
        <v>100</v>
      </c>
      <c r="C780" t="s">
        <v>1425</v>
      </c>
      <c r="D780" t="s">
        <v>87</v>
      </c>
      <c r="E780" t="s">
        <v>71</v>
      </c>
      <c r="F780" t="s">
        <v>243</v>
      </c>
      <c r="G780" t="s">
        <v>1038</v>
      </c>
      <c r="H780" t="s">
        <v>1038</v>
      </c>
      <c r="I780">
        <v>0</v>
      </c>
      <c r="J780">
        <v>0</v>
      </c>
      <c r="K780" t="s">
        <v>1039</v>
      </c>
    </row>
    <row r="781" spans="1:11" x14ac:dyDescent="0.2">
      <c r="A781" t="str">
        <f>HYPERLINK("https://www.tiwall.com//p/khab.bidari2","جایی میان خواب و بیداری")</f>
        <v>جایی میان خواب و بیداری</v>
      </c>
      <c r="B781">
        <v>40</v>
      </c>
      <c r="C781" t="s">
        <v>199</v>
      </c>
      <c r="D781" t="s">
        <v>146</v>
      </c>
      <c r="E781" t="s">
        <v>71</v>
      </c>
      <c r="F781" t="s">
        <v>449</v>
      </c>
      <c r="G781" t="s">
        <v>2326</v>
      </c>
      <c r="H781" t="s">
        <v>2326</v>
      </c>
      <c r="I781">
        <v>0</v>
      </c>
      <c r="J781">
        <v>0</v>
      </c>
      <c r="K781" t="s">
        <v>2327</v>
      </c>
    </row>
    <row r="782" spans="1:11" x14ac:dyDescent="0.2">
      <c r="A782" t="str">
        <f>HYPERLINK("https://www.tiwall.com//p/sokuthayahu","سکوت و هیاهو")</f>
        <v>سکوت و هیاهو</v>
      </c>
      <c r="B782">
        <v>30</v>
      </c>
      <c r="C782" t="s">
        <v>129</v>
      </c>
      <c r="D782" t="s">
        <v>45</v>
      </c>
      <c r="E782" t="s">
        <v>194</v>
      </c>
      <c r="F782" t="s">
        <v>694</v>
      </c>
      <c r="G782" t="s">
        <v>2328</v>
      </c>
      <c r="H782" t="s">
        <v>2329</v>
      </c>
      <c r="I782">
        <v>0</v>
      </c>
      <c r="J782">
        <v>0</v>
      </c>
      <c r="K782" t="s">
        <v>2330</v>
      </c>
    </row>
    <row r="783" spans="1:11" x14ac:dyDescent="0.2">
      <c r="A783" t="str">
        <f>HYPERLINK("https://www.tiwall.com//p/name.tondbad","نامه‌هایی بر دوش تندباد")</f>
        <v>نامه‌هایی بر دوش تندباد</v>
      </c>
      <c r="B783">
        <v>90</v>
      </c>
      <c r="C783" t="s">
        <v>349</v>
      </c>
      <c r="D783" t="s">
        <v>217</v>
      </c>
      <c r="E783" t="s">
        <v>303</v>
      </c>
      <c r="F783" t="s">
        <v>778</v>
      </c>
      <c r="G783" t="s">
        <v>1223</v>
      </c>
      <c r="H783" t="s">
        <v>1223</v>
      </c>
      <c r="I783">
        <v>3.6</v>
      </c>
      <c r="J783">
        <v>42</v>
      </c>
      <c r="K783" t="s">
        <v>2331</v>
      </c>
    </row>
    <row r="784" spans="1:11" x14ac:dyDescent="0.2">
      <c r="A784" t="str">
        <f>HYPERLINK("https://www.tiwall.com//p/nimkat","نیمکت")</f>
        <v>نیمکت</v>
      </c>
      <c r="B784">
        <v>80</v>
      </c>
      <c r="C784" t="s">
        <v>60</v>
      </c>
      <c r="D784" t="s">
        <v>45</v>
      </c>
      <c r="E784" t="s">
        <v>71</v>
      </c>
      <c r="F784" t="s">
        <v>1105</v>
      </c>
      <c r="G784" t="s">
        <v>972</v>
      </c>
      <c r="H784" t="s">
        <v>972</v>
      </c>
      <c r="I784">
        <v>0</v>
      </c>
      <c r="J784">
        <v>0</v>
      </c>
      <c r="K784" t="s">
        <v>2332</v>
      </c>
    </row>
    <row r="785" spans="1:11" x14ac:dyDescent="0.2">
      <c r="A785" t="str">
        <f>HYPERLINK("https://www.tiwall.com//p/chandhich2","چند؟ هیچ")</f>
        <v>چند؟ هیچ</v>
      </c>
      <c r="B785">
        <v>30</v>
      </c>
      <c r="C785" t="s">
        <v>522</v>
      </c>
      <c r="D785" t="s">
        <v>45</v>
      </c>
      <c r="E785" t="s">
        <v>46</v>
      </c>
      <c r="F785" t="s">
        <v>1775</v>
      </c>
      <c r="G785" t="s">
        <v>2333</v>
      </c>
      <c r="H785" t="s">
        <v>2275</v>
      </c>
      <c r="I785">
        <v>0</v>
      </c>
      <c r="J785">
        <v>0</v>
      </c>
      <c r="K785" t="s">
        <v>2334</v>
      </c>
    </row>
    <row r="786" spans="1:11" x14ac:dyDescent="0.2">
      <c r="A786" t="str">
        <f>HYPERLINK("https://www.tiwall.com//p/moushmargi","موشمرگی")</f>
        <v>موشمرگی</v>
      </c>
      <c r="B786">
        <v>100</v>
      </c>
      <c r="C786" t="s">
        <v>24</v>
      </c>
      <c r="D786" t="s">
        <v>12</v>
      </c>
      <c r="E786" t="s">
        <v>13</v>
      </c>
      <c r="F786" t="s">
        <v>2335</v>
      </c>
      <c r="G786" t="s">
        <v>722</v>
      </c>
      <c r="H786" t="s">
        <v>722</v>
      </c>
      <c r="I786">
        <v>4.2</v>
      </c>
      <c r="J786">
        <v>24</v>
      </c>
      <c r="K786" t="s">
        <v>2336</v>
      </c>
    </row>
    <row r="787" spans="1:11" x14ac:dyDescent="0.2">
      <c r="A787" t="str">
        <f>HYPERLINK("https://www.tiwall.com//p/aroosikhon2","عروسی خون")</f>
        <v>عروسی خون</v>
      </c>
      <c r="B787">
        <v>50</v>
      </c>
      <c r="C787" t="s">
        <v>918</v>
      </c>
      <c r="D787" t="s">
        <v>12</v>
      </c>
      <c r="E787" t="s">
        <v>88</v>
      </c>
      <c r="F787" t="s">
        <v>2337</v>
      </c>
      <c r="G787" t="s">
        <v>2338</v>
      </c>
      <c r="H787" t="s">
        <v>447</v>
      </c>
      <c r="I787">
        <v>0</v>
      </c>
      <c r="J787">
        <v>0</v>
      </c>
      <c r="K787" t="s">
        <v>2339</v>
      </c>
    </row>
    <row r="788" spans="1:11" x14ac:dyDescent="0.2">
      <c r="A788" t="str">
        <f>HYPERLINK("https://www.tiwall.com//p/makhdoosh","مخدوش")</f>
        <v>مخدوش</v>
      </c>
      <c r="B788">
        <v>50</v>
      </c>
      <c r="C788" t="s">
        <v>224</v>
      </c>
      <c r="D788" t="s">
        <v>12</v>
      </c>
      <c r="E788" t="s">
        <v>13</v>
      </c>
      <c r="F788" t="s">
        <v>200</v>
      </c>
      <c r="G788" t="s">
        <v>2340</v>
      </c>
      <c r="H788" t="s">
        <v>2341</v>
      </c>
      <c r="I788">
        <v>0</v>
      </c>
      <c r="J788">
        <v>0</v>
      </c>
      <c r="K788" t="s">
        <v>2342</v>
      </c>
    </row>
    <row r="789" spans="1:11" x14ac:dyDescent="0.2">
      <c r="A789" t="str">
        <f>HYPERLINK("https://www.tiwall.com//p/ghalat","غلط")</f>
        <v>غلط</v>
      </c>
      <c r="B789">
        <v>90</v>
      </c>
      <c r="C789" t="s">
        <v>86</v>
      </c>
      <c r="D789" t="s">
        <v>470</v>
      </c>
      <c r="E789" t="s">
        <v>13</v>
      </c>
      <c r="F789" t="s">
        <v>77</v>
      </c>
      <c r="G789" t="s">
        <v>2343</v>
      </c>
      <c r="H789" t="s">
        <v>2344</v>
      </c>
      <c r="I789">
        <v>4</v>
      </c>
      <c r="J789">
        <v>37</v>
      </c>
      <c r="K789" t="s">
        <v>2345</v>
      </c>
    </row>
    <row r="790" spans="1:11" x14ac:dyDescent="0.2">
      <c r="A790" t="str">
        <f>HYPERLINK("https://www.tiwall.com//p/marlo","مصائب مارلو")</f>
        <v>مصائب مارلو</v>
      </c>
      <c r="B790">
        <v>25</v>
      </c>
      <c r="C790" t="s">
        <v>636</v>
      </c>
      <c r="D790" t="s">
        <v>2346</v>
      </c>
      <c r="E790" t="s">
        <v>475</v>
      </c>
      <c r="F790" t="s">
        <v>2347</v>
      </c>
      <c r="G790" t="s">
        <v>2095</v>
      </c>
      <c r="H790" t="s">
        <v>2095</v>
      </c>
      <c r="I790">
        <v>0</v>
      </c>
      <c r="J790">
        <v>0</v>
      </c>
      <c r="K790" t="s">
        <v>2095</v>
      </c>
    </row>
    <row r="791" spans="1:11" x14ac:dyDescent="0.2">
      <c r="A791" t="str">
        <f>HYPERLINK("https://www.tiwall.com//p/mrshadi","این آقای شادی ممت نیست")</f>
        <v>این آقای شادی ممت نیست</v>
      </c>
      <c r="B791">
        <v>60</v>
      </c>
      <c r="C791" t="s">
        <v>204</v>
      </c>
      <c r="D791" t="s">
        <v>65</v>
      </c>
      <c r="E791" t="s">
        <v>13</v>
      </c>
      <c r="F791" t="s">
        <v>345</v>
      </c>
      <c r="G791" t="s">
        <v>2348</v>
      </c>
      <c r="H791" t="s">
        <v>2349</v>
      </c>
      <c r="I791">
        <v>4</v>
      </c>
      <c r="J791">
        <v>20</v>
      </c>
      <c r="K791" t="s">
        <v>2350</v>
      </c>
    </row>
    <row r="792" spans="1:11" x14ac:dyDescent="0.2">
      <c r="A792" t="str">
        <f>HYPERLINK("https://www.tiwall.com//p/aseman5","شهر بدون آسمان")</f>
        <v>شهر بدون آسمان</v>
      </c>
      <c r="B792">
        <v>60</v>
      </c>
      <c r="C792" t="s">
        <v>1834</v>
      </c>
      <c r="D792" t="s">
        <v>45</v>
      </c>
      <c r="E792" t="s">
        <v>46</v>
      </c>
      <c r="F792" t="s">
        <v>2351</v>
      </c>
      <c r="G792" t="s">
        <v>2352</v>
      </c>
      <c r="H792" t="s">
        <v>2353</v>
      </c>
      <c r="I792">
        <v>0</v>
      </c>
      <c r="J792">
        <v>0</v>
      </c>
      <c r="K792" t="s">
        <v>2354</v>
      </c>
    </row>
    <row r="793" spans="1:11" x14ac:dyDescent="0.2">
      <c r="A793" t="str">
        <f>HYPERLINK("https://www.tiwall.com//p/khers18","خرس")</f>
        <v>خرس</v>
      </c>
      <c r="B793">
        <v>50</v>
      </c>
      <c r="C793" t="s">
        <v>1480</v>
      </c>
      <c r="D793" t="s">
        <v>45</v>
      </c>
      <c r="E793" t="s">
        <v>13</v>
      </c>
      <c r="F793" t="s">
        <v>1865</v>
      </c>
      <c r="G793" t="s">
        <v>2355</v>
      </c>
      <c r="H793" t="s">
        <v>352</v>
      </c>
      <c r="I793">
        <v>0</v>
      </c>
      <c r="J793">
        <v>0</v>
      </c>
      <c r="K793" t="s">
        <v>2356</v>
      </c>
    </row>
    <row r="794" spans="1:11" x14ac:dyDescent="0.2">
      <c r="A794" t="str">
        <f>HYPERLINK("https://www.tiwall.com//p/perspective","پرسپکتیو")</f>
        <v>پرسپکتیو</v>
      </c>
      <c r="B794">
        <v>100</v>
      </c>
      <c r="C794" t="s">
        <v>230</v>
      </c>
      <c r="D794" t="s">
        <v>1353</v>
      </c>
      <c r="E794" t="s">
        <v>71</v>
      </c>
      <c r="F794" t="s">
        <v>650</v>
      </c>
      <c r="G794" t="s">
        <v>2357</v>
      </c>
      <c r="H794" t="s">
        <v>2358</v>
      </c>
      <c r="I794">
        <v>3.6</v>
      </c>
      <c r="J794">
        <v>25</v>
      </c>
      <c r="K794" t="s">
        <v>2359</v>
      </c>
    </row>
    <row r="795" spans="1:11" x14ac:dyDescent="0.2">
      <c r="A795" t="str">
        <f>HYPERLINK("https://www.tiwall.com//p/bipolar","بای پُ لار - دو قطبی")</f>
        <v>بای پُ لار - دو قطبی</v>
      </c>
      <c r="B795">
        <v>50</v>
      </c>
      <c r="C795" t="s">
        <v>224</v>
      </c>
      <c r="D795" t="s">
        <v>146</v>
      </c>
      <c r="E795" t="s">
        <v>13</v>
      </c>
      <c r="F795" t="s">
        <v>869</v>
      </c>
      <c r="G795" t="s">
        <v>2360</v>
      </c>
      <c r="H795" t="s">
        <v>2360</v>
      </c>
      <c r="I795">
        <v>0</v>
      </c>
      <c r="J795">
        <v>0</v>
      </c>
      <c r="K795" t="s">
        <v>2361</v>
      </c>
    </row>
    <row r="796" spans="1:11" x14ac:dyDescent="0.2">
      <c r="A796" t="str">
        <f>HYPERLINK("https://www.tiwall.com//p/oj.toufan","اوج طوفان")</f>
        <v>اوج طوفان</v>
      </c>
      <c r="B796">
        <v>80</v>
      </c>
      <c r="C796" t="s">
        <v>86</v>
      </c>
      <c r="D796" t="s">
        <v>25</v>
      </c>
      <c r="E796" t="s">
        <v>26</v>
      </c>
      <c r="F796" t="s">
        <v>2362</v>
      </c>
      <c r="G796" t="s">
        <v>90</v>
      </c>
      <c r="H796" t="s">
        <v>91</v>
      </c>
      <c r="I796">
        <v>4</v>
      </c>
      <c r="J796">
        <v>19</v>
      </c>
      <c r="K796" t="s">
        <v>2363</v>
      </c>
    </row>
    <row r="797" spans="1:11" x14ac:dyDescent="0.2">
      <c r="A797" t="str">
        <f>HYPERLINK("https://www.tiwall.com//p/royayeyeknevisnde2","رویای یک نویسنده")</f>
        <v>رویای یک نویسنده</v>
      </c>
      <c r="B797">
        <v>40</v>
      </c>
      <c r="C797" t="s">
        <v>199</v>
      </c>
      <c r="D797" t="s">
        <v>217</v>
      </c>
      <c r="E797" t="s">
        <v>26</v>
      </c>
      <c r="F797" t="s">
        <v>2018</v>
      </c>
      <c r="G797" t="s">
        <v>791</v>
      </c>
      <c r="H797" t="s">
        <v>791</v>
      </c>
      <c r="I797">
        <v>0</v>
      </c>
      <c r="J797">
        <v>0</v>
      </c>
      <c r="K797" t="s">
        <v>2364</v>
      </c>
    </row>
    <row r="798" spans="1:11" x14ac:dyDescent="0.2">
      <c r="A798" t="str">
        <f>HYPERLINK("https://www.tiwall.com//p/eterafat.zehni","دو در یک یا اعترافات ذهنی محبوس در فضایی دو در یک")</f>
        <v>دو در یک یا اعترافات ذهنی محبوس در فضایی دو در یک</v>
      </c>
      <c r="B798">
        <v>50</v>
      </c>
      <c r="C798" t="s">
        <v>44</v>
      </c>
      <c r="D798" t="s">
        <v>146</v>
      </c>
      <c r="E798" t="s">
        <v>138</v>
      </c>
      <c r="F798" t="s">
        <v>243</v>
      </c>
      <c r="G798" t="s">
        <v>2365</v>
      </c>
      <c r="H798" t="s">
        <v>2365</v>
      </c>
      <c r="I798">
        <v>4.2</v>
      </c>
      <c r="J798">
        <v>5</v>
      </c>
      <c r="K798" t="s">
        <v>2365</v>
      </c>
    </row>
    <row r="799" spans="1:11" x14ac:dyDescent="0.2">
      <c r="A799" t="str">
        <f>HYPERLINK("https://www.tiwall.com//p/yamaha2","یاماها")</f>
        <v>یاماها</v>
      </c>
      <c r="B799">
        <v>70</v>
      </c>
      <c r="C799" t="s">
        <v>1704</v>
      </c>
      <c r="D799" t="s">
        <v>65</v>
      </c>
      <c r="E799" t="s">
        <v>13</v>
      </c>
      <c r="F799" t="s">
        <v>863</v>
      </c>
      <c r="G799" t="s">
        <v>2366</v>
      </c>
      <c r="H799" t="s">
        <v>762</v>
      </c>
      <c r="I799">
        <v>0</v>
      </c>
      <c r="J799">
        <v>0</v>
      </c>
      <c r="K799" t="s">
        <v>2367</v>
      </c>
    </row>
    <row r="800" spans="1:11" x14ac:dyDescent="0.2">
      <c r="A800" t="str">
        <f>HYPERLINK("https://www.tiwall.com//p/darinmahal","در این محل همه چیز واقعی است/نیست")</f>
        <v>در این محل همه چیز واقعی است/نیست</v>
      </c>
      <c r="B800">
        <v>30</v>
      </c>
      <c r="C800" t="s">
        <v>11</v>
      </c>
      <c r="D800" t="s">
        <v>217</v>
      </c>
      <c r="E800" t="s">
        <v>88</v>
      </c>
      <c r="F800" t="s">
        <v>707</v>
      </c>
      <c r="G800" t="s">
        <v>941</v>
      </c>
      <c r="H800" t="s">
        <v>941</v>
      </c>
      <c r="I800">
        <v>0</v>
      </c>
      <c r="J800">
        <v>0</v>
      </c>
      <c r="K800" t="s">
        <v>2368</v>
      </c>
    </row>
    <row r="801" spans="1:11" x14ac:dyDescent="0.2">
      <c r="A801" t="str">
        <f>HYPERLINK("https://www.tiwall.com//p/bobesfanji","باب اسفنجی کرگدن")</f>
        <v>باب اسفنجی کرگدن</v>
      </c>
      <c r="B801">
        <v>50</v>
      </c>
      <c r="C801" t="s">
        <v>1314</v>
      </c>
      <c r="D801" t="s">
        <v>12</v>
      </c>
      <c r="E801" t="s">
        <v>303</v>
      </c>
      <c r="F801" t="s">
        <v>109</v>
      </c>
      <c r="G801" t="s">
        <v>2369</v>
      </c>
      <c r="H801" t="s">
        <v>2369</v>
      </c>
      <c r="I801">
        <v>0</v>
      </c>
      <c r="J801">
        <v>0</v>
      </c>
      <c r="K801" t="s">
        <v>2370</v>
      </c>
    </row>
    <row r="802" spans="1:11" x14ac:dyDescent="0.2">
      <c r="A802" t="str">
        <f>HYPERLINK("https://www.tiwall.com//p/nevisandehmordeast3","نویسنده مرده است")</f>
        <v>نویسنده مرده است</v>
      </c>
      <c r="B802">
        <v>110</v>
      </c>
      <c r="C802" t="s">
        <v>37</v>
      </c>
      <c r="D802" t="s">
        <v>280</v>
      </c>
      <c r="E802" t="s">
        <v>26</v>
      </c>
      <c r="F802" t="s">
        <v>142</v>
      </c>
      <c r="G802" t="s">
        <v>2371</v>
      </c>
      <c r="H802" t="s">
        <v>652</v>
      </c>
      <c r="I802">
        <v>3.8</v>
      </c>
      <c r="J802">
        <v>44</v>
      </c>
      <c r="K802" t="s">
        <v>2372</v>
      </c>
    </row>
    <row r="803" spans="1:11" x14ac:dyDescent="0.2">
      <c r="A803" t="str">
        <f>HYPERLINK("https://www.tiwall.com//p/gharar.sehshanbeh","قرارمون سه شنبه ساعت سه سر سه راه سرگردون")</f>
        <v>قرارمون سه شنبه ساعت سه سر سه راه سرگردون</v>
      </c>
      <c r="B803">
        <v>50</v>
      </c>
      <c r="C803" t="s">
        <v>1054</v>
      </c>
      <c r="D803" t="s">
        <v>2373</v>
      </c>
      <c r="E803" t="s">
        <v>2374</v>
      </c>
      <c r="F803" t="s">
        <v>2082</v>
      </c>
      <c r="G803" t="s">
        <v>2375</v>
      </c>
      <c r="H803" t="s">
        <v>2375</v>
      </c>
      <c r="I803">
        <v>0</v>
      </c>
      <c r="J803">
        <v>0</v>
      </c>
      <c r="K803" t="s">
        <v>2376</v>
      </c>
    </row>
    <row r="804" spans="1:11" x14ac:dyDescent="0.2">
      <c r="A804" t="str">
        <f>HYPERLINK("https://www.tiwall.com//p/johnandjoe","جان و جو")</f>
        <v>جان و جو</v>
      </c>
      <c r="B804">
        <v>45</v>
      </c>
      <c r="C804" t="s">
        <v>86</v>
      </c>
      <c r="D804" t="s">
        <v>45</v>
      </c>
      <c r="E804" t="s">
        <v>13</v>
      </c>
      <c r="F804" t="s">
        <v>1368</v>
      </c>
      <c r="G804" t="s">
        <v>2377</v>
      </c>
      <c r="H804" t="s">
        <v>2378</v>
      </c>
      <c r="I804">
        <v>3.4</v>
      </c>
      <c r="J804">
        <v>35</v>
      </c>
      <c r="K804" t="s">
        <v>2379</v>
      </c>
    </row>
    <row r="805" spans="1:11" x14ac:dyDescent="0.2">
      <c r="A805" t="str">
        <f>HYPERLINK("https://www.tiwall.com//p/shabihezendegi3","چیزی شبیه زندگی")</f>
        <v>چیزی شبیه زندگی</v>
      </c>
      <c r="B805">
        <v>70</v>
      </c>
      <c r="C805" t="s">
        <v>928</v>
      </c>
      <c r="D805" t="s">
        <v>45</v>
      </c>
      <c r="E805" t="s">
        <v>71</v>
      </c>
      <c r="F805" t="s">
        <v>1108</v>
      </c>
      <c r="G805" t="s">
        <v>616</v>
      </c>
      <c r="H805" t="s">
        <v>617</v>
      </c>
      <c r="I805">
        <v>0</v>
      </c>
      <c r="J805">
        <v>0</v>
      </c>
      <c r="K805" t="s">
        <v>2380</v>
      </c>
    </row>
    <row r="806" spans="1:11" x14ac:dyDescent="0.2">
      <c r="A806" t="str">
        <f>HYPERLINK("https://www.tiwall.com//p/dayivanya3","دایی وانیا")</f>
        <v>دایی وانیا</v>
      </c>
      <c r="B806">
        <v>40</v>
      </c>
      <c r="C806" t="s">
        <v>224</v>
      </c>
      <c r="D806" t="s">
        <v>384</v>
      </c>
      <c r="E806" t="s">
        <v>26</v>
      </c>
      <c r="F806" t="s">
        <v>2381</v>
      </c>
      <c r="G806" t="s">
        <v>2382</v>
      </c>
      <c r="H806" t="s">
        <v>352</v>
      </c>
      <c r="I806">
        <v>0</v>
      </c>
      <c r="J806">
        <v>0</v>
      </c>
      <c r="K806" t="s">
        <v>2383</v>
      </c>
    </row>
    <row r="807" spans="1:11" x14ac:dyDescent="0.2">
      <c r="A807" t="str">
        <f>HYPERLINK("https://www.tiwall.com//p/waitingforgodot3","در انتظار گودو")</f>
        <v>در انتظار گودو</v>
      </c>
      <c r="B807">
        <v>70</v>
      </c>
      <c r="C807" t="s">
        <v>2384</v>
      </c>
      <c r="D807" t="s">
        <v>217</v>
      </c>
      <c r="E807" t="s">
        <v>19</v>
      </c>
      <c r="F807" t="s">
        <v>2385</v>
      </c>
      <c r="G807" t="s">
        <v>920</v>
      </c>
      <c r="H807" t="s">
        <v>2386</v>
      </c>
      <c r="I807">
        <v>3.4</v>
      </c>
      <c r="J807">
        <v>48</v>
      </c>
      <c r="K807" t="s">
        <v>2387</v>
      </c>
    </row>
    <row r="808" spans="1:11" x14ac:dyDescent="0.2">
      <c r="A808" t="str">
        <f>HYPERLINK("https://www.tiwall.com//p/eilion","ایلیون")</f>
        <v>ایلیون</v>
      </c>
      <c r="B808">
        <v>80</v>
      </c>
      <c r="C808" t="s">
        <v>1446</v>
      </c>
      <c r="D808" t="s">
        <v>12</v>
      </c>
      <c r="E808" t="s">
        <v>138</v>
      </c>
      <c r="F808" t="s">
        <v>2264</v>
      </c>
      <c r="G808" t="s">
        <v>2388</v>
      </c>
      <c r="H808" t="s">
        <v>1835</v>
      </c>
      <c r="I808">
        <v>0</v>
      </c>
      <c r="J808">
        <v>0</v>
      </c>
      <c r="K808" t="s">
        <v>2389</v>
      </c>
    </row>
    <row r="809" spans="1:11" x14ac:dyDescent="0.2">
      <c r="A809" t="str">
        <f>HYPERLINK("https://www.tiwall.com//p/jangosolh3","جنگ و صلح")</f>
        <v>جنگ و صلح</v>
      </c>
      <c r="B809">
        <v>100</v>
      </c>
      <c r="C809" t="s">
        <v>410</v>
      </c>
      <c r="D809" t="s">
        <v>32</v>
      </c>
      <c r="E809" t="s">
        <v>235</v>
      </c>
      <c r="F809" t="s">
        <v>176</v>
      </c>
      <c r="G809" t="s">
        <v>1049</v>
      </c>
      <c r="H809" t="s">
        <v>1049</v>
      </c>
      <c r="I809">
        <v>2.7</v>
      </c>
      <c r="J809">
        <v>6</v>
      </c>
      <c r="K809" t="s">
        <v>2390</v>
      </c>
    </row>
    <row r="810" spans="1:11" x14ac:dyDescent="0.2">
      <c r="A810" t="str">
        <f>HYPERLINK("https://www.tiwall.com//p/unknown.general","ژنرال مجهول")</f>
        <v>ژنرال مجهول</v>
      </c>
      <c r="B810">
        <v>130</v>
      </c>
      <c r="C810" t="s">
        <v>358</v>
      </c>
      <c r="D810" t="s">
        <v>32</v>
      </c>
      <c r="E810" t="s">
        <v>71</v>
      </c>
      <c r="F810" t="s">
        <v>764</v>
      </c>
      <c r="G810" t="s">
        <v>2391</v>
      </c>
      <c r="H810" t="s">
        <v>2392</v>
      </c>
      <c r="I810">
        <v>4.2</v>
      </c>
      <c r="J810">
        <v>11</v>
      </c>
      <c r="K810" t="s">
        <v>2393</v>
      </c>
    </row>
    <row r="811" spans="1:11" x14ac:dyDescent="0.2">
      <c r="A811" t="str">
        <f>HYPERLINK("https://www.tiwall.com//p/atlasihayelagadmalshodeh2","اطلسی های لگد مال شده")</f>
        <v>اطلسی های لگد مال شده</v>
      </c>
      <c r="B811">
        <v>40</v>
      </c>
      <c r="C811" t="s">
        <v>64</v>
      </c>
      <c r="D811" t="s">
        <v>384</v>
      </c>
      <c r="E811" t="s">
        <v>138</v>
      </c>
      <c r="F811" t="s">
        <v>1347</v>
      </c>
      <c r="G811" t="s">
        <v>1478</v>
      </c>
      <c r="H811" t="s">
        <v>1496</v>
      </c>
      <c r="I811">
        <v>0</v>
      </c>
      <c r="J811">
        <v>0</v>
      </c>
      <c r="K811" t="s">
        <v>2394</v>
      </c>
    </row>
    <row r="812" spans="1:11" x14ac:dyDescent="0.2">
      <c r="A812" t="str">
        <f>HYPERLINK("https://www.tiwall.com//p/aseman.paris","زیر آسمان پاریس")</f>
        <v>زیر آسمان پاریس</v>
      </c>
      <c r="B812">
        <v>35</v>
      </c>
      <c r="C812" t="s">
        <v>64</v>
      </c>
      <c r="D812" t="s">
        <v>384</v>
      </c>
      <c r="E812" t="s">
        <v>46</v>
      </c>
      <c r="F812" t="s">
        <v>1975</v>
      </c>
      <c r="G812" t="s">
        <v>2395</v>
      </c>
      <c r="H812" t="s">
        <v>2395</v>
      </c>
      <c r="I812">
        <v>0</v>
      </c>
      <c r="J812">
        <v>0</v>
      </c>
      <c r="K812" t="s">
        <v>2396</v>
      </c>
    </row>
    <row r="813" spans="1:11" x14ac:dyDescent="0.2">
      <c r="A813" t="str">
        <f>HYPERLINK("https://www.tiwall.com//p/pardeneshin","پرده نشین")</f>
        <v>پرده نشین</v>
      </c>
      <c r="B813">
        <v>80</v>
      </c>
      <c r="C813" t="s">
        <v>2397</v>
      </c>
      <c r="D813" t="s">
        <v>217</v>
      </c>
      <c r="E813" t="s">
        <v>235</v>
      </c>
      <c r="F813" t="s">
        <v>2398</v>
      </c>
      <c r="G813" t="s">
        <v>2399</v>
      </c>
      <c r="H813" t="s">
        <v>2400</v>
      </c>
      <c r="I813">
        <v>0</v>
      </c>
      <c r="J813">
        <v>0</v>
      </c>
      <c r="K813" t="s">
        <v>2401</v>
      </c>
    </row>
    <row r="814" spans="1:11" x14ac:dyDescent="0.2">
      <c r="A814" t="str">
        <f>HYPERLINK("https://www.tiwall.com//p/shen4","شن")</f>
        <v>شن</v>
      </c>
      <c r="B814">
        <v>25</v>
      </c>
      <c r="C814" t="s">
        <v>417</v>
      </c>
      <c r="D814" t="s">
        <v>45</v>
      </c>
      <c r="E814" t="s">
        <v>303</v>
      </c>
      <c r="F814" t="s">
        <v>2402</v>
      </c>
      <c r="G814" t="s">
        <v>2403</v>
      </c>
      <c r="H814" t="s">
        <v>2404</v>
      </c>
      <c r="I814">
        <v>0</v>
      </c>
      <c r="J814">
        <v>0</v>
      </c>
      <c r="K814" t="s">
        <v>2405</v>
      </c>
    </row>
    <row r="815" spans="1:11" x14ac:dyDescent="0.2">
      <c r="A815" t="str">
        <f>HYPERLINK("https://www.tiwall.com//p/shokoofegilas2","شکوفه های گیلاس")</f>
        <v>شکوفه های گیلاس</v>
      </c>
      <c r="B815">
        <v>120</v>
      </c>
      <c r="C815" t="s">
        <v>362</v>
      </c>
      <c r="D815" t="s">
        <v>217</v>
      </c>
      <c r="E815" t="s">
        <v>39</v>
      </c>
      <c r="F815" t="s">
        <v>1822</v>
      </c>
      <c r="G815" t="s">
        <v>654</v>
      </c>
      <c r="H815" t="s">
        <v>654</v>
      </c>
      <c r="I815">
        <v>4.2</v>
      </c>
      <c r="J815">
        <v>197</v>
      </c>
      <c r="K815" t="s">
        <v>967</v>
      </c>
    </row>
    <row r="816" spans="1:11" x14ac:dyDescent="0.2">
      <c r="A816" t="str">
        <f>HYPERLINK("https://www.tiwall.com//p/shabmahtab","یه شب مهتاب")</f>
        <v>یه شب مهتاب</v>
      </c>
      <c r="B816">
        <v>40</v>
      </c>
      <c r="C816" t="s">
        <v>11</v>
      </c>
      <c r="D816" t="s">
        <v>32</v>
      </c>
      <c r="E816" t="s">
        <v>26</v>
      </c>
      <c r="F816" t="s">
        <v>2406</v>
      </c>
      <c r="G816" t="s">
        <v>2407</v>
      </c>
      <c r="H816" t="s">
        <v>2407</v>
      </c>
      <c r="I816">
        <v>3.7</v>
      </c>
      <c r="J816">
        <v>14</v>
      </c>
      <c r="K816" t="s">
        <v>2408</v>
      </c>
    </row>
    <row r="817" spans="1:11" x14ac:dyDescent="0.2">
      <c r="A817" t="str">
        <f>HYPERLINK("https://www.tiwall.com//p/mordegan5","مردگان")</f>
        <v>مردگان</v>
      </c>
      <c r="B817">
        <v>40</v>
      </c>
      <c r="C817" t="s">
        <v>199</v>
      </c>
      <c r="D817" t="s">
        <v>32</v>
      </c>
      <c r="E817" t="s">
        <v>13</v>
      </c>
      <c r="F817" t="s">
        <v>2409</v>
      </c>
      <c r="G817" t="s">
        <v>653</v>
      </c>
      <c r="H817" t="s">
        <v>546</v>
      </c>
      <c r="I817">
        <v>3.4</v>
      </c>
      <c r="J817">
        <v>7</v>
      </c>
      <c r="K817" t="s">
        <v>2410</v>
      </c>
    </row>
    <row r="818" spans="1:11" x14ac:dyDescent="0.2">
      <c r="A818" t="str">
        <f>HYPERLINK("https://www.tiwall.com//p/sanfrancisco","سانفرانسیسکو")</f>
        <v>سانفرانسیسکو</v>
      </c>
      <c r="B818">
        <v>35</v>
      </c>
      <c r="C818" t="s">
        <v>995</v>
      </c>
      <c r="D818" t="s">
        <v>87</v>
      </c>
      <c r="E818" t="s">
        <v>13</v>
      </c>
      <c r="F818" t="s">
        <v>2411</v>
      </c>
      <c r="G818" t="s">
        <v>2412</v>
      </c>
      <c r="H818" t="s">
        <v>2412</v>
      </c>
      <c r="I818">
        <v>0</v>
      </c>
      <c r="J818">
        <v>0</v>
      </c>
      <c r="K818" t="s">
        <v>2413</v>
      </c>
    </row>
    <row r="819" spans="1:11" x14ac:dyDescent="0.2">
      <c r="A819" t="str">
        <f>HYPERLINK("https://www.tiwall.com//p/taraneh.sharghi","ترانه های شرقی")</f>
        <v>ترانه های شرقی</v>
      </c>
      <c r="B819">
        <v>50</v>
      </c>
      <c r="C819" t="s">
        <v>230</v>
      </c>
      <c r="D819" t="s">
        <v>2414</v>
      </c>
      <c r="E819" t="s">
        <v>19</v>
      </c>
      <c r="F819" t="s">
        <v>1681</v>
      </c>
      <c r="G819" t="s">
        <v>1576</v>
      </c>
      <c r="H819" t="s">
        <v>1576</v>
      </c>
      <c r="I819">
        <v>3.1</v>
      </c>
      <c r="J819">
        <v>14</v>
      </c>
      <c r="K819" t="s">
        <v>2415</v>
      </c>
    </row>
    <row r="820" spans="1:11" x14ac:dyDescent="0.2">
      <c r="A820" t="str">
        <f>HYPERLINK("https://www.tiwall.com//p/anatol","آناتول")</f>
        <v>آناتول</v>
      </c>
      <c r="B820">
        <v>70</v>
      </c>
      <c r="C820" t="s">
        <v>86</v>
      </c>
      <c r="D820" t="s">
        <v>265</v>
      </c>
      <c r="E820" t="s">
        <v>26</v>
      </c>
      <c r="F820" t="s">
        <v>2416</v>
      </c>
      <c r="G820" t="s">
        <v>2417</v>
      </c>
      <c r="H820" t="s">
        <v>2418</v>
      </c>
      <c r="I820">
        <v>3</v>
      </c>
      <c r="J820">
        <v>10</v>
      </c>
      <c r="K820" t="s">
        <v>2419</v>
      </c>
    </row>
    <row r="821" spans="1:11" x14ac:dyDescent="0.2">
      <c r="A821" t="str">
        <f>HYPERLINK("https://www.tiwall.com//p/marekedarmareke3","معرکه در معرکه")</f>
        <v>معرکه در معرکه</v>
      </c>
      <c r="B821">
        <v>220</v>
      </c>
      <c r="C821" t="s">
        <v>31</v>
      </c>
      <c r="D821" t="s">
        <v>12</v>
      </c>
      <c r="E821" t="s">
        <v>71</v>
      </c>
      <c r="F821" t="s">
        <v>266</v>
      </c>
      <c r="G821" t="s">
        <v>2420</v>
      </c>
      <c r="H821" t="s">
        <v>2421</v>
      </c>
      <c r="I821">
        <v>3.8</v>
      </c>
      <c r="J821">
        <v>96</v>
      </c>
      <c r="K821" t="s">
        <v>2422</v>
      </c>
    </row>
    <row r="822" spans="1:11" x14ac:dyDescent="0.2">
      <c r="A822" t="str">
        <f>HYPERLINK("https://www.tiwall.com//p/amoubilly","دوست من عمو بیلی")</f>
        <v>دوست من عمو بیلی</v>
      </c>
      <c r="B822">
        <v>25</v>
      </c>
      <c r="C822" t="s">
        <v>1811</v>
      </c>
      <c r="D822" t="s">
        <v>12</v>
      </c>
      <c r="E822" t="s">
        <v>88</v>
      </c>
      <c r="F822" t="s">
        <v>2098</v>
      </c>
      <c r="G822" t="s">
        <v>1377</v>
      </c>
      <c r="H822" t="s">
        <v>2423</v>
      </c>
      <c r="I822">
        <v>0</v>
      </c>
      <c r="J822">
        <v>0</v>
      </c>
      <c r="K822" t="s">
        <v>2424</v>
      </c>
    </row>
    <row r="823" spans="1:11" x14ac:dyDescent="0.2">
      <c r="A823" t="str">
        <f>HYPERLINK("https://www.tiwall.com//p/sapo","ساپو")</f>
        <v>ساپو</v>
      </c>
      <c r="B823">
        <v>100</v>
      </c>
      <c r="C823" t="s">
        <v>86</v>
      </c>
      <c r="D823" t="s">
        <v>45</v>
      </c>
      <c r="E823" t="s">
        <v>88</v>
      </c>
      <c r="F823" t="s">
        <v>270</v>
      </c>
      <c r="G823" t="s">
        <v>2425</v>
      </c>
      <c r="H823" t="s">
        <v>2425</v>
      </c>
      <c r="I823">
        <v>4</v>
      </c>
      <c r="J823">
        <v>74</v>
      </c>
      <c r="K823" t="s">
        <v>2426</v>
      </c>
    </row>
    <row r="824" spans="1:11" x14ac:dyDescent="0.2">
      <c r="A824" t="str">
        <f>HYPERLINK("https://www.tiwall.com//p/shayeat4","شایعات")</f>
        <v>شایعات</v>
      </c>
      <c r="B824">
        <v>95</v>
      </c>
      <c r="C824" t="s">
        <v>24</v>
      </c>
      <c r="D824" t="s">
        <v>1353</v>
      </c>
      <c r="E824" t="s">
        <v>71</v>
      </c>
      <c r="F824" t="s">
        <v>195</v>
      </c>
      <c r="G824" t="s">
        <v>2427</v>
      </c>
      <c r="H824" t="s">
        <v>183</v>
      </c>
      <c r="I824">
        <v>4.2</v>
      </c>
      <c r="J824">
        <v>29</v>
      </c>
      <c r="K824" t="s">
        <v>2428</v>
      </c>
    </row>
    <row r="825" spans="1:11" x14ac:dyDescent="0.2">
      <c r="A825" t="str">
        <f>HYPERLINK("https://www.tiwall.com//p/shamdaniha2","شمعدانی ها")</f>
        <v>شمعدانی ها</v>
      </c>
      <c r="B825">
        <v>40</v>
      </c>
      <c r="C825" t="s">
        <v>199</v>
      </c>
      <c r="D825" t="s">
        <v>217</v>
      </c>
      <c r="E825" t="s">
        <v>13</v>
      </c>
      <c r="F825" t="s">
        <v>2429</v>
      </c>
      <c r="G825" t="s">
        <v>1002</v>
      </c>
      <c r="H825" t="s">
        <v>2246</v>
      </c>
      <c r="I825">
        <v>0</v>
      </c>
      <c r="J825">
        <v>0</v>
      </c>
      <c r="K825" t="s">
        <v>2430</v>
      </c>
    </row>
    <row r="826" spans="1:11" x14ac:dyDescent="0.2">
      <c r="A826" t="str">
        <f>HYPERLINK("https://www.tiwall.com//p/dreamland3","دریم لند")</f>
        <v>دریم لند</v>
      </c>
      <c r="B826">
        <v>45</v>
      </c>
      <c r="C826" t="s">
        <v>1314</v>
      </c>
      <c r="D826" t="s">
        <v>65</v>
      </c>
      <c r="E826" t="s">
        <v>26</v>
      </c>
      <c r="F826" t="s">
        <v>897</v>
      </c>
      <c r="G826" t="s">
        <v>2431</v>
      </c>
      <c r="H826" t="s">
        <v>2432</v>
      </c>
      <c r="I826">
        <v>4.0999999999999996</v>
      </c>
      <c r="J826">
        <v>82</v>
      </c>
      <c r="K826" t="s">
        <v>2433</v>
      </c>
    </row>
    <row r="827" spans="1:11" x14ac:dyDescent="0.2">
      <c r="A827" t="str">
        <f>HYPERLINK("https://www.tiwall.com//p/doroughrastakhiz","دروغ رستاخیز")</f>
        <v>دروغ رستاخیز</v>
      </c>
      <c r="B827">
        <v>60</v>
      </c>
      <c r="C827" t="s">
        <v>410</v>
      </c>
      <c r="D827" t="s">
        <v>12</v>
      </c>
      <c r="E827" t="s">
        <v>303</v>
      </c>
      <c r="F827" t="s">
        <v>340</v>
      </c>
      <c r="G827" t="s">
        <v>2434</v>
      </c>
      <c r="H827" t="s">
        <v>1932</v>
      </c>
      <c r="I827">
        <v>3.3</v>
      </c>
      <c r="J827">
        <v>16</v>
      </c>
      <c r="K827" t="s">
        <v>2435</v>
      </c>
    </row>
    <row r="828" spans="1:11" x14ac:dyDescent="0.2">
      <c r="A828" t="str">
        <f>HYPERLINK("https://www.tiwall.com//p/aghayehashemi","خانواده آقای هاشمی")</f>
        <v>خانواده آقای هاشمی</v>
      </c>
      <c r="B828">
        <v>40</v>
      </c>
      <c r="C828" t="s">
        <v>145</v>
      </c>
      <c r="D828" t="s">
        <v>280</v>
      </c>
      <c r="E828" t="s">
        <v>26</v>
      </c>
      <c r="F828" t="s">
        <v>2436</v>
      </c>
      <c r="G828" t="s">
        <v>2437</v>
      </c>
      <c r="H828" t="s">
        <v>2438</v>
      </c>
      <c r="I828">
        <v>3.6</v>
      </c>
      <c r="J828">
        <v>17</v>
      </c>
      <c r="K828" t="s">
        <v>2439</v>
      </c>
    </row>
    <row r="829" spans="1:11" x14ac:dyDescent="0.2">
      <c r="A829" t="str">
        <f>HYPERLINK("https://www.tiwall.com//p/nazr.abas","نذر عباس")</f>
        <v>نذر عباس</v>
      </c>
      <c r="B829">
        <v>70</v>
      </c>
      <c r="C829" t="s">
        <v>344</v>
      </c>
      <c r="D829" t="s">
        <v>38</v>
      </c>
      <c r="E829" t="s">
        <v>194</v>
      </c>
      <c r="F829" t="s">
        <v>113</v>
      </c>
      <c r="G829" t="s">
        <v>2440</v>
      </c>
      <c r="H829" t="s">
        <v>2440</v>
      </c>
      <c r="I829">
        <v>0</v>
      </c>
      <c r="J829">
        <v>0</v>
      </c>
      <c r="K829" t="s">
        <v>2441</v>
      </c>
    </row>
    <row r="830" spans="1:11" x14ac:dyDescent="0.2">
      <c r="A830" t="str">
        <f>HYPERLINK("https://www.tiwall.com//p/ischemia","ایسکمیا")</f>
        <v>ایسکمیا</v>
      </c>
      <c r="B830">
        <v>85</v>
      </c>
      <c r="C830" t="s">
        <v>60</v>
      </c>
      <c r="D830" t="s">
        <v>2286</v>
      </c>
      <c r="E830" t="s">
        <v>71</v>
      </c>
      <c r="F830" t="s">
        <v>1243</v>
      </c>
      <c r="G830" t="s">
        <v>2442</v>
      </c>
      <c r="H830" t="s">
        <v>2442</v>
      </c>
      <c r="I830">
        <v>4.2</v>
      </c>
      <c r="J830">
        <v>19</v>
      </c>
      <c r="K830" t="s">
        <v>2443</v>
      </c>
    </row>
    <row r="831" spans="1:11" x14ac:dyDescent="0.2">
      <c r="A831" t="str">
        <f>HYPERLINK("https://www.tiwall.com//p/halloween4","هالووین")</f>
        <v>هالووین</v>
      </c>
      <c r="B831">
        <v>70</v>
      </c>
      <c r="C831" t="s">
        <v>11</v>
      </c>
      <c r="D831" t="s">
        <v>65</v>
      </c>
      <c r="E831" t="s">
        <v>328</v>
      </c>
      <c r="F831" t="s">
        <v>506</v>
      </c>
      <c r="G831" t="s">
        <v>2444</v>
      </c>
      <c r="H831" t="s">
        <v>2444</v>
      </c>
      <c r="I831">
        <v>3.8</v>
      </c>
      <c r="J831">
        <v>34</v>
      </c>
      <c r="K831" t="s">
        <v>2445</v>
      </c>
    </row>
    <row r="832" spans="1:11" x14ac:dyDescent="0.2">
      <c r="A832" t="str">
        <f>HYPERLINK("https://www.tiwall.com//p/bihessimozei","بی حسی موضعی")</f>
        <v>بی حسی موضعی</v>
      </c>
      <c r="B832">
        <v>65</v>
      </c>
      <c r="C832" t="s">
        <v>51</v>
      </c>
      <c r="D832" t="s">
        <v>285</v>
      </c>
      <c r="E832" t="s">
        <v>13</v>
      </c>
      <c r="F832" t="s">
        <v>2446</v>
      </c>
      <c r="G832" t="s">
        <v>1052</v>
      </c>
      <c r="H832" t="s">
        <v>1052</v>
      </c>
      <c r="I832">
        <v>0</v>
      </c>
      <c r="J832">
        <v>0</v>
      </c>
      <c r="K832" t="s">
        <v>2447</v>
      </c>
    </row>
    <row r="833" spans="1:11" x14ac:dyDescent="0.2">
      <c r="A833" t="str">
        <f>HYPERLINK("https://www.tiwall.com//p/athens.moscow3","آتن - مسکو")</f>
        <v>آتن - مسکو</v>
      </c>
      <c r="B833">
        <v>40</v>
      </c>
      <c r="C833" t="s">
        <v>108</v>
      </c>
      <c r="D833" t="s">
        <v>25</v>
      </c>
      <c r="E833" t="s">
        <v>303</v>
      </c>
      <c r="F833" t="s">
        <v>1344</v>
      </c>
      <c r="G833" t="s">
        <v>2448</v>
      </c>
      <c r="H833" t="s">
        <v>2449</v>
      </c>
      <c r="I833">
        <v>0</v>
      </c>
      <c r="J833">
        <v>0</v>
      </c>
      <c r="K833" t="s">
        <v>2450</v>
      </c>
    </row>
    <row r="834" spans="1:11" x14ac:dyDescent="0.2">
      <c r="A834" t="str">
        <f>HYPERLINK("https://www.tiwall.com//p/paein.chap4","پایین سمت چپ")</f>
        <v>پایین سمت چپ</v>
      </c>
      <c r="B834">
        <v>50</v>
      </c>
      <c r="C834" t="s">
        <v>199</v>
      </c>
      <c r="D834" t="s">
        <v>12</v>
      </c>
      <c r="E834" t="s">
        <v>88</v>
      </c>
      <c r="F834" t="s">
        <v>2094</v>
      </c>
      <c r="G834" t="s">
        <v>2451</v>
      </c>
      <c r="H834" t="s">
        <v>2451</v>
      </c>
      <c r="I834">
        <v>2.2999999999999998</v>
      </c>
      <c r="J834">
        <v>6</v>
      </c>
      <c r="K834" t="s">
        <v>2452</v>
      </c>
    </row>
    <row r="835" spans="1:11" x14ac:dyDescent="0.2">
      <c r="A835" t="str">
        <f>HYPERLINK("https://www.tiwall.com//p/ab.virani","هر جا آب هست، ویرانی ست...")</f>
        <v>هر جا آب هست، ویرانی ست...</v>
      </c>
      <c r="B835">
        <v>70</v>
      </c>
      <c r="C835" t="s">
        <v>1290</v>
      </c>
      <c r="D835" t="s">
        <v>25</v>
      </c>
      <c r="E835" t="s">
        <v>13</v>
      </c>
      <c r="F835" t="s">
        <v>2453</v>
      </c>
      <c r="G835" t="s">
        <v>2454</v>
      </c>
      <c r="H835" t="s">
        <v>2455</v>
      </c>
      <c r="I835">
        <v>0</v>
      </c>
      <c r="J835">
        <v>0</v>
      </c>
      <c r="K835" t="s">
        <v>2456</v>
      </c>
    </row>
    <row r="836" spans="1:11" x14ac:dyDescent="0.2">
      <c r="A836" t="str">
        <f>HYPERLINK("https://www.tiwall.com//p/shining5","درخشش")</f>
        <v>درخشش</v>
      </c>
      <c r="B836">
        <v>70</v>
      </c>
      <c r="C836" t="s">
        <v>262</v>
      </c>
      <c r="D836" t="s">
        <v>217</v>
      </c>
      <c r="E836" t="s">
        <v>19</v>
      </c>
      <c r="F836" t="s">
        <v>27</v>
      </c>
      <c r="G836" t="s">
        <v>2457</v>
      </c>
      <c r="H836" t="s">
        <v>2457</v>
      </c>
      <c r="I836">
        <v>3.6</v>
      </c>
      <c r="J836">
        <v>21</v>
      </c>
      <c r="K836" t="s">
        <v>2458</v>
      </c>
    </row>
    <row r="837" spans="1:11" x14ac:dyDescent="0.2">
      <c r="A837" t="str">
        <f>HYPERLINK("https://www.tiwall.com//p/gheseye.zohr.jome7","قصه ظهر جمعه")</f>
        <v>قصه ظهر جمعه</v>
      </c>
      <c r="B837">
        <v>60</v>
      </c>
      <c r="C837" t="s">
        <v>1290</v>
      </c>
      <c r="D837" t="s">
        <v>32</v>
      </c>
      <c r="E837" t="s">
        <v>26</v>
      </c>
      <c r="F837" t="s">
        <v>2459</v>
      </c>
      <c r="G837" t="s">
        <v>2460</v>
      </c>
      <c r="H837" t="s">
        <v>654</v>
      </c>
      <c r="I837">
        <v>3.3</v>
      </c>
      <c r="J837">
        <v>6</v>
      </c>
      <c r="K837" t="s">
        <v>2461</v>
      </c>
    </row>
    <row r="838" spans="1:11" x14ac:dyDescent="0.2">
      <c r="A838" t="str">
        <f>HYPERLINK("https://www.tiwall.com//p/morghedaryayi3","مرغ دریایی دایی وانیا")</f>
        <v>مرغ دریایی دایی وانیا</v>
      </c>
      <c r="B838">
        <v>40</v>
      </c>
      <c r="C838" t="s">
        <v>145</v>
      </c>
      <c r="D838" t="s">
        <v>87</v>
      </c>
      <c r="E838" t="s">
        <v>71</v>
      </c>
      <c r="F838" t="s">
        <v>480</v>
      </c>
      <c r="G838" t="s">
        <v>1205</v>
      </c>
      <c r="H838" t="s">
        <v>2462</v>
      </c>
      <c r="I838">
        <v>3.5</v>
      </c>
      <c r="J838">
        <v>20</v>
      </c>
      <c r="K838" t="s">
        <v>2463</v>
      </c>
    </row>
    <row r="839" spans="1:11" x14ac:dyDescent="0.2">
      <c r="A839" t="str">
        <f>HYPERLINK("https://www.tiwall.com//p/faghatbekhand","تو فقط بخند")</f>
        <v>تو فقط بخند</v>
      </c>
      <c r="B839">
        <v>50</v>
      </c>
      <c r="C839" t="s">
        <v>2464</v>
      </c>
      <c r="D839" t="s">
        <v>217</v>
      </c>
      <c r="E839" t="s">
        <v>175</v>
      </c>
      <c r="F839" t="s">
        <v>2465</v>
      </c>
      <c r="G839" t="s">
        <v>2466</v>
      </c>
      <c r="H839" t="s">
        <v>2466</v>
      </c>
      <c r="I839">
        <v>0</v>
      </c>
      <c r="J839">
        <v>0</v>
      </c>
      <c r="K839" t="s">
        <v>2467</v>
      </c>
    </row>
    <row r="840" spans="1:11" x14ac:dyDescent="0.2">
      <c r="A840" t="str">
        <f>HYPERLINK("https://www.tiwall.com//p/dorehami2","دورهمی")</f>
        <v>دورهمی</v>
      </c>
      <c r="B840">
        <v>80</v>
      </c>
      <c r="C840" t="s">
        <v>262</v>
      </c>
      <c r="D840" t="s">
        <v>217</v>
      </c>
      <c r="E840" t="s">
        <v>71</v>
      </c>
      <c r="F840" t="s">
        <v>345</v>
      </c>
      <c r="G840" t="s">
        <v>2468</v>
      </c>
      <c r="H840" t="s">
        <v>2469</v>
      </c>
      <c r="I840">
        <v>2.7</v>
      </c>
      <c r="J840">
        <v>13</v>
      </c>
      <c r="K840" t="s">
        <v>2470</v>
      </c>
    </row>
    <row r="841" spans="1:11" x14ac:dyDescent="0.2">
      <c r="A841" t="str">
        <f>HYPERLINK("https://www.tiwall.com//p/panj.sanieh.barf3","پنج ثانیه برف")</f>
        <v>پنج ثانیه برف</v>
      </c>
      <c r="B841">
        <v>55</v>
      </c>
      <c r="C841" t="s">
        <v>60</v>
      </c>
      <c r="D841" t="s">
        <v>38</v>
      </c>
      <c r="E841" t="s">
        <v>19</v>
      </c>
      <c r="F841" t="s">
        <v>61</v>
      </c>
      <c r="G841" t="s">
        <v>2471</v>
      </c>
      <c r="H841" t="s">
        <v>1128</v>
      </c>
      <c r="I841">
        <v>0</v>
      </c>
      <c r="J841">
        <v>0</v>
      </c>
      <c r="K841" t="s">
        <v>2472</v>
      </c>
    </row>
    <row r="842" spans="1:11" x14ac:dyDescent="0.2">
      <c r="A842" t="str">
        <f>HYPERLINK("https://www.tiwall.com//p/requiemforanun","رکوئیم برای یک راهبه")</f>
        <v>رکوئیم برای یک راهبه</v>
      </c>
      <c r="B842">
        <v>40</v>
      </c>
      <c r="C842" t="s">
        <v>199</v>
      </c>
      <c r="D842" t="s">
        <v>256</v>
      </c>
      <c r="E842" t="s">
        <v>303</v>
      </c>
      <c r="F842" t="s">
        <v>694</v>
      </c>
      <c r="G842" t="s">
        <v>2473</v>
      </c>
      <c r="H842" t="s">
        <v>758</v>
      </c>
      <c r="I842">
        <v>1.8</v>
      </c>
      <c r="J842">
        <v>5</v>
      </c>
      <c r="K842" t="s">
        <v>2474</v>
      </c>
    </row>
    <row r="843" spans="1:11" x14ac:dyDescent="0.2">
      <c r="A843" t="str">
        <f>HYPERLINK("https://www.tiwall.com//p/kabousesorkh2","کابوس سرخ")</f>
        <v>کابوس سرخ</v>
      </c>
      <c r="B843">
        <v>20</v>
      </c>
      <c r="C843" t="s">
        <v>2475</v>
      </c>
      <c r="D843" t="s">
        <v>65</v>
      </c>
      <c r="E843" t="s">
        <v>13</v>
      </c>
      <c r="F843" t="s">
        <v>2476</v>
      </c>
      <c r="G843" t="s">
        <v>2477</v>
      </c>
      <c r="H843" t="s">
        <v>2478</v>
      </c>
      <c r="I843">
        <v>0</v>
      </c>
      <c r="J843">
        <v>0</v>
      </c>
      <c r="K843" t="s">
        <v>2479</v>
      </c>
    </row>
    <row r="844" spans="1:11" x14ac:dyDescent="0.2">
      <c r="A844" t="str">
        <f>HYPERLINK("https://www.tiwall.com//p/fararazinja","فرار از اینجا")</f>
        <v>فرار از اینجا</v>
      </c>
      <c r="B844">
        <v>100</v>
      </c>
      <c r="C844" t="s">
        <v>170</v>
      </c>
      <c r="D844" t="s">
        <v>65</v>
      </c>
      <c r="E844" t="s">
        <v>13</v>
      </c>
      <c r="F844" t="s">
        <v>317</v>
      </c>
      <c r="G844" t="s">
        <v>2480</v>
      </c>
      <c r="H844" t="s">
        <v>2480</v>
      </c>
      <c r="I844">
        <v>0</v>
      </c>
      <c r="J844">
        <v>0</v>
      </c>
      <c r="K844" t="s">
        <v>2481</v>
      </c>
    </row>
    <row r="845" spans="1:11" x14ac:dyDescent="0.2">
      <c r="A845" t="str">
        <f>HYPERLINK("https://www.tiwall.com//p/ajibosaltaneh","عجیب السلطنه")</f>
        <v>عجیب السلطنه</v>
      </c>
      <c r="B845">
        <v>30</v>
      </c>
      <c r="C845" t="s">
        <v>145</v>
      </c>
      <c r="D845" t="s">
        <v>38</v>
      </c>
      <c r="E845" t="s">
        <v>26</v>
      </c>
      <c r="F845" t="s">
        <v>548</v>
      </c>
      <c r="G845" t="s">
        <v>2482</v>
      </c>
      <c r="H845" t="s">
        <v>2483</v>
      </c>
      <c r="I845">
        <v>3.1</v>
      </c>
      <c r="J845">
        <v>7</v>
      </c>
      <c r="K845" t="s">
        <v>2484</v>
      </c>
    </row>
    <row r="846" spans="1:11" x14ac:dyDescent="0.2">
      <c r="A846" t="str">
        <f>HYPERLINK("https://www.tiwall.com//p/yealamemahi","بین یه عالمه ماهی")</f>
        <v>بین یه عالمه ماهی</v>
      </c>
      <c r="B846">
        <v>35</v>
      </c>
      <c r="C846" t="s">
        <v>344</v>
      </c>
      <c r="D846" t="s">
        <v>12</v>
      </c>
      <c r="E846" t="s">
        <v>26</v>
      </c>
      <c r="F846" t="s">
        <v>66</v>
      </c>
      <c r="G846" t="s">
        <v>2444</v>
      </c>
      <c r="H846" t="s">
        <v>2444</v>
      </c>
      <c r="I846">
        <v>3.5</v>
      </c>
      <c r="J846">
        <v>13</v>
      </c>
      <c r="K846" t="s">
        <v>2485</v>
      </c>
    </row>
    <row r="847" spans="1:11" x14ac:dyDescent="0.2">
      <c r="A847" t="str">
        <f>HYPERLINK("https://www.tiwall.com//p/azmajhool","از مجهول به مجهول")</f>
        <v>از مجهول به مجهول</v>
      </c>
      <c r="B847">
        <v>70</v>
      </c>
      <c r="C847" t="s">
        <v>501</v>
      </c>
      <c r="D847" t="s">
        <v>384</v>
      </c>
      <c r="E847" t="s">
        <v>138</v>
      </c>
      <c r="F847" t="s">
        <v>1822</v>
      </c>
      <c r="G847" t="s">
        <v>2486</v>
      </c>
      <c r="H847" t="s">
        <v>2486</v>
      </c>
      <c r="I847">
        <v>3</v>
      </c>
      <c r="J847">
        <v>20</v>
      </c>
      <c r="K847" t="s">
        <v>2487</v>
      </c>
    </row>
    <row r="848" spans="1:11" x14ac:dyDescent="0.2">
      <c r="A848" t="str">
        <f>HYPERLINK("https://www.tiwall.com//p/pelican3","پلیکان")</f>
        <v>پلیکان</v>
      </c>
      <c r="B848">
        <v>25</v>
      </c>
      <c r="C848" t="s">
        <v>161</v>
      </c>
      <c r="D848" t="s">
        <v>12</v>
      </c>
      <c r="E848" t="s">
        <v>13</v>
      </c>
      <c r="F848" t="s">
        <v>961</v>
      </c>
      <c r="G848" t="s">
        <v>2488</v>
      </c>
      <c r="H848" t="s">
        <v>2270</v>
      </c>
      <c r="I848">
        <v>0</v>
      </c>
      <c r="J848">
        <v>0</v>
      </c>
      <c r="K848" t="s">
        <v>2489</v>
      </c>
    </row>
    <row r="849" spans="1:11" x14ac:dyDescent="0.2">
      <c r="A849" t="str">
        <f>HYPERLINK("https://www.tiwall.com//p/bacheh3","بچه")</f>
        <v>بچه</v>
      </c>
      <c r="B849">
        <v>100</v>
      </c>
      <c r="C849" t="s">
        <v>31</v>
      </c>
      <c r="D849" t="s">
        <v>12</v>
      </c>
      <c r="E849" t="s">
        <v>19</v>
      </c>
      <c r="F849" t="s">
        <v>2490</v>
      </c>
      <c r="G849" t="s">
        <v>2491</v>
      </c>
      <c r="H849" t="s">
        <v>381</v>
      </c>
      <c r="I849">
        <v>4.0999999999999996</v>
      </c>
      <c r="J849">
        <v>132</v>
      </c>
      <c r="K849" t="s">
        <v>2492</v>
      </c>
    </row>
    <row r="850" spans="1:11" x14ac:dyDescent="0.2">
      <c r="A850" t="str">
        <f>HYPERLINK("https://www.tiwall.com//p/yapraghlar","یئنه یاپراقلار دوشور (باز برگها می ریزند)")</f>
        <v>یئنه یاپراقلار دوشور (باز برگها می ریزند)</v>
      </c>
      <c r="B850">
        <v>40</v>
      </c>
      <c r="C850" t="s">
        <v>832</v>
      </c>
      <c r="D850" t="s">
        <v>12</v>
      </c>
      <c r="E850" t="s">
        <v>46</v>
      </c>
      <c r="F850" t="s">
        <v>345</v>
      </c>
      <c r="G850" t="s">
        <v>2493</v>
      </c>
      <c r="H850" t="s">
        <v>2494</v>
      </c>
      <c r="I850">
        <v>0</v>
      </c>
      <c r="J850">
        <v>0</v>
      </c>
      <c r="K850" t="s">
        <v>2495</v>
      </c>
    </row>
    <row r="851" spans="1:11" x14ac:dyDescent="0.2">
      <c r="A851" t="str">
        <f>HYPERLINK("https://www.tiwall.com//p/pezeshkenazanin22","پزشک نازنین")</f>
        <v>پزشک نازنین</v>
      </c>
      <c r="B851">
        <v>70</v>
      </c>
      <c r="C851" t="s">
        <v>170</v>
      </c>
      <c r="D851" t="s">
        <v>146</v>
      </c>
      <c r="E851" t="s">
        <v>138</v>
      </c>
      <c r="F851" t="s">
        <v>753</v>
      </c>
      <c r="G851" t="s">
        <v>2496</v>
      </c>
      <c r="H851" t="s">
        <v>183</v>
      </c>
      <c r="I851">
        <v>0</v>
      </c>
      <c r="J851">
        <v>0</v>
      </c>
      <c r="K851" t="s">
        <v>2497</v>
      </c>
    </row>
    <row r="852" spans="1:11" x14ac:dyDescent="0.2">
      <c r="A852" t="str">
        <f>HYPERLINK("https://www.tiwall.com//p/kar","کَر")</f>
        <v>کَر</v>
      </c>
      <c r="B852">
        <v>35</v>
      </c>
      <c r="C852" t="s">
        <v>344</v>
      </c>
      <c r="D852" t="s">
        <v>384</v>
      </c>
      <c r="E852" t="s">
        <v>71</v>
      </c>
      <c r="F852" t="s">
        <v>427</v>
      </c>
      <c r="G852" t="s">
        <v>374</v>
      </c>
      <c r="H852" t="s">
        <v>374</v>
      </c>
      <c r="I852">
        <v>2.8</v>
      </c>
      <c r="J852">
        <v>12</v>
      </c>
      <c r="K852" t="s">
        <v>2498</v>
      </c>
    </row>
    <row r="853" spans="1:11" x14ac:dyDescent="0.2">
      <c r="A853" t="str">
        <f>HYPERLINK("https://www.tiwall.com//p/dahanikalagh3","دهانی پر از کلاغ")</f>
        <v>دهانی پر از کلاغ</v>
      </c>
      <c r="B853">
        <v>25</v>
      </c>
      <c r="C853" t="s">
        <v>161</v>
      </c>
      <c r="D853" t="s">
        <v>65</v>
      </c>
      <c r="E853" t="s">
        <v>46</v>
      </c>
      <c r="F853" t="s">
        <v>694</v>
      </c>
      <c r="G853" t="s">
        <v>2499</v>
      </c>
      <c r="H853" t="s">
        <v>2500</v>
      </c>
      <c r="I853">
        <v>0</v>
      </c>
      <c r="J853">
        <v>0</v>
      </c>
      <c r="K853" t="s">
        <v>2501</v>
      </c>
    </row>
    <row r="854" spans="1:11" x14ac:dyDescent="0.2">
      <c r="A854" t="str">
        <f>HYPERLINK("https://www.tiwall.com//p/porsetare","بیا بریم تو دل یه شب پر ستاره")</f>
        <v>بیا بریم تو دل یه شب پر ستاره</v>
      </c>
      <c r="B854">
        <v>30</v>
      </c>
      <c r="C854" t="s">
        <v>121</v>
      </c>
      <c r="D854" t="s">
        <v>217</v>
      </c>
      <c r="E854" t="s">
        <v>475</v>
      </c>
      <c r="F854" t="s">
        <v>2502</v>
      </c>
      <c r="G854" t="s">
        <v>2503</v>
      </c>
      <c r="H854" t="s">
        <v>2503</v>
      </c>
      <c r="I854">
        <v>0</v>
      </c>
      <c r="J854">
        <v>0</v>
      </c>
      <c r="K854" t="s">
        <v>2503</v>
      </c>
    </row>
    <row r="855" spans="1:11" x14ac:dyDescent="0.2">
      <c r="A855" t="str">
        <f>HYPERLINK("https://www.tiwall.com//p/menhayedo2","منهای دو")</f>
        <v>منهای دو</v>
      </c>
      <c r="B855">
        <v>45</v>
      </c>
      <c r="C855" t="s">
        <v>199</v>
      </c>
      <c r="D855" t="s">
        <v>12</v>
      </c>
      <c r="E855" t="s">
        <v>26</v>
      </c>
      <c r="F855" t="s">
        <v>2056</v>
      </c>
      <c r="G855" t="s">
        <v>1991</v>
      </c>
      <c r="H855" t="s">
        <v>2504</v>
      </c>
      <c r="I855">
        <v>0</v>
      </c>
      <c r="J855">
        <v>0</v>
      </c>
      <c r="K855" t="s">
        <v>2505</v>
      </c>
    </row>
    <row r="856" spans="1:11" x14ac:dyDescent="0.2">
      <c r="A856" t="str">
        <f>HYPERLINK("https://www.tiwall.com//p/parasite6","انگل")</f>
        <v>انگل</v>
      </c>
      <c r="B856">
        <v>35</v>
      </c>
      <c r="C856" t="s">
        <v>383</v>
      </c>
      <c r="D856" t="s">
        <v>25</v>
      </c>
      <c r="E856" t="s">
        <v>46</v>
      </c>
      <c r="F856" t="s">
        <v>668</v>
      </c>
      <c r="G856" t="s">
        <v>2506</v>
      </c>
      <c r="H856" t="s">
        <v>2506</v>
      </c>
      <c r="I856">
        <v>0</v>
      </c>
      <c r="J856">
        <v>0</v>
      </c>
      <c r="K856" t="s">
        <v>2507</v>
      </c>
    </row>
    <row r="857" spans="1:11" x14ac:dyDescent="0.2">
      <c r="A857" t="str">
        <f>HYPERLINK("https://www.tiwall.com//p/asarehtamashagar","اثر تماشاگر")</f>
        <v>اثر تماشاگر</v>
      </c>
      <c r="B857">
        <v>90</v>
      </c>
      <c r="C857" t="s">
        <v>86</v>
      </c>
      <c r="D857" t="s">
        <v>299</v>
      </c>
      <c r="E857" t="s">
        <v>13</v>
      </c>
      <c r="F857" t="s">
        <v>2453</v>
      </c>
      <c r="G857" t="s">
        <v>573</v>
      </c>
      <c r="H857" t="s">
        <v>573</v>
      </c>
      <c r="I857">
        <v>0</v>
      </c>
      <c r="J857">
        <v>0</v>
      </c>
      <c r="K857" t="s">
        <v>2508</v>
      </c>
    </row>
    <row r="858" spans="1:11" x14ac:dyDescent="0.2">
      <c r="A858" t="str">
        <f>HYPERLINK("https://www.tiwall.com//p/eghamatejbari","اقامت اجباری")</f>
        <v>اقامت اجباری</v>
      </c>
      <c r="B858">
        <v>90</v>
      </c>
      <c r="C858" t="s">
        <v>224</v>
      </c>
      <c r="D858" t="s">
        <v>12</v>
      </c>
      <c r="E858" t="s">
        <v>303</v>
      </c>
      <c r="F858" t="s">
        <v>2509</v>
      </c>
      <c r="G858" t="s">
        <v>2510</v>
      </c>
      <c r="H858" t="s">
        <v>2511</v>
      </c>
      <c r="I858">
        <v>4</v>
      </c>
      <c r="J858">
        <v>10</v>
      </c>
      <c r="K858" t="s">
        <v>2512</v>
      </c>
    </row>
    <row r="859" spans="1:11" x14ac:dyDescent="0.2">
      <c r="A859" t="str">
        <f>HYPERLINK("https://www.tiwall.com//p/pishnahade.sarashpaz4","سرآشپز پیشنهاد می کند")</f>
        <v>سرآشپز پیشنهاد می کند</v>
      </c>
      <c r="B859">
        <v>60</v>
      </c>
      <c r="C859" t="s">
        <v>1834</v>
      </c>
      <c r="D859" t="s">
        <v>45</v>
      </c>
      <c r="E859" t="s">
        <v>26</v>
      </c>
      <c r="F859" t="s">
        <v>592</v>
      </c>
      <c r="G859" t="s">
        <v>2513</v>
      </c>
      <c r="H859" t="s">
        <v>2514</v>
      </c>
      <c r="I859">
        <v>0</v>
      </c>
      <c r="J859">
        <v>0</v>
      </c>
      <c r="K859" t="s">
        <v>2515</v>
      </c>
    </row>
    <row r="860" spans="1:11" x14ac:dyDescent="0.2">
      <c r="A860" t="str">
        <f>HYPERLINK("https://www.tiwall.com//p/amineh","امینه")</f>
        <v>امینه</v>
      </c>
      <c r="B860">
        <v>40</v>
      </c>
      <c r="C860" t="s">
        <v>69</v>
      </c>
      <c r="D860" t="s">
        <v>32</v>
      </c>
      <c r="E860" t="s">
        <v>303</v>
      </c>
      <c r="F860" t="s">
        <v>787</v>
      </c>
      <c r="G860" t="s">
        <v>2516</v>
      </c>
      <c r="H860" t="s">
        <v>360</v>
      </c>
      <c r="I860">
        <v>4.5999999999999996</v>
      </c>
      <c r="J860">
        <v>5</v>
      </c>
      <c r="K860" t="s">
        <v>2517</v>
      </c>
    </row>
    <row r="861" spans="1:11" x14ac:dyDescent="0.2">
      <c r="A861" t="str">
        <f>HYPERLINK("https://www.tiwall.com//p/raheleh","راحله")</f>
        <v>راحله</v>
      </c>
      <c r="B861">
        <v>45</v>
      </c>
      <c r="C861" t="s">
        <v>199</v>
      </c>
      <c r="D861" t="s">
        <v>70</v>
      </c>
      <c r="E861" t="s">
        <v>19</v>
      </c>
      <c r="F861" t="s">
        <v>1086</v>
      </c>
      <c r="G861" t="s">
        <v>2518</v>
      </c>
      <c r="H861" t="s">
        <v>2518</v>
      </c>
      <c r="I861">
        <v>0</v>
      </c>
      <c r="J861">
        <v>0</v>
      </c>
      <c r="K861" t="s">
        <v>2519</v>
      </c>
    </row>
    <row r="862" spans="1:11" x14ac:dyDescent="0.2">
      <c r="A862" t="str">
        <f>HYPERLINK("https://www.tiwall.com//p/panahkah2","پناه‌کاه")</f>
        <v>پناه‌کاه</v>
      </c>
      <c r="B862">
        <v>90</v>
      </c>
      <c r="C862" t="s">
        <v>37</v>
      </c>
      <c r="D862" t="s">
        <v>25</v>
      </c>
      <c r="E862" t="s">
        <v>88</v>
      </c>
      <c r="F862" t="s">
        <v>1822</v>
      </c>
      <c r="G862" t="s">
        <v>2520</v>
      </c>
      <c r="H862" t="s">
        <v>2520</v>
      </c>
      <c r="I862">
        <v>3.7</v>
      </c>
      <c r="J862">
        <v>133</v>
      </c>
      <c r="K862" t="s">
        <v>2521</v>
      </c>
    </row>
    <row r="863" spans="1:11" x14ac:dyDescent="0.2">
      <c r="A863" t="str">
        <f>HYPERLINK("https://www.tiwall.com//p/biderman.atash2","بیدرمن و آتش‌افروزان")</f>
        <v>بیدرمن و آتش‌افروزان</v>
      </c>
      <c r="B863">
        <v>70</v>
      </c>
      <c r="C863" t="s">
        <v>117</v>
      </c>
      <c r="D863" t="s">
        <v>146</v>
      </c>
      <c r="E863" t="s">
        <v>39</v>
      </c>
      <c r="F863" t="s">
        <v>596</v>
      </c>
      <c r="G863" t="s">
        <v>495</v>
      </c>
      <c r="H863" t="s">
        <v>496</v>
      </c>
      <c r="I863">
        <v>0</v>
      </c>
      <c r="J863">
        <v>0</v>
      </c>
      <c r="K863" t="s">
        <v>2522</v>
      </c>
    </row>
    <row r="864" spans="1:11" x14ac:dyDescent="0.2">
      <c r="A864" t="str">
        <f>HYPERLINK("https://www.tiwall.com//p/sootafahom","سوءتفاهم")</f>
        <v>سوءتفاهم</v>
      </c>
      <c r="B864">
        <v>25</v>
      </c>
      <c r="C864" t="s">
        <v>11</v>
      </c>
      <c r="D864" t="s">
        <v>25</v>
      </c>
      <c r="E864" t="s">
        <v>88</v>
      </c>
      <c r="F864" t="s">
        <v>395</v>
      </c>
      <c r="G864" t="s">
        <v>2523</v>
      </c>
      <c r="H864" t="s">
        <v>758</v>
      </c>
      <c r="I864">
        <v>3.5</v>
      </c>
      <c r="J864">
        <v>8</v>
      </c>
      <c r="K864" t="s">
        <v>2524</v>
      </c>
    </row>
    <row r="865" spans="1:11" x14ac:dyDescent="0.2">
      <c r="A865" t="str">
        <f>HYPERLINK("https://www.tiwall.com//p/shisheh.sang","شیشه‌های شهر سنگی")</f>
        <v>شیشه‌های شهر سنگی</v>
      </c>
      <c r="B865">
        <v>25</v>
      </c>
      <c r="C865" t="s">
        <v>1446</v>
      </c>
      <c r="D865" t="s">
        <v>2346</v>
      </c>
      <c r="E865" t="s">
        <v>175</v>
      </c>
      <c r="F865" t="s">
        <v>531</v>
      </c>
      <c r="G865" t="s">
        <v>2525</v>
      </c>
      <c r="H865" t="s">
        <v>2526</v>
      </c>
      <c r="I865">
        <v>5</v>
      </c>
      <c r="J865">
        <v>6</v>
      </c>
      <c r="K865" t="s">
        <v>2527</v>
      </c>
    </row>
    <row r="866" spans="1:11" x14ac:dyDescent="0.2">
      <c r="A866" t="str">
        <f>HYPERLINK("https://www.tiwall.com//p/otolsoron4","اتول سورون طهران الف ۱")</f>
        <v>اتول سورون طهران الف ۱</v>
      </c>
      <c r="B866">
        <v>150</v>
      </c>
      <c r="C866" t="s">
        <v>37</v>
      </c>
      <c r="D866" t="s">
        <v>70</v>
      </c>
      <c r="E866" t="s">
        <v>303</v>
      </c>
      <c r="F866" t="s">
        <v>176</v>
      </c>
      <c r="G866" t="s">
        <v>2035</v>
      </c>
      <c r="H866" t="s">
        <v>428</v>
      </c>
      <c r="I866">
        <v>3.9</v>
      </c>
      <c r="J866">
        <v>118</v>
      </c>
      <c r="K866" t="s">
        <v>2528</v>
      </c>
    </row>
    <row r="867" spans="1:11" x14ac:dyDescent="0.2">
      <c r="A867" t="str">
        <f>HYPERLINK("https://www.tiwall.com//p/asheghaneha2","عاشقانه ها")</f>
        <v>عاشقانه ها</v>
      </c>
      <c r="B867">
        <v>90</v>
      </c>
      <c r="C867" t="s">
        <v>410</v>
      </c>
      <c r="D867" t="s">
        <v>299</v>
      </c>
      <c r="E867" t="s">
        <v>303</v>
      </c>
      <c r="F867" t="s">
        <v>27</v>
      </c>
      <c r="G867" t="s">
        <v>2529</v>
      </c>
      <c r="H867" t="s">
        <v>2530</v>
      </c>
      <c r="I867">
        <v>3.9</v>
      </c>
      <c r="J867">
        <v>93</v>
      </c>
      <c r="K867" t="s">
        <v>2531</v>
      </c>
    </row>
    <row r="868" spans="1:11" x14ac:dyDescent="0.2">
      <c r="A868" t="str">
        <f>HYPERLINK("https://www.tiwall.com//p/babou","ببو")</f>
        <v>ببو</v>
      </c>
      <c r="B868">
        <v>60</v>
      </c>
      <c r="C868" t="s">
        <v>410</v>
      </c>
      <c r="D868" t="s">
        <v>146</v>
      </c>
      <c r="E868" t="s">
        <v>303</v>
      </c>
      <c r="F868" t="s">
        <v>571</v>
      </c>
      <c r="G868" t="s">
        <v>2532</v>
      </c>
      <c r="H868" t="s">
        <v>2532</v>
      </c>
      <c r="I868">
        <v>3</v>
      </c>
      <c r="J868">
        <v>9</v>
      </c>
      <c r="K868" t="s">
        <v>2533</v>
      </c>
    </row>
    <row r="869" spans="1:11" x14ac:dyDescent="0.2">
      <c r="A869" t="str">
        <f>HYPERLINK("https://www.tiwall.com//p/zemestanshastshesh2","زمستان ۶۶")</f>
        <v>زمستان ۶۶</v>
      </c>
      <c r="B869">
        <v>50</v>
      </c>
      <c r="C869" t="s">
        <v>224</v>
      </c>
      <c r="D869" t="s">
        <v>12</v>
      </c>
      <c r="E869" t="s">
        <v>303</v>
      </c>
      <c r="F869" t="s">
        <v>826</v>
      </c>
      <c r="G869" t="s">
        <v>2534</v>
      </c>
      <c r="H869" t="s">
        <v>1395</v>
      </c>
      <c r="I869">
        <v>3.9</v>
      </c>
      <c r="J869">
        <v>7</v>
      </c>
      <c r="K869" t="s">
        <v>2535</v>
      </c>
    </row>
    <row r="870" spans="1:11" x14ac:dyDescent="0.2">
      <c r="A870" t="str">
        <f>HYPERLINK("https://www.tiwall.com//p/shahrashoob","شهر آشوب")</f>
        <v>شهر آشوب</v>
      </c>
      <c r="B870">
        <v>40</v>
      </c>
      <c r="C870" t="s">
        <v>145</v>
      </c>
      <c r="D870" t="s">
        <v>87</v>
      </c>
      <c r="E870" t="s">
        <v>303</v>
      </c>
      <c r="F870" t="s">
        <v>2536</v>
      </c>
      <c r="G870" t="s">
        <v>2537</v>
      </c>
      <c r="H870" t="s">
        <v>2538</v>
      </c>
      <c r="I870">
        <v>2.6</v>
      </c>
      <c r="J870">
        <v>10</v>
      </c>
      <c r="K870" t="s">
        <v>2539</v>
      </c>
    </row>
    <row r="871" spans="1:11" x14ac:dyDescent="0.2">
      <c r="A871" t="str">
        <f>HYPERLINK("https://www.tiwall.com//p/mashkukabus","کابوسهای مرد مشکوک")</f>
        <v>کابوسهای مرد مشکوک</v>
      </c>
      <c r="B871">
        <v>30</v>
      </c>
      <c r="C871" t="s">
        <v>145</v>
      </c>
      <c r="D871" t="s">
        <v>32</v>
      </c>
      <c r="E871" t="s">
        <v>71</v>
      </c>
      <c r="F871" t="s">
        <v>104</v>
      </c>
      <c r="G871" t="s">
        <v>2540</v>
      </c>
      <c r="H871" t="s">
        <v>2541</v>
      </c>
      <c r="I871">
        <v>0</v>
      </c>
      <c r="J871">
        <v>0</v>
      </c>
      <c r="K871" t="s">
        <v>2542</v>
      </c>
    </row>
    <row r="872" spans="1:11" x14ac:dyDescent="0.2">
      <c r="A872" t="str">
        <f>HYPERLINK("https://www.tiwall.com//p/longshot.closeup2","زندگی در لانگ شات یا مرگ در کلوز آپ")</f>
        <v>زندگی در لانگ شات یا مرگ در کلوز آپ</v>
      </c>
      <c r="B872">
        <v>30</v>
      </c>
      <c r="C872" t="s">
        <v>514</v>
      </c>
      <c r="D872" t="s">
        <v>146</v>
      </c>
      <c r="E872" t="s">
        <v>13</v>
      </c>
      <c r="F872" t="s">
        <v>2543</v>
      </c>
      <c r="G872" t="s">
        <v>2544</v>
      </c>
      <c r="H872" t="s">
        <v>2545</v>
      </c>
      <c r="I872">
        <v>3.9</v>
      </c>
      <c r="J872">
        <v>13</v>
      </c>
      <c r="K872" t="s">
        <v>2544</v>
      </c>
    </row>
    <row r="873" spans="1:11" x14ac:dyDescent="0.2">
      <c r="A873" t="str">
        <f>HYPERLINK("https://www.tiwall.com//p/tarabnametehruniha","طربنامه طهرونیها")</f>
        <v>طربنامه طهرونیها</v>
      </c>
      <c r="B873">
        <v>50</v>
      </c>
      <c r="C873" t="s">
        <v>129</v>
      </c>
      <c r="D873" t="s">
        <v>38</v>
      </c>
      <c r="E873" t="s">
        <v>303</v>
      </c>
      <c r="F873" t="s">
        <v>1693</v>
      </c>
      <c r="G873" t="s">
        <v>2546</v>
      </c>
      <c r="H873" t="s">
        <v>2547</v>
      </c>
      <c r="I873">
        <v>0</v>
      </c>
      <c r="J873">
        <v>0</v>
      </c>
      <c r="K873" t="s">
        <v>2548</v>
      </c>
    </row>
    <row r="874" spans="1:11" x14ac:dyDescent="0.2">
      <c r="A874" t="str">
        <f>HYPERLINK("https://www.tiwall.com//p/dardekhafif3","برنابا")</f>
        <v>برنابا</v>
      </c>
      <c r="B874">
        <v>45</v>
      </c>
      <c r="C874" t="s">
        <v>1215</v>
      </c>
      <c r="D874" t="s">
        <v>32</v>
      </c>
      <c r="E874" t="s">
        <v>194</v>
      </c>
      <c r="F874" t="s">
        <v>842</v>
      </c>
      <c r="G874" t="s">
        <v>2549</v>
      </c>
      <c r="H874" t="s">
        <v>1989</v>
      </c>
      <c r="I874">
        <v>2.8</v>
      </c>
      <c r="J874">
        <v>17</v>
      </c>
      <c r="K874" t="s">
        <v>2550</v>
      </c>
    </row>
    <row r="875" spans="1:11" x14ac:dyDescent="0.2">
      <c r="A875" t="str">
        <f>HYPERLINK("https://www.tiwall.com//p/burlington","برلینگتون")</f>
        <v>برلینگتون</v>
      </c>
      <c r="B875">
        <v>60</v>
      </c>
      <c r="C875" t="s">
        <v>60</v>
      </c>
      <c r="D875" t="s">
        <v>32</v>
      </c>
      <c r="E875" t="s">
        <v>19</v>
      </c>
      <c r="F875" t="s">
        <v>304</v>
      </c>
      <c r="G875" t="s">
        <v>2551</v>
      </c>
      <c r="H875" t="s">
        <v>2552</v>
      </c>
      <c r="I875">
        <v>2.6</v>
      </c>
      <c r="J875">
        <v>10</v>
      </c>
      <c r="K875" t="s">
        <v>2553</v>
      </c>
    </row>
    <row r="876" spans="1:11" x14ac:dyDescent="0.2">
      <c r="A876" t="str">
        <f>HYPERLINK("https://www.tiwall.com//p/javadiee","جوادیه (بیست متری)")</f>
        <v>جوادیه (بیست متری)</v>
      </c>
      <c r="B876">
        <v>30</v>
      </c>
      <c r="C876" t="s">
        <v>151</v>
      </c>
      <c r="D876" t="s">
        <v>70</v>
      </c>
      <c r="E876" t="s">
        <v>194</v>
      </c>
      <c r="F876" t="s">
        <v>2554</v>
      </c>
      <c r="G876" t="s">
        <v>1880</v>
      </c>
      <c r="H876" t="s">
        <v>762</v>
      </c>
      <c r="I876">
        <v>4.0999999999999996</v>
      </c>
      <c r="J876">
        <v>43</v>
      </c>
      <c r="K876" t="s">
        <v>2555</v>
      </c>
    </row>
    <row r="877" spans="1:11" x14ac:dyDescent="0.2">
      <c r="A877" t="str">
        <f>HYPERLINK("https://www.tiwall.com//p/marg.soorakh","مرگ با سوراخ اضافه")</f>
        <v>مرگ با سوراخ اضافه</v>
      </c>
      <c r="B877">
        <v>30</v>
      </c>
      <c r="C877" t="s">
        <v>2556</v>
      </c>
      <c r="D877" t="s">
        <v>12</v>
      </c>
      <c r="E877" t="s">
        <v>19</v>
      </c>
      <c r="F877" t="s">
        <v>511</v>
      </c>
      <c r="G877" t="s">
        <v>2557</v>
      </c>
      <c r="H877" t="s">
        <v>2557</v>
      </c>
      <c r="I877">
        <v>0</v>
      </c>
      <c r="J877">
        <v>0</v>
      </c>
      <c r="K877" t="s">
        <v>2558</v>
      </c>
    </row>
    <row r="878" spans="1:11" x14ac:dyDescent="0.2">
      <c r="A878" t="str">
        <f>HYPERLINK("https://www.tiwall.com//p/yalbanuan2","یل بانوآن")</f>
        <v>یل بانوآن</v>
      </c>
      <c r="B878">
        <v>30</v>
      </c>
      <c r="C878" t="s">
        <v>44</v>
      </c>
      <c r="D878" t="s">
        <v>146</v>
      </c>
      <c r="E878" t="s">
        <v>303</v>
      </c>
      <c r="F878" t="s">
        <v>2559</v>
      </c>
      <c r="G878" t="s">
        <v>2560</v>
      </c>
      <c r="H878" t="s">
        <v>2561</v>
      </c>
      <c r="I878">
        <v>0</v>
      </c>
      <c r="J878">
        <v>0</v>
      </c>
      <c r="K878" t="s">
        <v>2562</v>
      </c>
    </row>
    <row r="879" spans="1:11" x14ac:dyDescent="0.2">
      <c r="A879" t="str">
        <f>HYPERLINK("https://www.tiwall.com//p/red4","قرمز")</f>
        <v>قرمز</v>
      </c>
      <c r="B879">
        <v>30</v>
      </c>
      <c r="C879" t="s">
        <v>64</v>
      </c>
      <c r="D879" t="s">
        <v>384</v>
      </c>
      <c r="E879" t="s">
        <v>26</v>
      </c>
      <c r="F879" t="s">
        <v>2151</v>
      </c>
      <c r="G879" t="s">
        <v>2563</v>
      </c>
      <c r="H879" t="s">
        <v>2564</v>
      </c>
      <c r="I879">
        <v>0</v>
      </c>
      <c r="J879">
        <v>0</v>
      </c>
      <c r="K879" t="s">
        <v>2565</v>
      </c>
    </row>
    <row r="880" spans="1:11" x14ac:dyDescent="0.2">
      <c r="A880" t="str">
        <f>HYPERLINK("https://www.tiwall.com//p/dominva","دومینوا دزد رزی نویسنده")</f>
        <v>دومینوا دزد رزی نویسنده</v>
      </c>
      <c r="B880">
        <v>20</v>
      </c>
      <c r="C880" t="s">
        <v>64</v>
      </c>
      <c r="D880" t="s">
        <v>217</v>
      </c>
      <c r="E880" t="s">
        <v>26</v>
      </c>
      <c r="F880" t="s">
        <v>2566</v>
      </c>
      <c r="G880" t="s">
        <v>534</v>
      </c>
      <c r="H880" t="s">
        <v>534</v>
      </c>
      <c r="I880">
        <v>0</v>
      </c>
      <c r="J880">
        <v>0</v>
      </c>
      <c r="K880" t="s">
        <v>2567</v>
      </c>
    </row>
    <row r="881" spans="1:11" x14ac:dyDescent="0.2">
      <c r="A881" t="str">
        <f>HYPERLINK("https://www.tiwall.com//p/jaheshi","گونه‌ی پرشگرهای جهشی")</f>
        <v>گونه‌ی پرشگرهای جهشی</v>
      </c>
      <c r="B881">
        <v>60</v>
      </c>
      <c r="C881" t="s">
        <v>204</v>
      </c>
      <c r="D881" t="s">
        <v>12</v>
      </c>
      <c r="E881" t="s">
        <v>13</v>
      </c>
      <c r="F881" t="s">
        <v>2568</v>
      </c>
      <c r="G881" t="s">
        <v>2569</v>
      </c>
      <c r="H881" t="s">
        <v>1381</v>
      </c>
      <c r="I881">
        <v>0</v>
      </c>
      <c r="J881">
        <v>0</v>
      </c>
      <c r="K881" t="s">
        <v>2570</v>
      </c>
    </row>
    <row r="882" spans="1:11" x14ac:dyDescent="0.2">
      <c r="A882" t="str">
        <f>HYPERLINK("https://www.tiwall.com//p/shab.tarik","ملودی آن شب تاریک")</f>
        <v>ملودی آن شب تاریک</v>
      </c>
      <c r="B882">
        <v>30</v>
      </c>
      <c r="C882" t="s">
        <v>137</v>
      </c>
      <c r="D882" t="s">
        <v>12</v>
      </c>
      <c r="E882" t="s">
        <v>138</v>
      </c>
      <c r="F882" t="s">
        <v>89</v>
      </c>
      <c r="G882" t="s">
        <v>2571</v>
      </c>
      <c r="H882" t="s">
        <v>2571</v>
      </c>
      <c r="I882">
        <v>0</v>
      </c>
      <c r="J882">
        <v>0</v>
      </c>
      <c r="K882" t="s">
        <v>2572</v>
      </c>
    </row>
    <row r="883" spans="1:11" x14ac:dyDescent="0.2">
      <c r="A883" t="str">
        <f>HYPERLINK("https://www.tiwall.com//p/explore","اکسپلور")</f>
        <v>اکسپلور</v>
      </c>
      <c r="B883">
        <v>50</v>
      </c>
      <c r="C883" t="s">
        <v>180</v>
      </c>
      <c r="D883" t="s">
        <v>32</v>
      </c>
      <c r="E883" t="s">
        <v>208</v>
      </c>
      <c r="F883" t="s">
        <v>1013</v>
      </c>
      <c r="G883" t="s">
        <v>2573</v>
      </c>
      <c r="H883" t="s">
        <v>2573</v>
      </c>
      <c r="I883">
        <v>3.4</v>
      </c>
      <c r="J883">
        <v>12</v>
      </c>
      <c r="K883" t="s">
        <v>2574</v>
      </c>
    </row>
    <row r="884" spans="1:11" x14ac:dyDescent="0.2">
      <c r="A884" t="str">
        <f>HYPERLINK("https://www.tiwall.com//p/kheirnabinisaeedeh3","خیر نبینی سعیده")</f>
        <v>خیر نبینی سعیده</v>
      </c>
      <c r="B884">
        <v>35</v>
      </c>
      <c r="C884" t="s">
        <v>121</v>
      </c>
      <c r="D884" t="s">
        <v>45</v>
      </c>
      <c r="E884" t="s">
        <v>13</v>
      </c>
      <c r="F884" t="s">
        <v>2575</v>
      </c>
      <c r="G884" t="s">
        <v>2576</v>
      </c>
      <c r="H884" t="s">
        <v>1738</v>
      </c>
      <c r="I884">
        <v>0</v>
      </c>
      <c r="J884">
        <v>0</v>
      </c>
      <c r="K884" t="s">
        <v>2577</v>
      </c>
    </row>
    <row r="885" spans="1:11" x14ac:dyDescent="0.2">
      <c r="A885" t="str">
        <f>HYPERLINK("https://www.tiwall.com//p/ofelia2","اوفلیاسیون")</f>
        <v>اوفلیاسیون</v>
      </c>
      <c r="B885">
        <v>30</v>
      </c>
      <c r="C885" t="s">
        <v>383</v>
      </c>
      <c r="D885" t="s">
        <v>87</v>
      </c>
      <c r="E885" t="s">
        <v>138</v>
      </c>
      <c r="F885" t="s">
        <v>289</v>
      </c>
      <c r="G885" t="s">
        <v>2578</v>
      </c>
      <c r="H885" t="s">
        <v>2579</v>
      </c>
      <c r="I885">
        <v>0</v>
      </c>
      <c r="J885">
        <v>0</v>
      </c>
      <c r="K885" t="s">
        <v>2580</v>
      </c>
    </row>
    <row r="886" spans="1:11" x14ac:dyDescent="0.2">
      <c r="A886" t="str">
        <f>HYPERLINK("https://www.tiwall.com//p/kharchangekhanegi","تنها خرچنگ خانگی لای ملافه‌ها خانه می‌کند اتللو")</f>
        <v>تنها خرچنگ خانگی لای ملافه‌ها خانه می‌کند اتللو</v>
      </c>
      <c r="B886">
        <v>40</v>
      </c>
      <c r="C886" t="s">
        <v>151</v>
      </c>
      <c r="D886" t="s">
        <v>12</v>
      </c>
      <c r="E886" t="s">
        <v>39</v>
      </c>
      <c r="F886" t="s">
        <v>162</v>
      </c>
      <c r="G886" t="s">
        <v>1784</v>
      </c>
      <c r="H886" t="s">
        <v>1784</v>
      </c>
      <c r="I886">
        <v>0</v>
      </c>
      <c r="J886">
        <v>0</v>
      </c>
      <c r="K886" t="s">
        <v>2581</v>
      </c>
    </row>
    <row r="887" spans="1:11" x14ac:dyDescent="0.2">
      <c r="A887" t="str">
        <f>HYPERLINK("https://www.tiwall.com//p/sarshakh3","سرشاخ")</f>
        <v>سرشاخ</v>
      </c>
      <c r="B887">
        <v>40</v>
      </c>
      <c r="C887" t="s">
        <v>224</v>
      </c>
      <c r="D887" t="s">
        <v>146</v>
      </c>
      <c r="E887" t="s">
        <v>26</v>
      </c>
      <c r="F887" t="s">
        <v>888</v>
      </c>
      <c r="G887" t="s">
        <v>2582</v>
      </c>
      <c r="H887" t="s">
        <v>2583</v>
      </c>
      <c r="I887">
        <v>0</v>
      </c>
      <c r="J887">
        <v>0</v>
      </c>
      <c r="K887" t="s">
        <v>2584</v>
      </c>
    </row>
    <row r="888" spans="1:11" x14ac:dyDescent="0.2">
      <c r="A888" t="str">
        <f>HYPERLINK("https://www.tiwall.com//p/nosrat","نصرت")</f>
        <v>نصرت</v>
      </c>
      <c r="B888">
        <v>50</v>
      </c>
      <c r="C888" t="s">
        <v>591</v>
      </c>
      <c r="D888" t="s">
        <v>87</v>
      </c>
      <c r="E888" t="s">
        <v>46</v>
      </c>
      <c r="F888" t="s">
        <v>1702</v>
      </c>
      <c r="G888" t="s">
        <v>2585</v>
      </c>
      <c r="H888" t="s">
        <v>2585</v>
      </c>
      <c r="I888">
        <v>0</v>
      </c>
      <c r="J888">
        <v>0</v>
      </c>
      <c r="K888" t="s">
        <v>2586</v>
      </c>
    </row>
    <row r="889" spans="1:11" x14ac:dyDescent="0.2">
      <c r="A889" t="str">
        <f>HYPERLINK("https://www.tiwall.com//p/afsare.nazi","تلویزیونگاری افسر نازی و لهستان")</f>
        <v>تلویزیونگاری افسر نازی و لهستان</v>
      </c>
      <c r="B889">
        <v>60</v>
      </c>
      <c r="C889" t="s">
        <v>501</v>
      </c>
      <c r="D889" t="s">
        <v>45</v>
      </c>
      <c r="E889" t="s">
        <v>138</v>
      </c>
      <c r="F889" t="s">
        <v>2587</v>
      </c>
      <c r="G889" t="s">
        <v>534</v>
      </c>
      <c r="H889" t="s">
        <v>534</v>
      </c>
      <c r="I889">
        <v>3.5</v>
      </c>
      <c r="J889">
        <v>6</v>
      </c>
      <c r="K889" t="s">
        <v>2588</v>
      </c>
    </row>
    <row r="890" spans="1:11" x14ac:dyDescent="0.2">
      <c r="A890" t="str">
        <f>HYPERLINK("https://www.tiwall.com//p/eterafatidarbarezanan9","اعترافاتی درباره زنان")</f>
        <v>اعترافاتی درباره زنان</v>
      </c>
      <c r="B890">
        <v>50</v>
      </c>
      <c r="C890" t="s">
        <v>81</v>
      </c>
      <c r="D890" t="s">
        <v>12</v>
      </c>
      <c r="E890" t="s">
        <v>19</v>
      </c>
      <c r="F890" t="s">
        <v>99</v>
      </c>
      <c r="G890" t="s">
        <v>2589</v>
      </c>
      <c r="H890" t="s">
        <v>1840</v>
      </c>
      <c r="I890">
        <v>0</v>
      </c>
      <c r="J890">
        <v>0</v>
      </c>
      <c r="K890" t="s">
        <v>2590</v>
      </c>
    </row>
    <row r="891" spans="1:11" x14ac:dyDescent="0.2">
      <c r="A891" t="str">
        <f>HYPERLINK("https://www.tiwall.com//p/pezeshkenazanin16","پزشک نازنین")</f>
        <v>پزشک نازنین</v>
      </c>
      <c r="B891">
        <v>40</v>
      </c>
      <c r="C891" t="s">
        <v>845</v>
      </c>
      <c r="D891" t="s">
        <v>38</v>
      </c>
      <c r="E891" t="s">
        <v>46</v>
      </c>
      <c r="F891" t="s">
        <v>2591</v>
      </c>
      <c r="G891" t="s">
        <v>258</v>
      </c>
      <c r="H891" t="s">
        <v>183</v>
      </c>
      <c r="I891">
        <v>0</v>
      </c>
      <c r="J891">
        <v>0</v>
      </c>
      <c r="K891" t="s">
        <v>2592</v>
      </c>
    </row>
    <row r="892" spans="1:11" x14ac:dyDescent="0.2">
      <c r="A892" t="str">
        <f>HYPERLINK("https://www.tiwall.com//p/dahsal","ده سال و چهار ماه")</f>
        <v>ده سال و چهار ماه</v>
      </c>
      <c r="B892">
        <v>25</v>
      </c>
      <c r="C892" t="s">
        <v>2593</v>
      </c>
      <c r="D892" t="s">
        <v>87</v>
      </c>
      <c r="E892" t="s">
        <v>13</v>
      </c>
      <c r="F892" t="s">
        <v>57</v>
      </c>
      <c r="G892" t="s">
        <v>2594</v>
      </c>
      <c r="H892" t="s">
        <v>2594</v>
      </c>
      <c r="I892">
        <v>0</v>
      </c>
      <c r="J892">
        <v>0</v>
      </c>
      <c r="K892" t="s">
        <v>2595</v>
      </c>
    </row>
    <row r="893" spans="1:11" x14ac:dyDescent="0.2">
      <c r="A893" t="str">
        <f>HYPERLINK("https://www.tiwall.com//p/tatalkhan","افسانه تتل خان")</f>
        <v>افسانه تتل خان</v>
      </c>
      <c r="B893">
        <v>100</v>
      </c>
      <c r="C893" t="s">
        <v>2596</v>
      </c>
      <c r="D893" t="s">
        <v>12</v>
      </c>
      <c r="E893" t="s">
        <v>19</v>
      </c>
      <c r="F893" t="s">
        <v>2597</v>
      </c>
      <c r="G893" t="s">
        <v>2598</v>
      </c>
      <c r="H893" t="s">
        <v>2599</v>
      </c>
      <c r="I893">
        <v>0</v>
      </c>
      <c r="J893">
        <v>0</v>
      </c>
      <c r="K893" t="s">
        <v>2600</v>
      </c>
    </row>
    <row r="894" spans="1:11" x14ac:dyDescent="0.2">
      <c r="A894" t="str">
        <f>HYPERLINK("https://www.tiwall.com//p/moameleh","معامله")</f>
        <v>معامله</v>
      </c>
      <c r="B894">
        <v>25</v>
      </c>
      <c r="C894" t="s">
        <v>117</v>
      </c>
      <c r="D894" t="s">
        <v>12</v>
      </c>
      <c r="E894" t="s">
        <v>13</v>
      </c>
      <c r="F894" t="s">
        <v>2601</v>
      </c>
      <c r="G894" t="s">
        <v>2602</v>
      </c>
      <c r="H894" t="s">
        <v>2603</v>
      </c>
      <c r="I894">
        <v>0</v>
      </c>
      <c r="J894">
        <v>0</v>
      </c>
      <c r="K894" t="s">
        <v>2604</v>
      </c>
    </row>
    <row r="895" spans="1:11" x14ac:dyDescent="0.2">
      <c r="A895" t="str">
        <f>HYPERLINK("https://www.tiwall.com//p/ouvadoustanash","او و دوستانش (۱۹۸۹)")</f>
        <v>او و دوستانش (۱۹۸۹)</v>
      </c>
      <c r="B895">
        <v>120</v>
      </c>
      <c r="C895" t="s">
        <v>230</v>
      </c>
      <c r="D895" t="s">
        <v>12</v>
      </c>
      <c r="E895" t="s">
        <v>13</v>
      </c>
      <c r="F895" t="s">
        <v>359</v>
      </c>
      <c r="G895" t="s">
        <v>2605</v>
      </c>
      <c r="H895" t="s">
        <v>2605</v>
      </c>
      <c r="I895">
        <v>4</v>
      </c>
      <c r="J895">
        <v>51</v>
      </c>
      <c r="K895" t="s">
        <v>2606</v>
      </c>
    </row>
    <row r="896" spans="1:11" x14ac:dyDescent="0.2">
      <c r="A896" t="str">
        <f>HYPERLINK("https://www.tiwall.com//p/hamechiz5","همه چیز می گذرد تو نمی گذری")</f>
        <v>همه چیز می گذرد تو نمی گذری</v>
      </c>
      <c r="B896">
        <v>40</v>
      </c>
      <c r="C896" t="s">
        <v>24</v>
      </c>
      <c r="D896" t="s">
        <v>87</v>
      </c>
      <c r="E896" t="s">
        <v>194</v>
      </c>
      <c r="F896" t="s">
        <v>610</v>
      </c>
      <c r="G896" t="s">
        <v>1829</v>
      </c>
      <c r="H896" t="s">
        <v>538</v>
      </c>
      <c r="I896">
        <v>0</v>
      </c>
      <c r="J896">
        <v>0</v>
      </c>
      <c r="K896" t="s">
        <v>1829</v>
      </c>
    </row>
    <row r="897" spans="1:11" x14ac:dyDescent="0.2">
      <c r="A897" t="str">
        <f>HYPERLINK("https://www.tiwall.com//p/sheshsadvapanjahvahaft","۶۵۷")</f>
        <v>۶۵۷</v>
      </c>
      <c r="B897">
        <v>220</v>
      </c>
      <c r="C897" t="s">
        <v>31</v>
      </c>
      <c r="D897" t="s">
        <v>12</v>
      </c>
      <c r="E897" t="s">
        <v>19</v>
      </c>
      <c r="F897" t="s">
        <v>176</v>
      </c>
      <c r="G897" t="s">
        <v>2529</v>
      </c>
      <c r="H897" t="s">
        <v>2607</v>
      </c>
      <c r="I897">
        <v>3.8</v>
      </c>
      <c r="J897">
        <v>132</v>
      </c>
      <c r="K897" t="s">
        <v>2608</v>
      </c>
    </row>
    <row r="898" spans="1:11" x14ac:dyDescent="0.2">
      <c r="A898" t="str">
        <f>HYPERLINK("https://www.tiwall.com//p/amirarsalan","امیر ارسلان ۲۰۲۱")</f>
        <v>امیر ارسلان ۲۰۲۱</v>
      </c>
      <c r="B898">
        <v>40</v>
      </c>
      <c r="C898" t="s">
        <v>995</v>
      </c>
      <c r="D898" t="s">
        <v>45</v>
      </c>
      <c r="E898" t="s">
        <v>26</v>
      </c>
      <c r="F898" t="s">
        <v>2082</v>
      </c>
      <c r="G898" t="s">
        <v>2602</v>
      </c>
      <c r="H898" t="s">
        <v>2602</v>
      </c>
      <c r="I898">
        <v>0</v>
      </c>
      <c r="J898">
        <v>0</v>
      </c>
      <c r="K898" t="s">
        <v>2609</v>
      </c>
    </row>
    <row r="899" spans="1:11" x14ac:dyDescent="0.2">
      <c r="A899" t="str">
        <f>HYPERLINK("https://www.tiwall.com//p/nagofte.zananegi","ناگفته های هشت سال زنانگی")</f>
        <v>ناگفته های هشت سال زنانگی</v>
      </c>
      <c r="B899">
        <v>100</v>
      </c>
      <c r="C899" t="s">
        <v>31</v>
      </c>
      <c r="D899" t="s">
        <v>87</v>
      </c>
      <c r="E899" t="s">
        <v>26</v>
      </c>
      <c r="F899" t="s">
        <v>1437</v>
      </c>
      <c r="G899" t="s">
        <v>2610</v>
      </c>
      <c r="H899" t="s">
        <v>2611</v>
      </c>
      <c r="I899">
        <v>4.3</v>
      </c>
      <c r="J899">
        <v>21</v>
      </c>
      <c r="K899" t="s">
        <v>2612</v>
      </c>
    </row>
    <row r="900" spans="1:11" x14ac:dyDescent="0.2">
      <c r="A900" t="str">
        <f>HYPERLINK("https://www.tiwall.com//p/poet2","شاعر")</f>
        <v>شاعر</v>
      </c>
      <c r="B900">
        <v>35</v>
      </c>
      <c r="C900" t="s">
        <v>64</v>
      </c>
      <c r="D900" t="s">
        <v>32</v>
      </c>
      <c r="E900" t="s">
        <v>235</v>
      </c>
      <c r="F900" t="s">
        <v>725</v>
      </c>
      <c r="G900" t="s">
        <v>219</v>
      </c>
      <c r="H900" t="s">
        <v>2613</v>
      </c>
      <c r="I900">
        <v>3.9</v>
      </c>
      <c r="J900">
        <v>16</v>
      </c>
      <c r="K900" t="s">
        <v>2614</v>
      </c>
    </row>
    <row r="901" spans="1:11" x14ac:dyDescent="0.2">
      <c r="A901" t="str">
        <f>HYPERLINK("https://www.tiwall.com//p/hotel.ritaj","هتل ریتاج")</f>
        <v>هتل ریتاج</v>
      </c>
      <c r="B901">
        <v>25</v>
      </c>
      <c r="C901" t="s">
        <v>362</v>
      </c>
      <c r="D901" t="s">
        <v>12</v>
      </c>
      <c r="E901" t="s">
        <v>175</v>
      </c>
      <c r="F901" t="s">
        <v>2615</v>
      </c>
      <c r="G901" t="s">
        <v>1605</v>
      </c>
      <c r="H901" t="s">
        <v>1605</v>
      </c>
      <c r="I901">
        <v>4.8</v>
      </c>
      <c r="J901">
        <v>20</v>
      </c>
      <c r="K901" t="s">
        <v>2616</v>
      </c>
    </row>
    <row r="902" spans="1:11" x14ac:dyDescent="0.2">
      <c r="A902" t="str">
        <f>HYPERLINK("https://www.tiwall.com//p/efteragh","افتراق")</f>
        <v>افتراق</v>
      </c>
      <c r="B902">
        <v>40</v>
      </c>
      <c r="C902" t="s">
        <v>204</v>
      </c>
      <c r="D902" t="s">
        <v>384</v>
      </c>
      <c r="E902" t="s">
        <v>26</v>
      </c>
      <c r="F902" t="s">
        <v>239</v>
      </c>
      <c r="G902" t="s">
        <v>2617</v>
      </c>
      <c r="H902" t="s">
        <v>2618</v>
      </c>
      <c r="I902">
        <v>0</v>
      </c>
      <c r="J902">
        <v>0</v>
      </c>
      <c r="K902" t="s">
        <v>2619</v>
      </c>
    </row>
    <row r="903" spans="1:11" x14ac:dyDescent="0.2">
      <c r="A903" t="str">
        <f>HYPERLINK("https://www.tiwall.com//p/bikhodi","بیخودی")</f>
        <v>بیخودی</v>
      </c>
      <c r="B903">
        <v>50</v>
      </c>
      <c r="C903" t="s">
        <v>11</v>
      </c>
      <c r="D903" t="s">
        <v>384</v>
      </c>
      <c r="E903" t="s">
        <v>138</v>
      </c>
      <c r="F903" t="s">
        <v>2446</v>
      </c>
      <c r="G903" t="s">
        <v>148</v>
      </c>
      <c r="H903" t="s">
        <v>148</v>
      </c>
      <c r="I903">
        <v>0</v>
      </c>
      <c r="J903">
        <v>0</v>
      </c>
      <c r="K903" t="s">
        <v>2620</v>
      </c>
    </row>
    <row r="904" spans="1:11" x14ac:dyDescent="0.2">
      <c r="A904" t="str">
        <f>HYPERLINK("https://www.tiwall.com//p/jimy.nemisheh","هیچ کس جیمی نمیشه")</f>
        <v>هیچ کس جیمی نمیشه</v>
      </c>
      <c r="B904">
        <v>40</v>
      </c>
      <c r="C904" t="s">
        <v>224</v>
      </c>
      <c r="D904" t="s">
        <v>45</v>
      </c>
      <c r="E904" t="s">
        <v>208</v>
      </c>
      <c r="F904" t="s">
        <v>2621</v>
      </c>
      <c r="G904" t="s">
        <v>1759</v>
      </c>
      <c r="H904" t="s">
        <v>22</v>
      </c>
      <c r="I904">
        <v>0</v>
      </c>
      <c r="J904">
        <v>0</v>
      </c>
      <c r="K904" t="s">
        <v>2622</v>
      </c>
    </row>
    <row r="905" spans="1:11" x14ac:dyDescent="0.2">
      <c r="A905" t="str">
        <f>HYPERLINK("https://www.tiwall.com//p/ofelia3","افلیا")</f>
        <v>افلیا</v>
      </c>
      <c r="B905">
        <v>35</v>
      </c>
      <c r="C905" t="s">
        <v>180</v>
      </c>
      <c r="D905" t="s">
        <v>217</v>
      </c>
      <c r="E905" t="s">
        <v>235</v>
      </c>
      <c r="F905" t="s">
        <v>2623</v>
      </c>
      <c r="G905" t="s">
        <v>1230</v>
      </c>
      <c r="H905" t="s">
        <v>1230</v>
      </c>
      <c r="I905">
        <v>4.2</v>
      </c>
      <c r="J905">
        <v>14</v>
      </c>
      <c r="K905" t="s">
        <v>1740</v>
      </c>
    </row>
    <row r="906" spans="1:11" x14ac:dyDescent="0.2">
      <c r="A906" t="str">
        <f>HYPERLINK("https://www.tiwall.com//p/ichimdeh","ایچیمده بیر آراز آددیملایی")</f>
        <v>ایچیمده بیر آراز آددیملایی</v>
      </c>
      <c r="B906">
        <v>40</v>
      </c>
      <c r="C906" t="s">
        <v>86</v>
      </c>
      <c r="D906" t="s">
        <v>384</v>
      </c>
      <c r="E906" t="s">
        <v>13</v>
      </c>
      <c r="F906" t="s">
        <v>732</v>
      </c>
      <c r="G906" t="s">
        <v>2624</v>
      </c>
      <c r="H906" t="s">
        <v>2625</v>
      </c>
      <c r="I906">
        <v>0</v>
      </c>
      <c r="J906">
        <v>0</v>
      </c>
      <c r="K906" t="s">
        <v>2626</v>
      </c>
    </row>
    <row r="907" spans="1:11" x14ac:dyDescent="0.2">
      <c r="A907" t="str">
        <f>HYPERLINK("https://www.tiwall.com//p/dar.eskele4","در اسکله")</f>
        <v>در اسکله</v>
      </c>
      <c r="B907">
        <v>50</v>
      </c>
      <c r="C907" t="s">
        <v>2627</v>
      </c>
      <c r="D907" t="s">
        <v>25</v>
      </c>
      <c r="E907" t="s">
        <v>13</v>
      </c>
      <c r="F907" t="s">
        <v>188</v>
      </c>
      <c r="G907" t="s">
        <v>2628</v>
      </c>
      <c r="H907" t="s">
        <v>2629</v>
      </c>
      <c r="I907">
        <v>0</v>
      </c>
      <c r="J907">
        <v>0</v>
      </c>
      <c r="K907" t="s">
        <v>2630</v>
      </c>
    </row>
    <row r="908" spans="1:11" x14ac:dyDescent="0.2">
      <c r="A908" t="str">
        <f>HYPERLINK("https://www.tiwall.com//p/the.favourite4","سوگلی")</f>
        <v>سوگلی</v>
      </c>
      <c r="B908">
        <v>35</v>
      </c>
      <c r="C908" t="s">
        <v>204</v>
      </c>
      <c r="D908" t="s">
        <v>2631</v>
      </c>
      <c r="E908" t="s">
        <v>26</v>
      </c>
      <c r="F908" t="s">
        <v>694</v>
      </c>
      <c r="G908" t="s">
        <v>2632</v>
      </c>
      <c r="H908" t="s">
        <v>2633</v>
      </c>
      <c r="I908">
        <v>3.1</v>
      </c>
      <c r="J908">
        <v>7</v>
      </c>
      <c r="K908" t="s">
        <v>2634</v>
      </c>
    </row>
    <row r="909" spans="1:11" x14ac:dyDescent="0.2">
      <c r="A909" t="str">
        <f>HYPERLINK("https://www.tiwall.com//p/saintpierre","یک ساعت در سن پیِر")</f>
        <v>یک ساعت در سن پیِر</v>
      </c>
      <c r="B909">
        <v>40</v>
      </c>
      <c r="C909" t="s">
        <v>103</v>
      </c>
      <c r="D909" t="s">
        <v>38</v>
      </c>
      <c r="E909" t="s">
        <v>13</v>
      </c>
      <c r="F909" t="s">
        <v>2635</v>
      </c>
      <c r="G909" t="s">
        <v>2636</v>
      </c>
      <c r="H909" t="s">
        <v>2637</v>
      </c>
      <c r="I909">
        <v>2.6</v>
      </c>
      <c r="J909">
        <v>5</v>
      </c>
      <c r="K909" t="s">
        <v>2638</v>
      </c>
    </row>
    <row r="910" spans="1:11" x14ac:dyDescent="0.2">
      <c r="A910" t="str">
        <f>HYPERLINK("https://www.tiwall.com//p/tabagheyehkoor","طبقه کور")</f>
        <v>طبقه کور</v>
      </c>
      <c r="B910">
        <v>85</v>
      </c>
      <c r="C910" t="s">
        <v>170</v>
      </c>
      <c r="D910" t="s">
        <v>285</v>
      </c>
      <c r="E910" t="s">
        <v>138</v>
      </c>
      <c r="F910" t="s">
        <v>113</v>
      </c>
      <c r="G910" t="s">
        <v>2639</v>
      </c>
      <c r="H910" t="s">
        <v>2639</v>
      </c>
      <c r="I910">
        <v>4</v>
      </c>
      <c r="J910">
        <v>13</v>
      </c>
      <c r="K910" t="s">
        <v>2640</v>
      </c>
    </row>
    <row r="911" spans="1:11" x14ac:dyDescent="0.2">
      <c r="A911" t="str">
        <f>HYPERLINK("https://www.tiwall.com//p/hipnotizm2","هیپنوتیزم")</f>
        <v>هیپنوتیزم</v>
      </c>
      <c r="B911">
        <v>40</v>
      </c>
      <c r="C911" t="s">
        <v>224</v>
      </c>
      <c r="D911" t="s">
        <v>45</v>
      </c>
      <c r="E911" t="s">
        <v>303</v>
      </c>
      <c r="F911" t="s">
        <v>2641</v>
      </c>
      <c r="G911" t="s">
        <v>2642</v>
      </c>
      <c r="H911" t="s">
        <v>2642</v>
      </c>
      <c r="I911">
        <v>0</v>
      </c>
      <c r="J911">
        <v>0</v>
      </c>
      <c r="K911" t="s">
        <v>2643</v>
      </c>
    </row>
    <row r="912" spans="1:11" x14ac:dyDescent="0.2">
      <c r="A912" t="str">
        <f>HYPERLINK("https://www.tiwall.com//p/gerehgah","گره گاه")</f>
        <v>گره گاه</v>
      </c>
      <c r="B912">
        <v>70</v>
      </c>
      <c r="C912" t="s">
        <v>224</v>
      </c>
      <c r="D912" t="s">
        <v>65</v>
      </c>
      <c r="E912" t="s">
        <v>13</v>
      </c>
      <c r="F912" t="s">
        <v>226</v>
      </c>
      <c r="G912" t="s">
        <v>2644</v>
      </c>
      <c r="H912" t="s">
        <v>1332</v>
      </c>
      <c r="I912">
        <v>3.4</v>
      </c>
      <c r="J912">
        <v>5</v>
      </c>
      <c r="K912" t="s">
        <v>2645</v>
      </c>
    </row>
    <row r="913" spans="1:11" x14ac:dyDescent="0.2">
      <c r="A913" t="str">
        <f>HYPERLINK("https://www.tiwall.com//p/margemashkouk2","مرگ مشکوک")</f>
        <v>مرگ مشکوک</v>
      </c>
      <c r="B913">
        <v>40</v>
      </c>
      <c r="C913" t="s">
        <v>224</v>
      </c>
      <c r="D913" t="s">
        <v>12</v>
      </c>
      <c r="E913" t="s">
        <v>71</v>
      </c>
      <c r="F913" t="s">
        <v>2646</v>
      </c>
      <c r="G913" t="s">
        <v>1917</v>
      </c>
      <c r="H913" t="s">
        <v>886</v>
      </c>
      <c r="I913">
        <v>0</v>
      </c>
      <c r="J913">
        <v>0</v>
      </c>
      <c r="K913" t="s">
        <v>2647</v>
      </c>
    </row>
    <row r="914" spans="1:11" x14ac:dyDescent="0.2">
      <c r="A914" t="str">
        <f>HYPERLINK("https://www.tiwall.com//p/oplus","+O")</f>
        <v>+O</v>
      </c>
      <c r="B914">
        <v>80</v>
      </c>
      <c r="C914" t="s">
        <v>1697</v>
      </c>
      <c r="D914" t="s">
        <v>217</v>
      </c>
      <c r="E914" t="s">
        <v>13</v>
      </c>
      <c r="F914" t="s">
        <v>1702</v>
      </c>
      <c r="G914" t="s">
        <v>2648</v>
      </c>
      <c r="H914" t="s">
        <v>2648</v>
      </c>
      <c r="I914">
        <v>0</v>
      </c>
      <c r="J914">
        <v>0</v>
      </c>
      <c r="K914" t="s">
        <v>2649</v>
      </c>
    </row>
    <row r="915" spans="1:11" x14ac:dyDescent="0.2">
      <c r="A915" t="str">
        <f>HYPERLINK("https://www.tiwall.com//p/tavahosh","توحش")</f>
        <v>توحش</v>
      </c>
      <c r="B915">
        <v>40</v>
      </c>
      <c r="C915" t="s">
        <v>64</v>
      </c>
      <c r="D915" t="s">
        <v>12</v>
      </c>
      <c r="E915" t="s">
        <v>13</v>
      </c>
      <c r="F915" t="s">
        <v>2650</v>
      </c>
      <c r="G915" t="s">
        <v>2651</v>
      </c>
      <c r="H915" t="s">
        <v>2652</v>
      </c>
      <c r="I915">
        <v>0</v>
      </c>
      <c r="J915">
        <v>0</v>
      </c>
      <c r="K915" t="s">
        <v>2653</v>
      </c>
    </row>
    <row r="916" spans="1:11" x14ac:dyDescent="0.2">
      <c r="A916" t="str">
        <f>HYPERLINK("https://www.tiwall.com//p/ashesorkheposhtepa","آش سرخ پشت پا")</f>
        <v>آش سرخ پشت پا</v>
      </c>
      <c r="B916">
        <v>20</v>
      </c>
      <c r="C916" t="s">
        <v>242</v>
      </c>
      <c r="D916" t="s">
        <v>32</v>
      </c>
      <c r="E916" t="s">
        <v>46</v>
      </c>
      <c r="F916" t="s">
        <v>2654</v>
      </c>
      <c r="G916" t="s">
        <v>2655</v>
      </c>
      <c r="H916" t="s">
        <v>1621</v>
      </c>
      <c r="I916">
        <v>0</v>
      </c>
      <c r="J916">
        <v>0</v>
      </c>
      <c r="K916" t="s">
        <v>2656</v>
      </c>
    </row>
    <row r="917" spans="1:11" x14ac:dyDescent="0.2">
      <c r="A917" t="str">
        <f>HYPERLINK("https://www.tiwall.com//p/malencholia","مالنخولیا")</f>
        <v>مالنخولیا</v>
      </c>
      <c r="B917">
        <v>50</v>
      </c>
      <c r="C917" t="s">
        <v>1733</v>
      </c>
      <c r="D917" t="s">
        <v>12</v>
      </c>
      <c r="E917" t="s">
        <v>19</v>
      </c>
      <c r="F917" t="s">
        <v>27</v>
      </c>
      <c r="G917" t="s">
        <v>2657</v>
      </c>
      <c r="H917" t="s">
        <v>634</v>
      </c>
      <c r="I917">
        <v>0</v>
      </c>
      <c r="J917">
        <v>0</v>
      </c>
      <c r="K917" t="s">
        <v>2658</v>
      </c>
    </row>
    <row r="918" spans="1:11" x14ac:dyDescent="0.2">
      <c r="A918" t="str">
        <f>HYPERLINK("https://www.tiwall.com//p/brush","«عنوان موقت: براش»")</f>
        <v>«عنوان موقت: براش»</v>
      </c>
      <c r="B918">
        <v>100</v>
      </c>
      <c r="C918" t="s">
        <v>31</v>
      </c>
      <c r="D918" t="s">
        <v>65</v>
      </c>
      <c r="E918" t="s">
        <v>13</v>
      </c>
      <c r="F918" t="s">
        <v>2659</v>
      </c>
      <c r="G918" t="s">
        <v>2660</v>
      </c>
      <c r="H918" t="s">
        <v>2661</v>
      </c>
      <c r="I918">
        <v>3.5</v>
      </c>
      <c r="J918">
        <v>69</v>
      </c>
      <c r="K918" t="s">
        <v>2662</v>
      </c>
    </row>
    <row r="919" spans="1:11" x14ac:dyDescent="0.2">
      <c r="A919" t="str">
        <f>HYPERLINK("https://www.tiwall.com//p/shenasname","شناسنامه پدربزرگ")</f>
        <v>شناسنامه پدربزرگ</v>
      </c>
      <c r="B919">
        <v>30</v>
      </c>
      <c r="C919" t="s">
        <v>2663</v>
      </c>
      <c r="D919" t="s">
        <v>217</v>
      </c>
      <c r="E919" t="s">
        <v>46</v>
      </c>
      <c r="F919" t="s">
        <v>548</v>
      </c>
      <c r="G919" t="s">
        <v>2664</v>
      </c>
      <c r="H919" t="s">
        <v>2665</v>
      </c>
      <c r="I919">
        <v>0</v>
      </c>
      <c r="J919">
        <v>0</v>
      </c>
      <c r="K919" t="s">
        <v>2666</v>
      </c>
    </row>
    <row r="920" spans="1:11" x14ac:dyDescent="0.2">
      <c r="A920" t="str">
        <f>HYPERLINK("https://www.tiwall.com//p/shamdaniha3","شمعدانی ها")</f>
        <v>شمعدانی ها</v>
      </c>
      <c r="B920">
        <v>80</v>
      </c>
      <c r="C920" t="s">
        <v>145</v>
      </c>
      <c r="D920" t="s">
        <v>45</v>
      </c>
      <c r="E920" t="s">
        <v>13</v>
      </c>
      <c r="F920" t="s">
        <v>555</v>
      </c>
      <c r="G920" t="s">
        <v>1079</v>
      </c>
      <c r="H920" t="s">
        <v>2246</v>
      </c>
      <c r="I920">
        <v>3.1</v>
      </c>
      <c r="J920">
        <v>8</v>
      </c>
      <c r="K920" t="s">
        <v>2667</v>
      </c>
    </row>
    <row r="921" spans="1:11" x14ac:dyDescent="0.2">
      <c r="A921" t="str">
        <f>HYPERLINK("https://www.tiwall.com//p/nesvanvatankhah2","مجلس شبیه خوانی نسوان")</f>
        <v>مجلس شبیه خوانی نسوان</v>
      </c>
      <c r="B921">
        <v>50</v>
      </c>
      <c r="C921" t="s">
        <v>180</v>
      </c>
      <c r="D921" t="s">
        <v>65</v>
      </c>
      <c r="E921" t="s">
        <v>13</v>
      </c>
      <c r="F921" t="s">
        <v>424</v>
      </c>
      <c r="G921" t="s">
        <v>1178</v>
      </c>
      <c r="H921" t="s">
        <v>1179</v>
      </c>
      <c r="I921">
        <v>4.0999999999999996</v>
      </c>
      <c r="J921">
        <v>33</v>
      </c>
      <c r="K921" t="s">
        <v>2668</v>
      </c>
    </row>
    <row r="922" spans="1:11" x14ac:dyDescent="0.2">
      <c r="A922" t="str">
        <f>HYPERLINK("https://www.tiwall.com//p/rishedarbaad","ریشه در باد")</f>
        <v>ریشه در باد</v>
      </c>
      <c r="B922">
        <v>60</v>
      </c>
      <c r="C922" t="s">
        <v>132</v>
      </c>
      <c r="D922" t="s">
        <v>12</v>
      </c>
      <c r="E922" t="s">
        <v>46</v>
      </c>
      <c r="F922" t="s">
        <v>2669</v>
      </c>
      <c r="G922" t="s">
        <v>2670</v>
      </c>
      <c r="H922" t="s">
        <v>2670</v>
      </c>
      <c r="I922">
        <v>0</v>
      </c>
      <c r="J922">
        <v>0</v>
      </c>
      <c r="K922" t="s">
        <v>2671</v>
      </c>
    </row>
    <row r="923" spans="1:11" x14ac:dyDescent="0.2">
      <c r="A923" t="str">
        <f>HYPERLINK("https://www.tiwall.com//p/ghareh.haftom","قاره هفتم")</f>
        <v>قاره هفتم</v>
      </c>
      <c r="B923">
        <v>77</v>
      </c>
      <c r="C923" t="s">
        <v>928</v>
      </c>
      <c r="D923" t="s">
        <v>12</v>
      </c>
      <c r="E923" t="s">
        <v>13</v>
      </c>
      <c r="F923" t="s">
        <v>2311</v>
      </c>
      <c r="G923" t="s">
        <v>2023</v>
      </c>
      <c r="H923" t="s">
        <v>2024</v>
      </c>
      <c r="I923">
        <v>0</v>
      </c>
      <c r="J923">
        <v>0</v>
      </c>
      <c r="K923" t="s">
        <v>2672</v>
      </c>
    </row>
    <row r="924" spans="1:11" x14ac:dyDescent="0.2">
      <c r="A924" t="str">
        <f>HYPERLINK("https://www.tiwall.com//p/cheshm.tileie","چشم‌های تیله‌ای")</f>
        <v>چشم‌های تیله‌ای</v>
      </c>
      <c r="B924">
        <v>80</v>
      </c>
      <c r="C924" t="s">
        <v>24</v>
      </c>
      <c r="D924" t="s">
        <v>87</v>
      </c>
      <c r="E924" t="s">
        <v>235</v>
      </c>
      <c r="F924" t="s">
        <v>778</v>
      </c>
      <c r="G924" t="s">
        <v>2673</v>
      </c>
      <c r="H924" t="s">
        <v>2673</v>
      </c>
      <c r="I924">
        <v>3.7</v>
      </c>
      <c r="J924">
        <v>6</v>
      </c>
      <c r="K924" t="s">
        <v>2674</v>
      </c>
    </row>
    <row r="925" spans="1:11" x14ac:dyDescent="0.2">
      <c r="A925" t="str">
        <f>HYPERLINK("https://www.tiwall.com//p/rumors6","شایعات")</f>
        <v>شایعات</v>
      </c>
      <c r="B925">
        <v>65</v>
      </c>
      <c r="C925" t="s">
        <v>11</v>
      </c>
      <c r="D925" t="s">
        <v>799</v>
      </c>
      <c r="E925" t="s">
        <v>303</v>
      </c>
      <c r="F925" t="s">
        <v>2264</v>
      </c>
      <c r="G925" t="s">
        <v>898</v>
      </c>
      <c r="H925" t="s">
        <v>183</v>
      </c>
      <c r="I925">
        <v>3.1</v>
      </c>
      <c r="J925">
        <v>13</v>
      </c>
      <c r="K925" t="s">
        <v>2675</v>
      </c>
    </row>
    <row r="926" spans="1:11" x14ac:dyDescent="0.2">
      <c r="A926" t="str">
        <f>HYPERLINK("https://www.tiwall.com//p/nooreh.mahtab","نور مهتاب")</f>
        <v>نور مهتاب</v>
      </c>
      <c r="B926">
        <v>35</v>
      </c>
      <c r="C926" t="s">
        <v>995</v>
      </c>
      <c r="D926" t="s">
        <v>12</v>
      </c>
      <c r="E926" t="s">
        <v>71</v>
      </c>
      <c r="F926" t="s">
        <v>2676</v>
      </c>
      <c r="G926" t="s">
        <v>2677</v>
      </c>
      <c r="H926" t="s">
        <v>2677</v>
      </c>
      <c r="I926">
        <v>0</v>
      </c>
      <c r="J926">
        <v>0</v>
      </c>
      <c r="K926" t="s">
        <v>2678</v>
      </c>
    </row>
    <row r="927" spans="1:11" x14ac:dyDescent="0.2">
      <c r="A927" t="str">
        <f>HYPERLINK("https://www.tiwall.com//p/ghand.khoon3","قند خون")</f>
        <v>قند خون</v>
      </c>
      <c r="B927">
        <v>70</v>
      </c>
      <c r="C927" t="s">
        <v>137</v>
      </c>
      <c r="D927" t="s">
        <v>217</v>
      </c>
      <c r="E927" t="s">
        <v>138</v>
      </c>
      <c r="F927" t="s">
        <v>555</v>
      </c>
      <c r="G927" t="s">
        <v>2679</v>
      </c>
      <c r="H927" t="s">
        <v>773</v>
      </c>
      <c r="I927">
        <v>4.2</v>
      </c>
      <c r="J927">
        <v>5</v>
      </c>
      <c r="K927" t="s">
        <v>2680</v>
      </c>
    </row>
    <row r="928" spans="1:11" x14ac:dyDescent="0.2">
      <c r="A928" t="str">
        <f>HYPERLINK("https://www.tiwall.com//p/pariafsaneh3","افسانه پری دریایی")</f>
        <v>افسانه پری دریایی</v>
      </c>
      <c r="B928">
        <v>10</v>
      </c>
      <c r="C928" t="s">
        <v>1687</v>
      </c>
      <c r="D928" t="s">
        <v>217</v>
      </c>
      <c r="E928" t="s">
        <v>13</v>
      </c>
      <c r="F928" t="s">
        <v>1583</v>
      </c>
      <c r="G928" t="s">
        <v>2681</v>
      </c>
      <c r="H928" t="s">
        <v>2681</v>
      </c>
      <c r="I928">
        <v>0</v>
      </c>
      <c r="J928">
        <v>0</v>
      </c>
      <c r="K928" t="s">
        <v>2682</v>
      </c>
    </row>
    <row r="929" spans="1:11" x14ac:dyDescent="0.2">
      <c r="A929" t="str">
        <f>HYPERLINK("https://www.tiwall.com//p/taghsimbarsefr2","تقسیم بر صفر")</f>
        <v>تقسیم بر صفر</v>
      </c>
      <c r="B929">
        <v>120</v>
      </c>
      <c r="C929" t="s">
        <v>873</v>
      </c>
      <c r="D929" t="s">
        <v>280</v>
      </c>
      <c r="E929" t="s">
        <v>71</v>
      </c>
      <c r="F929" t="s">
        <v>2076</v>
      </c>
      <c r="G929" t="s">
        <v>2683</v>
      </c>
      <c r="H929" t="s">
        <v>2684</v>
      </c>
      <c r="I929">
        <v>0</v>
      </c>
      <c r="J929">
        <v>0</v>
      </c>
      <c r="K929" t="s">
        <v>2685</v>
      </c>
    </row>
    <row r="930" spans="1:11" x14ac:dyDescent="0.2">
      <c r="A930" t="str">
        <f>HYPERLINK("https://www.tiwall.com//p/inja","اینجا")</f>
        <v>اینجا</v>
      </c>
      <c r="B930">
        <v>40</v>
      </c>
      <c r="C930" t="s">
        <v>845</v>
      </c>
      <c r="D930" t="s">
        <v>38</v>
      </c>
      <c r="E930" t="s">
        <v>235</v>
      </c>
      <c r="F930" t="s">
        <v>345</v>
      </c>
      <c r="G930" t="s">
        <v>2686</v>
      </c>
      <c r="H930" t="s">
        <v>2687</v>
      </c>
      <c r="I930">
        <v>0</v>
      </c>
      <c r="J930">
        <v>0</v>
      </c>
      <c r="K930" t="s">
        <v>2688</v>
      </c>
    </row>
    <row r="931" spans="1:11" x14ac:dyDescent="0.2">
      <c r="A931" t="str">
        <f>HYPERLINK("https://www.tiwall.com//p/doostankomodi4","دوستان کُمُدی")</f>
        <v>دوستان کُمُدی</v>
      </c>
      <c r="B931">
        <v>30</v>
      </c>
      <c r="C931" t="s">
        <v>918</v>
      </c>
      <c r="D931" t="s">
        <v>12</v>
      </c>
      <c r="E931" t="s">
        <v>138</v>
      </c>
      <c r="F931" t="s">
        <v>2689</v>
      </c>
      <c r="G931" t="s">
        <v>2323</v>
      </c>
      <c r="H931" t="s">
        <v>2690</v>
      </c>
      <c r="I931">
        <v>0</v>
      </c>
      <c r="J931">
        <v>0</v>
      </c>
      <c r="K931" t="s">
        <v>2691</v>
      </c>
    </row>
    <row r="932" spans="1:11" x14ac:dyDescent="0.2">
      <c r="A932" t="str">
        <f>HYPERLINK("https://www.tiwall.com//p/gousht2","گوشت")</f>
        <v>گوشت</v>
      </c>
      <c r="B932">
        <v>50</v>
      </c>
      <c r="C932" t="s">
        <v>44</v>
      </c>
      <c r="D932" t="s">
        <v>25</v>
      </c>
      <c r="E932" t="s">
        <v>46</v>
      </c>
      <c r="F932" t="s">
        <v>2692</v>
      </c>
      <c r="G932" t="s">
        <v>67</v>
      </c>
      <c r="H932" t="s">
        <v>2693</v>
      </c>
      <c r="I932">
        <v>0</v>
      </c>
      <c r="J932">
        <v>0</v>
      </c>
      <c r="K932" t="s">
        <v>67</v>
      </c>
    </row>
    <row r="933" spans="1:11" x14ac:dyDescent="0.2">
      <c r="A933" t="str">
        <f>HYPERLINK("https://www.tiwall.com//p/baes","باعث")</f>
        <v>باعث</v>
      </c>
      <c r="B933">
        <v>30</v>
      </c>
      <c r="C933" t="s">
        <v>383</v>
      </c>
      <c r="D933" t="s">
        <v>1871</v>
      </c>
      <c r="E933" t="s">
        <v>984</v>
      </c>
      <c r="F933" t="s">
        <v>2694</v>
      </c>
      <c r="G933" t="s">
        <v>1285</v>
      </c>
      <c r="H933" t="s">
        <v>2695</v>
      </c>
      <c r="I933">
        <v>3.6</v>
      </c>
      <c r="J933">
        <v>7</v>
      </c>
      <c r="K933" t="s">
        <v>2696</v>
      </c>
    </row>
    <row r="934" spans="1:11" x14ac:dyDescent="0.2">
      <c r="A934" t="str">
        <f>HYPERLINK("https://www.tiwall.com//p/aghakamal","خانواده‌ی آقا کمال")</f>
        <v>خانواده‌ی آقا کمال</v>
      </c>
      <c r="B934">
        <v>50</v>
      </c>
      <c r="C934" t="s">
        <v>199</v>
      </c>
      <c r="D934" t="s">
        <v>25</v>
      </c>
      <c r="E934" t="s">
        <v>39</v>
      </c>
      <c r="F934" t="s">
        <v>480</v>
      </c>
      <c r="G934" t="s">
        <v>2697</v>
      </c>
      <c r="H934" t="s">
        <v>2697</v>
      </c>
      <c r="I934">
        <v>0</v>
      </c>
      <c r="J934">
        <v>0</v>
      </c>
      <c r="K934" t="s">
        <v>2698</v>
      </c>
    </row>
    <row r="935" spans="1:11" x14ac:dyDescent="0.2">
      <c r="A935" t="str">
        <f>HYPERLINK("https://www.tiwall.com//p/serevayat.yekzan","سه روایت از یک زن")</f>
        <v>سه روایت از یک زن</v>
      </c>
      <c r="B935">
        <v>100</v>
      </c>
      <c r="C935" t="s">
        <v>1058</v>
      </c>
      <c r="D935" t="s">
        <v>25</v>
      </c>
      <c r="E935" t="s">
        <v>71</v>
      </c>
      <c r="F935" t="s">
        <v>373</v>
      </c>
      <c r="G935" t="s">
        <v>2269</v>
      </c>
      <c r="H935" t="s">
        <v>2269</v>
      </c>
      <c r="I935">
        <v>4.2</v>
      </c>
      <c r="J935">
        <v>5</v>
      </c>
      <c r="K935" t="s">
        <v>2699</v>
      </c>
    </row>
    <row r="936" spans="1:11" x14ac:dyDescent="0.2">
      <c r="A936" t="str">
        <f>HYPERLINK("https://www.tiwall.com//p/narenjaki2","نارنجکی")</f>
        <v>نارنجکی</v>
      </c>
      <c r="B936">
        <v>40</v>
      </c>
      <c r="C936" t="s">
        <v>383</v>
      </c>
      <c r="D936" t="s">
        <v>32</v>
      </c>
      <c r="E936" t="s">
        <v>46</v>
      </c>
      <c r="F936" t="s">
        <v>350</v>
      </c>
      <c r="G936" t="s">
        <v>2700</v>
      </c>
      <c r="H936" t="s">
        <v>2701</v>
      </c>
      <c r="I936">
        <v>0</v>
      </c>
      <c r="J936">
        <v>0</v>
      </c>
      <c r="K936" t="s">
        <v>2702</v>
      </c>
    </row>
    <row r="937" spans="1:11" x14ac:dyDescent="0.2">
      <c r="A937" t="str">
        <f>HYPERLINK("https://www.tiwall.com//p/shahadat3","شهادت پیوتر اوهه")</f>
        <v>شهادت پیوتر اوهه</v>
      </c>
      <c r="B937">
        <v>80</v>
      </c>
      <c r="C937" t="s">
        <v>262</v>
      </c>
      <c r="D937" t="s">
        <v>217</v>
      </c>
      <c r="E937" t="s">
        <v>26</v>
      </c>
      <c r="F937" t="s">
        <v>623</v>
      </c>
      <c r="G937" t="s">
        <v>945</v>
      </c>
      <c r="H937" t="s">
        <v>2703</v>
      </c>
      <c r="I937">
        <v>2.4</v>
      </c>
      <c r="J937">
        <v>23</v>
      </c>
      <c r="K937" t="s">
        <v>2704</v>
      </c>
    </row>
    <row r="938" spans="1:11" x14ac:dyDescent="0.2">
      <c r="A938" t="str">
        <f>HYPERLINK("https://www.tiwall.com//p/annakarenina3","آناکارنینا")</f>
        <v>آناکارنینا</v>
      </c>
      <c r="B938">
        <v>80</v>
      </c>
      <c r="C938" t="s">
        <v>230</v>
      </c>
      <c r="D938" t="s">
        <v>470</v>
      </c>
      <c r="E938" t="s">
        <v>26</v>
      </c>
      <c r="F938" t="s">
        <v>2705</v>
      </c>
      <c r="G938" t="s">
        <v>652</v>
      </c>
      <c r="H938" t="s">
        <v>652</v>
      </c>
      <c r="I938">
        <v>3.9</v>
      </c>
      <c r="J938">
        <v>110</v>
      </c>
      <c r="K938" t="s">
        <v>2706</v>
      </c>
    </row>
    <row r="939" spans="1:11" x14ac:dyDescent="0.2">
      <c r="A939" t="str">
        <f>HYPERLINK("https://www.tiwall.com//p/diplomat","دیپلمات")</f>
        <v>دیپلمات</v>
      </c>
      <c r="B939">
        <v>70</v>
      </c>
      <c r="C939" t="s">
        <v>60</v>
      </c>
      <c r="D939" t="s">
        <v>45</v>
      </c>
      <c r="E939" t="s">
        <v>88</v>
      </c>
      <c r="F939" t="s">
        <v>243</v>
      </c>
      <c r="G939" t="s">
        <v>2707</v>
      </c>
      <c r="H939" t="s">
        <v>2707</v>
      </c>
      <c r="I939">
        <v>3.4</v>
      </c>
      <c r="J939">
        <v>26</v>
      </c>
      <c r="K939" t="s">
        <v>2708</v>
      </c>
    </row>
    <row r="940" spans="1:11" x14ac:dyDescent="0.2">
      <c r="A940" t="str">
        <f>HYPERLINK("https://www.tiwall.com//p/ghozat","قضات")</f>
        <v>قضات</v>
      </c>
      <c r="B940">
        <v>90</v>
      </c>
      <c r="C940" t="s">
        <v>349</v>
      </c>
      <c r="D940" t="s">
        <v>12</v>
      </c>
      <c r="E940" t="s">
        <v>26</v>
      </c>
      <c r="F940" t="s">
        <v>195</v>
      </c>
      <c r="G940" t="s">
        <v>2365</v>
      </c>
      <c r="H940" t="s">
        <v>2365</v>
      </c>
      <c r="I940">
        <v>3.7</v>
      </c>
      <c r="J940">
        <v>47</v>
      </c>
      <c r="K940" t="s">
        <v>2709</v>
      </c>
    </row>
    <row r="941" spans="1:11" x14ac:dyDescent="0.2">
      <c r="A941" t="str">
        <f>HYPERLINK("https://www.tiwall.com//p/hamedozdha19","همه‌ی دزدها، دزد نیستند")</f>
        <v>همه‌ی دزدها، دزد نیستند</v>
      </c>
      <c r="B941">
        <v>60</v>
      </c>
      <c r="C941" t="s">
        <v>1834</v>
      </c>
      <c r="D941" t="s">
        <v>45</v>
      </c>
      <c r="E941" t="s">
        <v>26</v>
      </c>
      <c r="F941" t="s">
        <v>1867</v>
      </c>
      <c r="G941" t="s">
        <v>2710</v>
      </c>
      <c r="H941" t="s">
        <v>2711</v>
      </c>
      <c r="I941">
        <v>0</v>
      </c>
      <c r="J941">
        <v>0</v>
      </c>
      <c r="K941" t="s">
        <v>2712</v>
      </c>
    </row>
    <row r="942" spans="1:11" x14ac:dyDescent="0.2">
      <c r="A942" t="str">
        <f>HYPERLINK("https://www.tiwall.com//p/hatkehormat","هتک حرمت")</f>
        <v>هتک حرمت</v>
      </c>
      <c r="B942">
        <v>40</v>
      </c>
      <c r="C942" t="s">
        <v>204</v>
      </c>
      <c r="D942" t="s">
        <v>12</v>
      </c>
      <c r="E942" t="s">
        <v>26</v>
      </c>
      <c r="F942" t="s">
        <v>2635</v>
      </c>
      <c r="G942" t="s">
        <v>663</v>
      </c>
      <c r="H942" t="s">
        <v>663</v>
      </c>
      <c r="I942">
        <v>0</v>
      </c>
      <c r="J942">
        <v>0</v>
      </c>
      <c r="K942" t="s">
        <v>2713</v>
      </c>
    </row>
    <row r="943" spans="1:11" x14ac:dyDescent="0.2">
      <c r="A943" t="str">
        <f>HYPERLINK("https://www.tiwall.com//p/dandankhab","دندان خواب سفر مرگ")</f>
        <v>دندان خواب سفر مرگ</v>
      </c>
      <c r="B943">
        <v>80</v>
      </c>
      <c r="C943" t="s">
        <v>1215</v>
      </c>
      <c r="D943" t="s">
        <v>65</v>
      </c>
      <c r="E943" t="s">
        <v>138</v>
      </c>
      <c r="F943" t="s">
        <v>270</v>
      </c>
      <c r="G943" t="s">
        <v>2714</v>
      </c>
      <c r="H943" t="s">
        <v>2715</v>
      </c>
      <c r="I943">
        <v>4.4000000000000004</v>
      </c>
      <c r="J943">
        <v>9</v>
      </c>
      <c r="K943" t="s">
        <v>2716</v>
      </c>
    </row>
    <row r="944" spans="1:11" x14ac:dyDescent="0.2">
      <c r="A944" t="str">
        <f>HYPERLINK("https://www.tiwall.com//p/a.devistoyazdah","اتاق A۲۱۱")</f>
        <v>اتاق A۲۱۱</v>
      </c>
      <c r="B944">
        <v>60</v>
      </c>
      <c r="C944" t="s">
        <v>129</v>
      </c>
      <c r="D944" t="s">
        <v>12</v>
      </c>
      <c r="E944" t="s">
        <v>475</v>
      </c>
      <c r="F944" t="s">
        <v>2717</v>
      </c>
      <c r="G944" t="s">
        <v>1806</v>
      </c>
      <c r="H944" t="s">
        <v>2718</v>
      </c>
      <c r="I944">
        <v>0</v>
      </c>
      <c r="J944">
        <v>0</v>
      </c>
      <c r="K944" t="s">
        <v>2719</v>
      </c>
    </row>
    <row r="945" spans="1:11" x14ac:dyDescent="0.2">
      <c r="A945" t="str">
        <f>HYPERLINK("https://www.tiwall.com//p/galilei2","گالیله")</f>
        <v>گالیله</v>
      </c>
      <c r="B945">
        <v>50</v>
      </c>
      <c r="C945" t="s">
        <v>854</v>
      </c>
      <c r="D945" t="s">
        <v>25</v>
      </c>
      <c r="E945" t="s">
        <v>303</v>
      </c>
      <c r="F945" t="s">
        <v>226</v>
      </c>
      <c r="G945" t="s">
        <v>2720</v>
      </c>
      <c r="H945" t="s">
        <v>2720</v>
      </c>
      <c r="I945">
        <v>0</v>
      </c>
      <c r="J945">
        <v>0</v>
      </c>
      <c r="K945" t="s">
        <v>2721</v>
      </c>
    </row>
    <row r="946" spans="1:11" x14ac:dyDescent="0.2">
      <c r="A946" t="str">
        <f>HYPERLINK("https://www.tiwall.com//p/khastegari18","خواستگاری مدرن ۲")</f>
        <v>خواستگاری مدرن ۲</v>
      </c>
      <c r="B946">
        <v>20</v>
      </c>
      <c r="C946" t="s">
        <v>2042</v>
      </c>
      <c r="D946" t="s">
        <v>146</v>
      </c>
      <c r="E946" t="s">
        <v>71</v>
      </c>
      <c r="F946" t="s">
        <v>2722</v>
      </c>
      <c r="G946" t="s">
        <v>2723</v>
      </c>
      <c r="H946" t="s">
        <v>2723</v>
      </c>
      <c r="I946">
        <v>0</v>
      </c>
      <c r="J946">
        <v>0</v>
      </c>
      <c r="K946" t="s">
        <v>2724</v>
      </c>
    </row>
    <row r="947" spans="1:11" x14ac:dyDescent="0.2">
      <c r="A947" t="str">
        <f>HYPERLINK("https://www.tiwall.com//p/virjiniawolf5","چه کسی از ویرجینیا وولف می‌ترسد؟")</f>
        <v>چه کسی از ویرجینیا وولف می‌ترسد؟</v>
      </c>
      <c r="B947">
        <v>80</v>
      </c>
      <c r="C947" t="s">
        <v>180</v>
      </c>
      <c r="D947" t="s">
        <v>32</v>
      </c>
      <c r="E947" t="s">
        <v>71</v>
      </c>
      <c r="F947" t="s">
        <v>373</v>
      </c>
      <c r="G947" t="s">
        <v>2725</v>
      </c>
      <c r="H947" t="s">
        <v>334</v>
      </c>
      <c r="I947">
        <v>3.6</v>
      </c>
      <c r="J947">
        <v>32</v>
      </c>
      <c r="K947" t="s">
        <v>2726</v>
      </c>
    </row>
    <row r="948" spans="1:11" x14ac:dyDescent="0.2">
      <c r="A948" t="str">
        <f>HYPERLINK("https://www.tiwall.com//p/picnic4","پیک نیک در میدان جنگ")</f>
        <v>پیک نیک در میدان جنگ</v>
      </c>
      <c r="B948">
        <v>45</v>
      </c>
      <c r="C948" t="s">
        <v>51</v>
      </c>
      <c r="D948" t="s">
        <v>12</v>
      </c>
      <c r="E948" t="s">
        <v>46</v>
      </c>
      <c r="F948" t="s">
        <v>668</v>
      </c>
      <c r="G948" t="s">
        <v>2727</v>
      </c>
      <c r="H948" t="s">
        <v>2728</v>
      </c>
      <c r="I948">
        <v>0</v>
      </c>
      <c r="J948">
        <v>0</v>
      </c>
      <c r="K948" t="s">
        <v>2729</v>
      </c>
    </row>
    <row r="949" spans="1:11" x14ac:dyDescent="0.2">
      <c r="A949" t="str">
        <f>HYPERLINK("https://www.tiwall.com//p/ehsas.ahani","احساس آهنی")</f>
        <v>احساس آهنی</v>
      </c>
      <c r="B949">
        <v>50</v>
      </c>
      <c r="C949" t="s">
        <v>2730</v>
      </c>
      <c r="D949" t="s">
        <v>87</v>
      </c>
      <c r="E949" t="s">
        <v>415</v>
      </c>
      <c r="F949" t="s">
        <v>317</v>
      </c>
      <c r="G949" t="s">
        <v>2731</v>
      </c>
      <c r="H949" t="s">
        <v>2732</v>
      </c>
      <c r="I949">
        <v>0</v>
      </c>
      <c r="J949">
        <v>0</v>
      </c>
      <c r="K949" t="s">
        <v>2733</v>
      </c>
    </row>
    <row r="950" spans="1:11" x14ac:dyDescent="0.2">
      <c r="A950" t="str">
        <f>HYPERLINK("https://www.tiwall.com//p/burouj","بروج")</f>
        <v>بروج</v>
      </c>
      <c r="B950">
        <v>50</v>
      </c>
      <c r="C950" t="s">
        <v>24</v>
      </c>
      <c r="D950" t="s">
        <v>280</v>
      </c>
      <c r="E950" t="s">
        <v>13</v>
      </c>
      <c r="F950" t="s">
        <v>2734</v>
      </c>
      <c r="G950" t="s">
        <v>1112</v>
      </c>
      <c r="H950" t="s">
        <v>1113</v>
      </c>
      <c r="I950">
        <v>0</v>
      </c>
      <c r="J950">
        <v>0</v>
      </c>
      <c r="K950" t="s">
        <v>2735</v>
      </c>
    </row>
    <row r="951" spans="1:11" x14ac:dyDescent="0.2">
      <c r="A951" t="str">
        <f>HYPERLINK("https://www.tiwall.com//p/doncamillo6","دن کامیلو")</f>
        <v>دن کامیلو</v>
      </c>
      <c r="B951">
        <v>30</v>
      </c>
      <c r="C951" t="s">
        <v>397</v>
      </c>
      <c r="D951" t="s">
        <v>12</v>
      </c>
      <c r="E951" t="s">
        <v>39</v>
      </c>
      <c r="F951" t="s">
        <v>2722</v>
      </c>
      <c r="G951" t="s">
        <v>2736</v>
      </c>
      <c r="H951" t="s">
        <v>840</v>
      </c>
      <c r="I951">
        <v>0</v>
      </c>
      <c r="J951">
        <v>0</v>
      </c>
      <c r="K951" t="s">
        <v>2737</v>
      </c>
    </row>
    <row r="952" spans="1:11" x14ac:dyDescent="0.2">
      <c r="A952" t="str">
        <f>HYPERLINK("https://www.tiwall.com//p/darhozourebad2","در حضور باد [یک مضحکه‌ی بی‌معنی]")</f>
        <v>در حضور باد [یک مضحکه‌ی بی‌معنی]</v>
      </c>
      <c r="B952">
        <v>40</v>
      </c>
      <c r="C952" t="s">
        <v>204</v>
      </c>
      <c r="D952" t="s">
        <v>146</v>
      </c>
      <c r="E952" t="s">
        <v>138</v>
      </c>
      <c r="F952" t="s">
        <v>1152</v>
      </c>
      <c r="G952" t="s">
        <v>2738</v>
      </c>
      <c r="H952" t="s">
        <v>2230</v>
      </c>
      <c r="I952">
        <v>3.8</v>
      </c>
      <c r="J952">
        <v>5</v>
      </c>
      <c r="K952" t="s">
        <v>2739</v>
      </c>
    </row>
    <row r="953" spans="1:11" x14ac:dyDescent="0.2">
      <c r="A953" t="str">
        <f>HYPERLINK("https://www.tiwall.com//p/hamehchikhoubeh","همه چی خوبه")</f>
        <v>همه چی خوبه</v>
      </c>
      <c r="B953">
        <v>50</v>
      </c>
      <c r="C953" t="s">
        <v>64</v>
      </c>
      <c r="D953" t="s">
        <v>12</v>
      </c>
      <c r="E953" t="s">
        <v>13</v>
      </c>
      <c r="F953" t="s">
        <v>2740</v>
      </c>
      <c r="G953" t="s">
        <v>2741</v>
      </c>
      <c r="H953" t="s">
        <v>2741</v>
      </c>
      <c r="I953">
        <v>0</v>
      </c>
      <c r="J953">
        <v>0</v>
      </c>
      <c r="K953" t="s">
        <v>2742</v>
      </c>
    </row>
    <row r="954" spans="1:11" x14ac:dyDescent="0.2">
      <c r="A954" t="str">
        <f>HYPERLINK("https://www.tiwall.com//p/otolsoron5","اتول سورون طهران الف ۱")</f>
        <v>اتول سورون طهران الف ۱</v>
      </c>
      <c r="B954">
        <v>150</v>
      </c>
      <c r="C954" t="s">
        <v>60</v>
      </c>
      <c r="D954" t="s">
        <v>32</v>
      </c>
      <c r="E954" t="s">
        <v>303</v>
      </c>
      <c r="F954" t="s">
        <v>592</v>
      </c>
      <c r="G954" t="s">
        <v>2035</v>
      </c>
      <c r="H954" t="s">
        <v>428</v>
      </c>
      <c r="I954">
        <v>3.6</v>
      </c>
      <c r="J954">
        <v>11</v>
      </c>
      <c r="K954" t="s">
        <v>2743</v>
      </c>
    </row>
    <row r="955" spans="1:11" x14ac:dyDescent="0.2">
      <c r="A955" t="str">
        <f>HYPERLINK("https://www.tiwall.com//p/khomari2","خماری")</f>
        <v>خماری</v>
      </c>
      <c r="B955">
        <v>60</v>
      </c>
      <c r="C955" t="s">
        <v>151</v>
      </c>
      <c r="D955" t="s">
        <v>38</v>
      </c>
      <c r="E955" t="s">
        <v>71</v>
      </c>
      <c r="F955" t="s">
        <v>2744</v>
      </c>
      <c r="G955" t="s">
        <v>2745</v>
      </c>
      <c r="H955" t="s">
        <v>2745</v>
      </c>
      <c r="I955">
        <v>3.4</v>
      </c>
      <c r="J955">
        <v>69</v>
      </c>
      <c r="K955" t="s">
        <v>2746</v>
      </c>
    </row>
    <row r="956" spans="1:11" x14ac:dyDescent="0.2">
      <c r="A956" t="str">
        <f>HYPERLINK("https://www.tiwall.com//p/taboot2","تابوت")</f>
        <v>تابوت</v>
      </c>
      <c r="B956">
        <v>50</v>
      </c>
      <c r="C956" t="s">
        <v>24</v>
      </c>
      <c r="D956" t="s">
        <v>87</v>
      </c>
      <c r="E956" t="s">
        <v>138</v>
      </c>
      <c r="F956" t="s">
        <v>922</v>
      </c>
      <c r="G956" t="s">
        <v>2747</v>
      </c>
      <c r="H956" t="s">
        <v>2747</v>
      </c>
      <c r="I956">
        <v>0</v>
      </c>
      <c r="J956">
        <v>0</v>
      </c>
      <c r="K956" t="s">
        <v>2748</v>
      </c>
    </row>
    <row r="957" spans="1:11" x14ac:dyDescent="0.2">
      <c r="A957" t="str">
        <f>HYPERLINK("https://www.tiwall.com//p/khabmordegi3","خوابمردگی")</f>
        <v>خوابمردگی</v>
      </c>
      <c r="B957">
        <v>50</v>
      </c>
      <c r="C957" t="s">
        <v>224</v>
      </c>
      <c r="D957" t="s">
        <v>12</v>
      </c>
      <c r="E957" t="s">
        <v>71</v>
      </c>
      <c r="F957" t="s">
        <v>2277</v>
      </c>
      <c r="G957" t="s">
        <v>2749</v>
      </c>
      <c r="H957" t="s">
        <v>2749</v>
      </c>
      <c r="I957">
        <v>3.8</v>
      </c>
      <c r="J957">
        <v>20</v>
      </c>
      <c r="K957" t="s">
        <v>2750</v>
      </c>
    </row>
    <row r="958" spans="1:11" x14ac:dyDescent="0.2">
      <c r="A958" t="str">
        <f>HYPERLINK("https://www.tiwall.com//p/dontkillpeter","پیتر و نکش")</f>
        <v>پیتر و نکش</v>
      </c>
      <c r="B958">
        <v>30</v>
      </c>
      <c r="C958" t="s">
        <v>121</v>
      </c>
      <c r="D958" t="s">
        <v>25</v>
      </c>
      <c r="E958" t="s">
        <v>71</v>
      </c>
      <c r="F958" t="s">
        <v>2751</v>
      </c>
      <c r="G958" t="s">
        <v>2752</v>
      </c>
      <c r="H958" t="s">
        <v>2752</v>
      </c>
      <c r="I958">
        <v>0</v>
      </c>
      <c r="J958">
        <v>0</v>
      </c>
      <c r="K958" t="s">
        <v>2753</v>
      </c>
    </row>
    <row r="959" spans="1:11" x14ac:dyDescent="0.2">
      <c r="A959" t="str">
        <f>HYPERLINK("https://www.tiwall.com//p/rooyemouj","روی موج یکشنبه‌ها")</f>
        <v>روی موج یکشنبه‌ها</v>
      </c>
      <c r="B959">
        <v>70</v>
      </c>
      <c r="C959" t="s">
        <v>180</v>
      </c>
      <c r="D959" t="s">
        <v>25</v>
      </c>
      <c r="E959" t="s">
        <v>26</v>
      </c>
      <c r="F959" t="s">
        <v>350</v>
      </c>
      <c r="G959" t="s">
        <v>2754</v>
      </c>
      <c r="H959" t="s">
        <v>2755</v>
      </c>
      <c r="I959">
        <v>3.9</v>
      </c>
      <c r="J959">
        <v>57</v>
      </c>
      <c r="K959" t="s">
        <v>2756</v>
      </c>
    </row>
    <row r="960" spans="1:11" x14ac:dyDescent="0.2">
      <c r="A960" t="str">
        <f>HYPERLINK("https://www.tiwall.com//p/radikal7","رادیکال هفت ممیز هفت")</f>
        <v>رادیکال هفت ممیز هفت</v>
      </c>
      <c r="B960">
        <v>90</v>
      </c>
      <c r="C960" t="s">
        <v>2757</v>
      </c>
      <c r="D960" t="s">
        <v>12</v>
      </c>
      <c r="E960" t="s">
        <v>26</v>
      </c>
      <c r="F960" t="s">
        <v>688</v>
      </c>
      <c r="G960" t="s">
        <v>2758</v>
      </c>
      <c r="H960" t="s">
        <v>2759</v>
      </c>
      <c r="I960">
        <v>0</v>
      </c>
      <c r="J960">
        <v>0</v>
      </c>
      <c r="K960" t="s">
        <v>2760</v>
      </c>
    </row>
    <row r="961" spans="1:11" x14ac:dyDescent="0.2">
      <c r="A961" t="str">
        <f>HYPERLINK("https://www.tiwall.com//p/ashghaliha","آشغالی ها")</f>
        <v>آشغالی ها</v>
      </c>
      <c r="B961">
        <v>35</v>
      </c>
      <c r="C961" t="s">
        <v>11</v>
      </c>
      <c r="D961" t="s">
        <v>87</v>
      </c>
      <c r="E961" t="s">
        <v>71</v>
      </c>
      <c r="F961" t="s">
        <v>52</v>
      </c>
      <c r="G961" t="s">
        <v>2761</v>
      </c>
      <c r="H961" t="s">
        <v>2761</v>
      </c>
      <c r="I961">
        <v>0</v>
      </c>
      <c r="J961">
        <v>0</v>
      </c>
      <c r="K961" t="s">
        <v>2762</v>
      </c>
    </row>
    <row r="962" spans="1:11" x14ac:dyDescent="0.2">
      <c r="A962" t="str">
        <f>HYPERLINK("https://www.tiwall.com//p/barf.aab","وقتی برف ها آب شد")</f>
        <v>وقتی برف ها آب شد</v>
      </c>
      <c r="B962">
        <v>35</v>
      </c>
      <c r="C962" t="s">
        <v>383</v>
      </c>
      <c r="D962" t="s">
        <v>217</v>
      </c>
      <c r="E962" t="s">
        <v>88</v>
      </c>
      <c r="F962" t="s">
        <v>2763</v>
      </c>
      <c r="G962" t="s">
        <v>2764</v>
      </c>
      <c r="H962" t="s">
        <v>2764</v>
      </c>
      <c r="I962">
        <v>4.4000000000000004</v>
      </c>
      <c r="J962">
        <v>8</v>
      </c>
      <c r="K962" t="s">
        <v>2765</v>
      </c>
    </row>
    <row r="963" spans="1:11" x14ac:dyDescent="0.2">
      <c r="A963" t="str">
        <f>HYPERLINK("https://www.tiwall.com//p/baghevahsh","باقِ‌وَحْشْ")</f>
        <v>باقِ‌وَحْشْ</v>
      </c>
      <c r="B963">
        <v>45</v>
      </c>
      <c r="C963" t="s">
        <v>37</v>
      </c>
      <c r="D963" t="s">
        <v>12</v>
      </c>
      <c r="E963" t="s">
        <v>13</v>
      </c>
      <c r="F963" t="s">
        <v>2766</v>
      </c>
      <c r="G963" t="s">
        <v>2767</v>
      </c>
      <c r="H963" t="s">
        <v>2768</v>
      </c>
      <c r="I963">
        <v>3.1</v>
      </c>
      <c r="J963">
        <v>44</v>
      </c>
      <c r="K963" t="s">
        <v>2769</v>
      </c>
    </row>
    <row r="964" spans="1:11" x14ac:dyDescent="0.2">
      <c r="A964" t="str">
        <f>HYPERLINK("https://www.tiwall.com//p/clown.school","مدرسه دلقک ها")</f>
        <v>مدرسه دلقک ها</v>
      </c>
      <c r="B964">
        <v>120</v>
      </c>
      <c r="C964" t="s">
        <v>18</v>
      </c>
      <c r="D964" t="s">
        <v>470</v>
      </c>
      <c r="E964" t="s">
        <v>208</v>
      </c>
      <c r="F964" t="s">
        <v>2770</v>
      </c>
      <c r="G964" t="s">
        <v>1266</v>
      </c>
      <c r="H964" t="s">
        <v>1266</v>
      </c>
      <c r="I964">
        <v>0</v>
      </c>
      <c r="J964">
        <v>0</v>
      </c>
      <c r="K964" t="s">
        <v>2771</v>
      </c>
    </row>
    <row r="965" spans="1:11" x14ac:dyDescent="0.2">
      <c r="A965" t="str">
        <f>HYPERLINK("https://www.tiwall.com//p/afsounhamzad","افسون همزاد")</f>
        <v>افسون همزاد</v>
      </c>
      <c r="B965">
        <v>60</v>
      </c>
      <c r="C965" t="s">
        <v>81</v>
      </c>
      <c r="D965" t="s">
        <v>65</v>
      </c>
      <c r="E965" t="s">
        <v>13</v>
      </c>
      <c r="F965" t="s">
        <v>27</v>
      </c>
      <c r="G965" t="s">
        <v>2772</v>
      </c>
      <c r="H965" t="s">
        <v>2772</v>
      </c>
      <c r="I965">
        <v>0</v>
      </c>
      <c r="J965">
        <v>0</v>
      </c>
      <c r="K965" t="s">
        <v>2773</v>
      </c>
    </row>
    <row r="966" spans="1:11" x14ac:dyDescent="0.2">
      <c r="A966" t="str">
        <f>HYPERLINK("https://www.tiwall.com//p/alef.mim","عمق یک عشق (الف میم)")</f>
        <v>عمق یک عشق (الف میم)</v>
      </c>
      <c r="B966">
        <v>50</v>
      </c>
      <c r="C966" t="s">
        <v>76</v>
      </c>
      <c r="D966" t="s">
        <v>559</v>
      </c>
      <c r="E966" t="s">
        <v>138</v>
      </c>
      <c r="F966" t="s">
        <v>2774</v>
      </c>
      <c r="G966" t="s">
        <v>2775</v>
      </c>
      <c r="H966" t="s">
        <v>2775</v>
      </c>
      <c r="I966">
        <v>0</v>
      </c>
      <c r="J966">
        <v>0</v>
      </c>
      <c r="K966" t="s">
        <v>2776</v>
      </c>
    </row>
    <row r="967" spans="1:11" x14ac:dyDescent="0.2">
      <c r="A967" t="str">
        <f>HYPERLINK("https://www.tiwall.com//p/taxidermy","تاکسیدرمی TAXIDERMY")</f>
        <v>تاکسیدرمی TAXIDERMY</v>
      </c>
      <c r="B967">
        <v>40</v>
      </c>
      <c r="C967" t="s">
        <v>369</v>
      </c>
      <c r="D967" t="s">
        <v>87</v>
      </c>
      <c r="E967" t="s">
        <v>303</v>
      </c>
      <c r="F967" t="s">
        <v>2311</v>
      </c>
      <c r="G967" t="s">
        <v>232</v>
      </c>
      <c r="H967" t="s">
        <v>233</v>
      </c>
      <c r="I967">
        <v>3.8</v>
      </c>
      <c r="J967">
        <v>88</v>
      </c>
      <c r="K967" t="s">
        <v>234</v>
      </c>
    </row>
    <row r="968" spans="1:11" x14ac:dyDescent="0.2">
      <c r="A968" t="str">
        <f>HYPERLINK("https://www.tiwall.com//p/golbekhodi2","گل به خودی")</f>
        <v>گل به خودی</v>
      </c>
      <c r="B968">
        <v>60</v>
      </c>
      <c r="C968" t="s">
        <v>591</v>
      </c>
      <c r="D968" t="s">
        <v>87</v>
      </c>
      <c r="E968" t="s">
        <v>46</v>
      </c>
      <c r="F968" t="s">
        <v>2777</v>
      </c>
      <c r="G968" t="s">
        <v>2778</v>
      </c>
      <c r="H968" t="s">
        <v>2779</v>
      </c>
      <c r="I968">
        <v>0</v>
      </c>
      <c r="J968">
        <v>0</v>
      </c>
      <c r="K968" t="s">
        <v>2780</v>
      </c>
    </row>
    <row r="969" spans="1:11" x14ac:dyDescent="0.2">
      <c r="A969" t="str">
        <f>HYPERLINK("https://www.tiwall.com//p/seyribarcapitalism2","سیری بر کاپیتالیسم نویسنده دو گاو")</f>
        <v>سیری بر کاپیتالیسم نویسنده دو گاو</v>
      </c>
      <c r="B969">
        <v>30</v>
      </c>
      <c r="C969" t="s">
        <v>1281</v>
      </c>
      <c r="D969" t="s">
        <v>25</v>
      </c>
      <c r="E969" t="s">
        <v>13</v>
      </c>
      <c r="F969" t="s">
        <v>385</v>
      </c>
      <c r="G969" t="s">
        <v>2781</v>
      </c>
      <c r="H969" t="s">
        <v>2782</v>
      </c>
      <c r="I969">
        <v>0</v>
      </c>
      <c r="J969">
        <v>0</v>
      </c>
      <c r="K969" t="s">
        <v>2783</v>
      </c>
    </row>
    <row r="970" spans="1:11" x14ac:dyDescent="0.2">
      <c r="A970" t="str">
        <f>HYPERLINK("https://www.tiwall.com//p/safareshomal","سفر شمال")</f>
        <v>سفر شمال</v>
      </c>
      <c r="B970">
        <v>20</v>
      </c>
      <c r="C970" t="s">
        <v>1811</v>
      </c>
      <c r="D970" t="s">
        <v>87</v>
      </c>
      <c r="E970" t="s">
        <v>235</v>
      </c>
      <c r="F970" t="s">
        <v>2784</v>
      </c>
      <c r="G970" t="s">
        <v>1377</v>
      </c>
      <c r="H970" t="s">
        <v>1377</v>
      </c>
      <c r="I970">
        <v>0</v>
      </c>
      <c r="J970">
        <v>0</v>
      </c>
      <c r="K970" t="s">
        <v>2785</v>
      </c>
    </row>
    <row r="971" spans="1:11" x14ac:dyDescent="0.2">
      <c r="A971" t="str">
        <f>HYPERLINK("https://www.tiwall.com//p/nadia","نادیا")</f>
        <v>نادیا</v>
      </c>
      <c r="B971">
        <v>30</v>
      </c>
      <c r="C971" t="s">
        <v>514</v>
      </c>
      <c r="D971" t="s">
        <v>32</v>
      </c>
      <c r="E971" t="s">
        <v>138</v>
      </c>
      <c r="F971" t="s">
        <v>1108</v>
      </c>
      <c r="G971" t="s">
        <v>2786</v>
      </c>
      <c r="H971" t="s">
        <v>2786</v>
      </c>
      <c r="I971">
        <v>3</v>
      </c>
      <c r="J971">
        <v>23</v>
      </c>
      <c r="K971" t="s">
        <v>2787</v>
      </c>
    </row>
    <row r="972" spans="1:11" x14ac:dyDescent="0.2">
      <c r="A972" t="str">
        <f>HYPERLINK("https://www.tiwall.com//p/neorealism","نئورئالیسم")</f>
        <v>نئورئالیسم</v>
      </c>
      <c r="B972">
        <v>100</v>
      </c>
      <c r="C972" t="s">
        <v>11</v>
      </c>
      <c r="D972" t="s">
        <v>470</v>
      </c>
      <c r="E972" t="s">
        <v>26</v>
      </c>
      <c r="F972" t="s">
        <v>1613</v>
      </c>
      <c r="G972" t="s">
        <v>523</v>
      </c>
      <c r="H972" t="s">
        <v>523</v>
      </c>
      <c r="I972">
        <v>3.6</v>
      </c>
      <c r="J972">
        <v>28</v>
      </c>
      <c r="K972" t="s">
        <v>2788</v>
      </c>
    </row>
    <row r="973" spans="1:11" x14ac:dyDescent="0.2">
      <c r="A973" t="str">
        <f>HYPERLINK("https://www.tiwall.com//p/aroosikhon3","عروسی خون")</f>
        <v>عروسی خون</v>
      </c>
      <c r="B973">
        <v>60</v>
      </c>
      <c r="C973" t="s">
        <v>1834</v>
      </c>
      <c r="D973" t="s">
        <v>45</v>
      </c>
      <c r="E973" t="s">
        <v>26</v>
      </c>
      <c r="F973" t="s">
        <v>317</v>
      </c>
      <c r="G973" t="s">
        <v>2789</v>
      </c>
      <c r="H973" t="s">
        <v>2790</v>
      </c>
      <c r="I973">
        <v>0</v>
      </c>
      <c r="J973">
        <v>0</v>
      </c>
      <c r="K973" t="s">
        <v>2791</v>
      </c>
    </row>
    <row r="974" spans="1:11" x14ac:dyDescent="0.2">
      <c r="A974" t="str">
        <f>HYPERLINK("https://www.tiwall.com//p/khanzadeh","بازی آخر")</f>
        <v>بازی آخر</v>
      </c>
      <c r="B974">
        <v>40</v>
      </c>
      <c r="C974" t="s">
        <v>2792</v>
      </c>
      <c r="D974" t="s">
        <v>146</v>
      </c>
      <c r="E974" t="s">
        <v>13</v>
      </c>
      <c r="F974" t="s">
        <v>1321</v>
      </c>
      <c r="G974" t="s">
        <v>2793</v>
      </c>
      <c r="H974" t="s">
        <v>2793</v>
      </c>
      <c r="I974">
        <v>0</v>
      </c>
      <c r="J974">
        <v>0</v>
      </c>
      <c r="K974" t="s">
        <v>2794</v>
      </c>
    </row>
    <row r="975" spans="1:11" x14ac:dyDescent="0.2">
      <c r="A975" t="str">
        <f>HYPERLINK("https://www.tiwall.com//p/mard.zan","چند مرد و چند زن")</f>
        <v>چند مرد و چند زن</v>
      </c>
      <c r="B975">
        <v>110</v>
      </c>
      <c r="C975" t="s">
        <v>24</v>
      </c>
      <c r="D975" t="s">
        <v>38</v>
      </c>
      <c r="E975" t="s">
        <v>13</v>
      </c>
      <c r="F975" t="s">
        <v>2795</v>
      </c>
      <c r="G975" t="s">
        <v>422</v>
      </c>
      <c r="H975" t="s">
        <v>485</v>
      </c>
      <c r="I975">
        <v>4.0999999999999996</v>
      </c>
      <c r="J975">
        <v>28</v>
      </c>
      <c r="K975" t="s">
        <v>2796</v>
      </c>
    </row>
    <row r="976" spans="1:11" x14ac:dyDescent="0.2">
      <c r="A976" t="str">
        <f>HYPERLINK("https://www.tiwall.com//p/esm5","اسم")</f>
        <v>اسم</v>
      </c>
      <c r="B976">
        <v>35</v>
      </c>
      <c r="C976" t="s">
        <v>64</v>
      </c>
      <c r="D976" t="s">
        <v>217</v>
      </c>
      <c r="E976" t="s">
        <v>71</v>
      </c>
      <c r="F976" t="s">
        <v>725</v>
      </c>
      <c r="G976" t="s">
        <v>2725</v>
      </c>
      <c r="H976" t="s">
        <v>2797</v>
      </c>
      <c r="I976">
        <v>4.3</v>
      </c>
      <c r="J976">
        <v>6</v>
      </c>
      <c r="K976" t="s">
        <v>2798</v>
      </c>
    </row>
    <row r="977" spans="1:11" x14ac:dyDescent="0.2">
      <c r="A977" t="str">
        <f>HYPERLINK("https://www.tiwall.com//p/mordmbefonya","من مُردم روزی که به دنیا آمدم")</f>
        <v>من مُردم روزی که به دنیا آمدم</v>
      </c>
      <c r="B977">
        <v>40</v>
      </c>
      <c r="C977" t="s">
        <v>155</v>
      </c>
      <c r="D977" t="s">
        <v>470</v>
      </c>
      <c r="E977" t="s">
        <v>19</v>
      </c>
      <c r="F977" t="s">
        <v>222</v>
      </c>
      <c r="G977" t="s">
        <v>1332</v>
      </c>
      <c r="H977" t="s">
        <v>2799</v>
      </c>
      <c r="I977">
        <v>2.6</v>
      </c>
      <c r="J977">
        <v>5</v>
      </c>
      <c r="K977" t="s">
        <v>2800</v>
      </c>
    </row>
    <row r="978" spans="1:11" x14ac:dyDescent="0.2">
      <c r="A978" t="str">
        <f>HYPERLINK("https://www.tiwall.com//p/kolfatha11","کلفت ها")</f>
        <v>کلفت ها</v>
      </c>
      <c r="B978">
        <v>50</v>
      </c>
      <c r="C978" t="s">
        <v>204</v>
      </c>
      <c r="D978" t="s">
        <v>146</v>
      </c>
      <c r="E978" t="s">
        <v>26</v>
      </c>
      <c r="F978" t="s">
        <v>668</v>
      </c>
      <c r="G978" t="s">
        <v>333</v>
      </c>
      <c r="H978" t="s">
        <v>2801</v>
      </c>
      <c r="I978">
        <v>0</v>
      </c>
      <c r="J978">
        <v>0</v>
      </c>
      <c r="K978" t="s">
        <v>2802</v>
      </c>
    </row>
    <row r="979" spans="1:11" x14ac:dyDescent="0.2">
      <c r="A979" t="str">
        <f>HYPERLINK("https://www.tiwall.com//p/biganehdarkhaneh","بیگانه در خانه")</f>
        <v>بیگانه در خانه</v>
      </c>
      <c r="B979">
        <v>60</v>
      </c>
      <c r="C979" t="s">
        <v>1314</v>
      </c>
      <c r="D979" t="s">
        <v>32</v>
      </c>
      <c r="E979" t="s">
        <v>133</v>
      </c>
      <c r="F979" t="s">
        <v>427</v>
      </c>
      <c r="G979" t="s">
        <v>654</v>
      </c>
      <c r="H979" t="s">
        <v>654</v>
      </c>
      <c r="I979">
        <v>3.8</v>
      </c>
      <c r="J979">
        <v>233</v>
      </c>
      <c r="K979" t="s">
        <v>655</v>
      </c>
    </row>
    <row r="980" spans="1:11" x14ac:dyDescent="0.2">
      <c r="A980" t="str">
        <f>HYPERLINK("https://www.tiwall.com//p/khanehkharab","خانه خراب")</f>
        <v>خانه خراب</v>
      </c>
      <c r="B980">
        <v>100</v>
      </c>
      <c r="C980" t="s">
        <v>60</v>
      </c>
      <c r="D980" t="s">
        <v>265</v>
      </c>
      <c r="E980" t="s">
        <v>71</v>
      </c>
      <c r="F980" t="s">
        <v>2803</v>
      </c>
      <c r="G980" t="s">
        <v>2155</v>
      </c>
      <c r="H980" t="s">
        <v>2156</v>
      </c>
      <c r="I980">
        <v>3.6</v>
      </c>
      <c r="J980">
        <v>11</v>
      </c>
      <c r="K980" t="s">
        <v>2804</v>
      </c>
    </row>
    <row r="981" spans="1:11" x14ac:dyDescent="0.2">
      <c r="A981" t="str">
        <f>HYPERLINK("https://www.tiwall.com//p/entehayepark","انتهای پارک")</f>
        <v>انتهای پارک</v>
      </c>
      <c r="B981">
        <v>15</v>
      </c>
      <c r="C981" t="s">
        <v>2101</v>
      </c>
      <c r="D981" t="s">
        <v>32</v>
      </c>
      <c r="E981" t="s">
        <v>194</v>
      </c>
      <c r="F981" t="s">
        <v>1838</v>
      </c>
      <c r="G981" t="s">
        <v>2805</v>
      </c>
      <c r="H981" t="s">
        <v>322</v>
      </c>
      <c r="I981">
        <v>0</v>
      </c>
      <c r="J981">
        <v>0</v>
      </c>
      <c r="K981" t="s">
        <v>2806</v>
      </c>
    </row>
    <row r="982" spans="1:11" x14ac:dyDescent="0.2">
      <c r="A982" t="str">
        <f>HYPERLINK("https://www.tiwall.com//p/backtoblack4","بک تو بلک")</f>
        <v>بک تو بلک</v>
      </c>
      <c r="B982">
        <v>70</v>
      </c>
      <c r="C982" t="s">
        <v>313</v>
      </c>
      <c r="D982" t="s">
        <v>217</v>
      </c>
      <c r="E982" t="s">
        <v>26</v>
      </c>
      <c r="F982" t="s">
        <v>2807</v>
      </c>
      <c r="G982" t="s">
        <v>2002</v>
      </c>
      <c r="H982" t="s">
        <v>2002</v>
      </c>
      <c r="I982">
        <v>0</v>
      </c>
      <c r="J982">
        <v>0</v>
      </c>
      <c r="K982" t="s">
        <v>2263</v>
      </c>
    </row>
    <row r="983" spans="1:11" x14ac:dyDescent="0.2">
      <c r="A983" t="str">
        <f>HYPERLINK("https://www.tiwall.com//p/elephantman2","مرد فیل نما")</f>
        <v>مرد فیل نما</v>
      </c>
      <c r="B983">
        <v>30</v>
      </c>
      <c r="C983" t="s">
        <v>161</v>
      </c>
      <c r="D983" t="s">
        <v>12</v>
      </c>
      <c r="E983" t="s">
        <v>303</v>
      </c>
      <c r="F983" t="s">
        <v>222</v>
      </c>
      <c r="G983" t="s">
        <v>2808</v>
      </c>
      <c r="H983" t="s">
        <v>2809</v>
      </c>
      <c r="I983">
        <v>0</v>
      </c>
      <c r="J983">
        <v>0</v>
      </c>
      <c r="K983" t="s">
        <v>2810</v>
      </c>
    </row>
    <row r="984" spans="1:11" x14ac:dyDescent="0.2">
      <c r="A984" t="str">
        <f>HYPERLINK("https://www.tiwall.com//p/nameh.bargashti","نامه های برگشتی")</f>
        <v>نامه های برگشتی</v>
      </c>
      <c r="B984">
        <v>70</v>
      </c>
      <c r="C984" t="s">
        <v>224</v>
      </c>
      <c r="D984" t="s">
        <v>2286</v>
      </c>
      <c r="E984" t="s">
        <v>138</v>
      </c>
      <c r="F984" t="s">
        <v>1822</v>
      </c>
      <c r="G984" t="s">
        <v>2811</v>
      </c>
      <c r="H984" t="s">
        <v>2811</v>
      </c>
      <c r="I984">
        <v>3.3</v>
      </c>
      <c r="J984">
        <v>11</v>
      </c>
      <c r="K984" t="s">
        <v>2812</v>
      </c>
    </row>
    <row r="985" spans="1:11" x14ac:dyDescent="0.2">
      <c r="A985" t="str">
        <f>HYPERLINK("https://www.tiwall.com//p/inabashamidaninist2","این آب آشامیدنی نیست")</f>
        <v>این آب آشامیدنی نیست</v>
      </c>
      <c r="B985">
        <v>80</v>
      </c>
      <c r="C985" t="s">
        <v>1290</v>
      </c>
      <c r="D985" t="s">
        <v>70</v>
      </c>
      <c r="E985" t="s">
        <v>1063</v>
      </c>
      <c r="F985" t="s">
        <v>1105</v>
      </c>
      <c r="G985" t="s">
        <v>2434</v>
      </c>
      <c r="H985" t="s">
        <v>1073</v>
      </c>
      <c r="I985">
        <v>3.6</v>
      </c>
      <c r="J985">
        <v>12</v>
      </c>
      <c r="K985" t="s">
        <v>2813</v>
      </c>
    </row>
    <row r="986" spans="1:11" x14ac:dyDescent="0.2">
      <c r="A986" t="str">
        <f>HYPERLINK("https://www.tiwall.com//p/mozochie","موضوع چیه؟")</f>
        <v>موضوع چیه؟</v>
      </c>
      <c r="B986">
        <v>90</v>
      </c>
      <c r="C986" t="s">
        <v>37</v>
      </c>
      <c r="D986" t="s">
        <v>217</v>
      </c>
      <c r="E986" t="s">
        <v>39</v>
      </c>
      <c r="F986" t="s">
        <v>345</v>
      </c>
      <c r="G986" t="s">
        <v>2814</v>
      </c>
      <c r="H986" t="s">
        <v>2815</v>
      </c>
      <c r="I986">
        <v>2.8</v>
      </c>
      <c r="J986">
        <v>37</v>
      </c>
      <c r="K986" t="s">
        <v>2816</v>
      </c>
    </row>
    <row r="987" spans="1:11" x14ac:dyDescent="0.2">
      <c r="A987" t="str">
        <f>HYPERLINK("https://www.tiwall.com//p/panjereh.khiaban","پنجره آن طرف خیابان")</f>
        <v>پنجره آن طرف خیابان</v>
      </c>
      <c r="B987">
        <v>50</v>
      </c>
      <c r="C987" t="s">
        <v>44</v>
      </c>
      <c r="D987" t="s">
        <v>384</v>
      </c>
      <c r="E987" t="s">
        <v>138</v>
      </c>
      <c r="F987" t="s">
        <v>61</v>
      </c>
      <c r="G987" t="s">
        <v>2817</v>
      </c>
      <c r="H987" t="s">
        <v>2817</v>
      </c>
      <c r="I987">
        <v>0</v>
      </c>
      <c r="J987">
        <v>0</v>
      </c>
      <c r="K987" t="s">
        <v>2818</v>
      </c>
    </row>
    <row r="988" spans="1:11" x14ac:dyDescent="0.2">
      <c r="A988" t="str">
        <f>HYPERLINK("https://www.tiwall.com//p/avazehkhanetas8","آوازخوان طاس")</f>
        <v>آوازخوان طاس</v>
      </c>
      <c r="B988">
        <v>60</v>
      </c>
      <c r="C988" t="s">
        <v>204</v>
      </c>
      <c r="D988" t="s">
        <v>65</v>
      </c>
      <c r="E988" t="s">
        <v>13</v>
      </c>
      <c r="F988" t="s">
        <v>2819</v>
      </c>
      <c r="G988" t="s">
        <v>2820</v>
      </c>
      <c r="H988" t="s">
        <v>1384</v>
      </c>
      <c r="I988">
        <v>2.4</v>
      </c>
      <c r="J988">
        <v>5</v>
      </c>
      <c r="K988" t="s">
        <v>2821</v>
      </c>
    </row>
    <row r="989" spans="1:11" x14ac:dyDescent="0.2">
      <c r="A989" t="str">
        <f>HYPERLINK("https://www.tiwall.com//p/karnamebondar3","کارنامه‌ی بندار بیدخش")</f>
        <v>کارنامه‌ی بندار بیدخش</v>
      </c>
      <c r="B989">
        <v>35</v>
      </c>
      <c r="C989" t="s">
        <v>69</v>
      </c>
      <c r="D989" t="s">
        <v>45</v>
      </c>
      <c r="E989" t="s">
        <v>13</v>
      </c>
      <c r="F989" t="s">
        <v>1082</v>
      </c>
      <c r="G989" t="s">
        <v>2738</v>
      </c>
      <c r="H989" t="s">
        <v>2230</v>
      </c>
      <c r="I989">
        <v>3.2</v>
      </c>
      <c r="J989">
        <v>10</v>
      </c>
      <c r="K989" t="s">
        <v>2822</v>
      </c>
    </row>
    <row r="990" spans="1:11" x14ac:dyDescent="0.2">
      <c r="A990" t="str">
        <f>HYPERLINK("https://www.tiwall.com//p/ghatl.emarat","قتل در عمارت هاورشم")</f>
        <v>قتل در عمارت هاورشم</v>
      </c>
      <c r="B990">
        <v>70</v>
      </c>
      <c r="C990" t="s">
        <v>60</v>
      </c>
      <c r="D990" t="s">
        <v>45</v>
      </c>
      <c r="E990" t="s">
        <v>39</v>
      </c>
      <c r="F990" t="s">
        <v>971</v>
      </c>
      <c r="G990" t="s">
        <v>2048</v>
      </c>
      <c r="H990" t="s">
        <v>2823</v>
      </c>
      <c r="I990">
        <v>3.9</v>
      </c>
      <c r="J990">
        <v>28</v>
      </c>
      <c r="K990" t="s">
        <v>2824</v>
      </c>
    </row>
    <row r="991" spans="1:11" x14ac:dyDescent="0.2">
      <c r="A991" t="str">
        <f>HYPERLINK("https://www.tiwall.com//p/ashegh.seda2","من عاشق صدا هستم")</f>
        <v>من عاشق صدا هستم</v>
      </c>
      <c r="B991">
        <v>40</v>
      </c>
      <c r="C991" t="s">
        <v>86</v>
      </c>
      <c r="D991" t="s">
        <v>146</v>
      </c>
      <c r="E991" t="s">
        <v>13</v>
      </c>
      <c r="F991" t="s">
        <v>1741</v>
      </c>
      <c r="G991" t="s">
        <v>2825</v>
      </c>
      <c r="H991" t="s">
        <v>2826</v>
      </c>
      <c r="I991">
        <v>0</v>
      </c>
      <c r="J991">
        <v>0</v>
      </c>
      <c r="K991" t="s">
        <v>2827</v>
      </c>
    </row>
    <row r="992" spans="1:11" x14ac:dyDescent="0.2">
      <c r="A992" t="str">
        <f>HYPERLINK("https://www.tiwall.com//p/hari.khoun2","هاری یا سرگذشت مردی که به هنگامه تولد هر دو دستش پر از خون بود")</f>
        <v>هاری یا سرگذشت مردی که به هنگامه تولد هر دو دستش پر از خون بود</v>
      </c>
      <c r="B992">
        <v>80</v>
      </c>
      <c r="C992" t="s">
        <v>230</v>
      </c>
      <c r="D992" t="s">
        <v>217</v>
      </c>
      <c r="E992" t="s">
        <v>303</v>
      </c>
      <c r="F992" t="s">
        <v>1040</v>
      </c>
      <c r="G992" t="s">
        <v>2828</v>
      </c>
      <c r="H992" t="s">
        <v>2828</v>
      </c>
      <c r="I992">
        <v>3.9</v>
      </c>
      <c r="J992">
        <v>46</v>
      </c>
      <c r="K992" t="s">
        <v>2829</v>
      </c>
    </row>
    <row r="993" spans="1:11" x14ac:dyDescent="0.2">
      <c r="A993" t="str">
        <f>HYPERLINK("https://www.tiwall.com//p/kabushayemardemashkuk","کابوس های مرد مشکوک")</f>
        <v>کابوس های مرد مشکوک</v>
      </c>
      <c r="B993">
        <v>30</v>
      </c>
      <c r="C993" t="s">
        <v>145</v>
      </c>
      <c r="D993" t="s">
        <v>12</v>
      </c>
      <c r="E993" t="s">
        <v>26</v>
      </c>
      <c r="F993" t="s">
        <v>1889</v>
      </c>
      <c r="G993" t="s">
        <v>2540</v>
      </c>
      <c r="H993" t="s">
        <v>2830</v>
      </c>
      <c r="I993">
        <v>0</v>
      </c>
      <c r="J993">
        <v>0</v>
      </c>
      <c r="K993" t="s">
        <v>2831</v>
      </c>
    </row>
    <row r="994" spans="1:11" x14ac:dyDescent="0.2">
      <c r="A994" t="str">
        <f>HYPERLINK("https://www.tiwall.com//p/talkh.shirin","کمدی «خانه تلخ و شیرین»")</f>
        <v>کمدی «خانه تلخ و شیرین»</v>
      </c>
      <c r="B994">
        <v>50</v>
      </c>
      <c r="C994" t="s">
        <v>2832</v>
      </c>
      <c r="D994" t="s">
        <v>12</v>
      </c>
      <c r="E994" t="s">
        <v>175</v>
      </c>
      <c r="F994" t="s">
        <v>2833</v>
      </c>
      <c r="G994" t="s">
        <v>2834</v>
      </c>
      <c r="H994" t="s">
        <v>1481</v>
      </c>
      <c r="I994">
        <v>0</v>
      </c>
      <c r="J994">
        <v>0</v>
      </c>
      <c r="K994" t="s">
        <v>2835</v>
      </c>
    </row>
    <row r="995" spans="1:11" x14ac:dyDescent="0.2">
      <c r="A995" t="str">
        <f>HYPERLINK("https://www.tiwall.com//p/zendegimoz","زندگی روی پوست موز")</f>
        <v>زندگی روی پوست موز</v>
      </c>
      <c r="B995">
        <v>40</v>
      </c>
      <c r="C995" t="s">
        <v>121</v>
      </c>
      <c r="D995" t="s">
        <v>70</v>
      </c>
      <c r="E995" t="s">
        <v>26</v>
      </c>
      <c r="F995" t="s">
        <v>938</v>
      </c>
      <c r="G995" t="s">
        <v>2836</v>
      </c>
      <c r="H995" t="s">
        <v>2836</v>
      </c>
      <c r="I995">
        <v>0</v>
      </c>
      <c r="J995">
        <v>0</v>
      </c>
      <c r="K995" t="s">
        <v>2837</v>
      </c>
    </row>
    <row r="996" spans="1:11" x14ac:dyDescent="0.2">
      <c r="A996" t="str">
        <f>HYPERLINK("https://www.tiwall.com//p/asansornadareh2","آسانسور نداره")</f>
        <v>آسانسور نداره</v>
      </c>
      <c r="B996">
        <v>40</v>
      </c>
      <c r="C996" t="s">
        <v>180</v>
      </c>
      <c r="D996" t="s">
        <v>299</v>
      </c>
      <c r="E996" t="s">
        <v>13</v>
      </c>
      <c r="F996" t="s">
        <v>1197</v>
      </c>
      <c r="G996" t="s">
        <v>2838</v>
      </c>
      <c r="H996" t="s">
        <v>1154</v>
      </c>
      <c r="I996">
        <v>3.7</v>
      </c>
      <c r="J996">
        <v>41</v>
      </c>
      <c r="K996" t="s">
        <v>2839</v>
      </c>
    </row>
    <row r="997" spans="1:11" x14ac:dyDescent="0.2">
      <c r="A997" t="str">
        <f>HYPERLINK("https://www.tiwall.com//p/tab3","تب")</f>
        <v>تب</v>
      </c>
      <c r="B997">
        <v>70</v>
      </c>
      <c r="C997" t="s">
        <v>151</v>
      </c>
      <c r="D997" t="s">
        <v>87</v>
      </c>
      <c r="E997" t="s">
        <v>26</v>
      </c>
      <c r="F997" t="s">
        <v>2840</v>
      </c>
      <c r="G997" t="s">
        <v>1969</v>
      </c>
      <c r="H997" t="s">
        <v>1970</v>
      </c>
      <c r="I997">
        <v>3.3</v>
      </c>
      <c r="J997">
        <v>44</v>
      </c>
      <c r="K997" t="s">
        <v>2841</v>
      </c>
    </row>
    <row r="998" spans="1:11" x14ac:dyDescent="0.2">
      <c r="A998" t="str">
        <f>HYPERLINK("https://www.tiwall.com//p/baghevahsh3","داستان باغ وحش")</f>
        <v>داستان باغ وحش</v>
      </c>
      <c r="B998">
        <v>40</v>
      </c>
      <c r="C998" t="s">
        <v>151</v>
      </c>
      <c r="D998" t="s">
        <v>45</v>
      </c>
      <c r="E998" t="s">
        <v>194</v>
      </c>
      <c r="F998" t="s">
        <v>515</v>
      </c>
      <c r="G998" t="s">
        <v>2299</v>
      </c>
      <c r="H998" t="s">
        <v>334</v>
      </c>
      <c r="I998">
        <v>2.2999999999999998</v>
      </c>
      <c r="J998">
        <v>22</v>
      </c>
      <c r="K998" t="s">
        <v>2300</v>
      </c>
    </row>
    <row r="999" spans="1:11" x14ac:dyDescent="0.2">
      <c r="A999" t="str">
        <f>HYPERLINK("https://www.tiwall.com//p/haam3","هام")</f>
        <v>هام</v>
      </c>
      <c r="B999">
        <v>50</v>
      </c>
      <c r="C999" t="s">
        <v>262</v>
      </c>
      <c r="D999" t="s">
        <v>12</v>
      </c>
      <c r="E999" t="s">
        <v>71</v>
      </c>
      <c r="F999" t="s">
        <v>2842</v>
      </c>
      <c r="G999" t="s">
        <v>2843</v>
      </c>
      <c r="H999" t="s">
        <v>2844</v>
      </c>
      <c r="I999">
        <v>3.1</v>
      </c>
      <c r="J999">
        <v>7</v>
      </c>
      <c r="K999" t="s">
        <v>2845</v>
      </c>
    </row>
    <row r="1000" spans="1:11" x14ac:dyDescent="0.2">
      <c r="A1000" t="str">
        <f>HYPERLINK("https://www.tiwall.com//p/rouz.eteraf","روز اعتراف")</f>
        <v>روز اعتراف</v>
      </c>
      <c r="B1000">
        <v>50</v>
      </c>
      <c r="C1000" t="s">
        <v>224</v>
      </c>
      <c r="D1000" t="s">
        <v>12</v>
      </c>
      <c r="E1000" t="s">
        <v>19</v>
      </c>
      <c r="F1000" t="s">
        <v>1693</v>
      </c>
      <c r="G1000" t="s">
        <v>123</v>
      </c>
      <c r="H1000" t="s">
        <v>123</v>
      </c>
      <c r="I1000">
        <v>0</v>
      </c>
      <c r="J1000">
        <v>0</v>
      </c>
      <c r="K1000" t="s">
        <v>2846</v>
      </c>
    </row>
    <row r="1001" spans="1:11" x14ac:dyDescent="0.2">
      <c r="A1001" t="str">
        <f>HYPERLINK("https://www.tiwall.com//p/pishtar.dourtar","پیش تر از اینها دورتر از اینجا")</f>
        <v>پیش تر از اینها دورتر از اینجا</v>
      </c>
      <c r="B1001">
        <v>15</v>
      </c>
      <c r="C1001" t="s">
        <v>2847</v>
      </c>
      <c r="D1001" t="s">
        <v>12</v>
      </c>
      <c r="E1001" t="s">
        <v>138</v>
      </c>
      <c r="F1001" t="s">
        <v>222</v>
      </c>
      <c r="G1001" t="s">
        <v>2848</v>
      </c>
      <c r="H1001" t="s">
        <v>557</v>
      </c>
      <c r="I1001">
        <v>0</v>
      </c>
      <c r="J1001">
        <v>0</v>
      </c>
      <c r="K1001" t="s">
        <v>2849</v>
      </c>
    </row>
    <row r="1002" spans="1:11" x14ac:dyDescent="0.2">
      <c r="A1002" t="str">
        <f>HYPERLINK("https://www.tiwall.com//p/nafare.sevom","نفر سوم کیه؟")</f>
        <v>نفر سوم کیه؟</v>
      </c>
      <c r="B1002">
        <v>40</v>
      </c>
      <c r="C1002" t="s">
        <v>11</v>
      </c>
      <c r="D1002" t="s">
        <v>146</v>
      </c>
      <c r="E1002" t="s">
        <v>13</v>
      </c>
      <c r="F1002" t="s">
        <v>2398</v>
      </c>
      <c r="G1002" t="s">
        <v>2850</v>
      </c>
      <c r="H1002" t="s">
        <v>2850</v>
      </c>
      <c r="I1002">
        <v>0</v>
      </c>
      <c r="J1002">
        <v>0</v>
      </c>
      <c r="K1002" t="s">
        <v>2851</v>
      </c>
    </row>
    <row r="1003" spans="1:11" x14ac:dyDescent="0.2">
      <c r="A1003" t="str">
        <f>HYPERLINK("https://www.tiwall.com//p/degardisi2","بررسی طول موج سکوت پیش از دگردیسی")</f>
        <v>بررسی طول موج سکوت پیش از دگردیسی</v>
      </c>
      <c r="B1003">
        <v>30</v>
      </c>
      <c r="C1003" t="s">
        <v>383</v>
      </c>
      <c r="D1003" t="s">
        <v>87</v>
      </c>
      <c r="E1003" t="s">
        <v>13</v>
      </c>
      <c r="F1003" t="s">
        <v>2852</v>
      </c>
      <c r="G1003" t="s">
        <v>341</v>
      </c>
      <c r="H1003" t="s">
        <v>341</v>
      </c>
      <c r="I1003">
        <v>0</v>
      </c>
      <c r="J1003">
        <v>0</v>
      </c>
      <c r="K1003" t="s">
        <v>2853</v>
      </c>
    </row>
    <row r="1004" spans="1:11" x14ac:dyDescent="0.2">
      <c r="A1004" t="str">
        <f>HYPERLINK("https://www.tiwall.com//p/kanizakvapadeshah","کنیزک و پادشاه")</f>
        <v>کنیزک و پادشاه</v>
      </c>
      <c r="B1004">
        <v>40</v>
      </c>
      <c r="C1004" t="s">
        <v>145</v>
      </c>
      <c r="D1004" t="s">
        <v>146</v>
      </c>
      <c r="E1004" t="s">
        <v>138</v>
      </c>
      <c r="F1004" t="s">
        <v>355</v>
      </c>
      <c r="G1004" t="s">
        <v>534</v>
      </c>
      <c r="H1004" t="s">
        <v>534</v>
      </c>
      <c r="I1004">
        <v>0</v>
      </c>
      <c r="J1004">
        <v>0</v>
      </c>
      <c r="K1004" t="s">
        <v>2854</v>
      </c>
    </row>
    <row r="1005" spans="1:11" x14ac:dyDescent="0.2">
      <c r="A1005" t="str">
        <f>HYPERLINK("https://www.tiwall.com//p/chaharshanbeh.hafteh","چهارشنبه آخرین روز هفته")</f>
        <v>چهارشنبه آخرین روز هفته</v>
      </c>
      <c r="B1005">
        <v>50</v>
      </c>
      <c r="C1005" t="s">
        <v>224</v>
      </c>
      <c r="D1005" t="s">
        <v>12</v>
      </c>
      <c r="E1005" t="s">
        <v>13</v>
      </c>
      <c r="F1005" t="s">
        <v>402</v>
      </c>
      <c r="G1005" t="s">
        <v>2855</v>
      </c>
      <c r="H1005" t="s">
        <v>2856</v>
      </c>
      <c r="I1005">
        <v>3.8</v>
      </c>
      <c r="J1005">
        <v>13</v>
      </c>
      <c r="K1005" t="s">
        <v>2857</v>
      </c>
    </row>
    <row r="1006" spans="1:11" x14ac:dyDescent="0.2">
      <c r="A1006" t="str">
        <f>HYPERLINK("https://www.tiwall.com//p/batlagh","باتلاق")</f>
        <v>باتلاق</v>
      </c>
      <c r="B1006">
        <v>80</v>
      </c>
      <c r="C1006" t="s">
        <v>501</v>
      </c>
      <c r="D1006" t="s">
        <v>65</v>
      </c>
      <c r="E1006" t="s">
        <v>138</v>
      </c>
      <c r="F1006" t="s">
        <v>2858</v>
      </c>
      <c r="G1006" t="s">
        <v>2859</v>
      </c>
      <c r="H1006" t="s">
        <v>2859</v>
      </c>
      <c r="I1006">
        <v>4.7</v>
      </c>
      <c r="J1006">
        <v>10</v>
      </c>
      <c r="K1006" t="s">
        <v>2860</v>
      </c>
    </row>
    <row r="1007" spans="1:11" x14ac:dyDescent="0.2">
      <c r="A1007" t="str">
        <f>HYPERLINK("https://www.tiwall.com//p/koochenaghash","کوچه نقاش‌ها")</f>
        <v>کوچه نقاش‌ها</v>
      </c>
      <c r="B1007">
        <v>45</v>
      </c>
      <c r="C1007" t="s">
        <v>251</v>
      </c>
      <c r="D1007" t="s">
        <v>25</v>
      </c>
      <c r="E1007" t="s">
        <v>46</v>
      </c>
      <c r="F1007" t="s">
        <v>2861</v>
      </c>
      <c r="G1007" t="s">
        <v>856</v>
      </c>
      <c r="H1007" t="s">
        <v>2862</v>
      </c>
      <c r="I1007">
        <v>0</v>
      </c>
      <c r="J1007">
        <v>0</v>
      </c>
      <c r="K1007" t="s">
        <v>2863</v>
      </c>
    </row>
    <row r="1008" spans="1:11" x14ac:dyDescent="0.2">
      <c r="A1008" t="str">
        <f>HYPERLINK("https://www.tiwall.com//p/eshgh.bazjouei","علاقمندی چنان است که بازجویی")</f>
        <v>علاقمندی چنان است که بازجویی</v>
      </c>
      <c r="B1008">
        <v>70</v>
      </c>
      <c r="C1008" t="s">
        <v>24</v>
      </c>
      <c r="D1008" t="s">
        <v>87</v>
      </c>
      <c r="E1008" t="s">
        <v>26</v>
      </c>
      <c r="F1008" t="s">
        <v>480</v>
      </c>
      <c r="G1008" t="s">
        <v>2864</v>
      </c>
      <c r="H1008" t="s">
        <v>2864</v>
      </c>
      <c r="I1008">
        <v>2.6</v>
      </c>
      <c r="J1008">
        <v>11</v>
      </c>
      <c r="K1008" t="s">
        <v>2865</v>
      </c>
    </row>
    <row r="1009" spans="1:11" x14ac:dyDescent="0.2">
      <c r="A1009" t="str">
        <f>HYPERLINK("https://www.tiwall.com//p/dourbinmadarbasteh","این مکان مجهز به دوربین مدار بسته می باشد")</f>
        <v>این مکان مجهز به دوربین مدار بسته می باشد</v>
      </c>
      <c r="B1009">
        <v>35</v>
      </c>
      <c r="C1009" t="s">
        <v>11</v>
      </c>
      <c r="D1009" t="s">
        <v>65</v>
      </c>
      <c r="E1009" t="s">
        <v>138</v>
      </c>
      <c r="F1009" t="s">
        <v>725</v>
      </c>
      <c r="G1009" t="s">
        <v>2866</v>
      </c>
      <c r="H1009" t="s">
        <v>2867</v>
      </c>
      <c r="I1009">
        <v>0</v>
      </c>
      <c r="J1009">
        <v>0</v>
      </c>
      <c r="K1009" t="s">
        <v>2868</v>
      </c>
    </row>
    <row r="1010" spans="1:11" x14ac:dyDescent="0.2">
      <c r="A1010" t="str">
        <f>HYPERLINK("https://www.tiwall.com//p/mehmansaraye.dodonya23","مهمانسرای دو دنیا")</f>
        <v>مهمانسرای دو دنیا</v>
      </c>
      <c r="B1010">
        <v>75</v>
      </c>
      <c r="C1010" t="s">
        <v>51</v>
      </c>
      <c r="D1010" t="s">
        <v>87</v>
      </c>
      <c r="E1010" t="s">
        <v>19</v>
      </c>
      <c r="F1010" t="s">
        <v>2869</v>
      </c>
      <c r="G1010" t="s">
        <v>2870</v>
      </c>
      <c r="H1010" t="s">
        <v>438</v>
      </c>
      <c r="I1010">
        <v>4.5999999999999996</v>
      </c>
      <c r="J1010">
        <v>5</v>
      </c>
      <c r="K1010" t="s">
        <v>2871</v>
      </c>
    </row>
    <row r="1011" spans="1:11" x14ac:dyDescent="0.2">
      <c r="A1011" t="str">
        <f>HYPERLINK("https://www.tiwall.com//p/woyzeck6","وُیتسک")</f>
        <v>وُیتسک</v>
      </c>
      <c r="B1011">
        <v>70</v>
      </c>
      <c r="C1011" t="s">
        <v>230</v>
      </c>
      <c r="D1011" t="s">
        <v>87</v>
      </c>
      <c r="E1011" t="s">
        <v>88</v>
      </c>
      <c r="F1011" t="s">
        <v>181</v>
      </c>
      <c r="G1011" t="s">
        <v>2872</v>
      </c>
      <c r="H1011" t="s">
        <v>2873</v>
      </c>
      <c r="I1011">
        <v>3.2</v>
      </c>
      <c r="J1011">
        <v>63</v>
      </c>
      <c r="K1011" t="s">
        <v>2874</v>
      </c>
    </row>
    <row r="1012" spans="1:11" x14ac:dyDescent="0.2">
      <c r="A1012" t="str">
        <f>HYPERLINK("https://www.tiwall.com//p/cham","چَم")</f>
        <v>چَم</v>
      </c>
      <c r="B1012">
        <v>50</v>
      </c>
      <c r="C1012" t="s">
        <v>2875</v>
      </c>
      <c r="D1012" t="s">
        <v>45</v>
      </c>
      <c r="E1012" t="s">
        <v>235</v>
      </c>
      <c r="F1012" t="s">
        <v>1075</v>
      </c>
      <c r="G1012" t="s">
        <v>139</v>
      </c>
      <c r="H1012" t="s">
        <v>2876</v>
      </c>
      <c r="I1012">
        <v>0</v>
      </c>
      <c r="J1012">
        <v>0</v>
      </c>
      <c r="K1012" t="s">
        <v>2877</v>
      </c>
    </row>
    <row r="1013" spans="1:11" x14ac:dyDescent="0.2">
      <c r="A1013" t="str">
        <f>HYPERLINK("https://www.tiwall.com//p/banou2","مونودرام های بانو")</f>
        <v>مونودرام های بانو</v>
      </c>
      <c r="B1013">
        <v>30</v>
      </c>
      <c r="C1013" t="s">
        <v>514</v>
      </c>
      <c r="D1013" t="s">
        <v>12</v>
      </c>
      <c r="E1013" t="s">
        <v>138</v>
      </c>
      <c r="F1013" t="s">
        <v>836</v>
      </c>
      <c r="G1013" t="s">
        <v>2878</v>
      </c>
      <c r="H1013" t="s">
        <v>2879</v>
      </c>
      <c r="I1013">
        <v>0</v>
      </c>
      <c r="J1013">
        <v>0</v>
      </c>
      <c r="K1013" t="s">
        <v>2880</v>
      </c>
    </row>
    <row r="1014" spans="1:11" x14ac:dyDescent="0.2">
      <c r="A1014" t="str">
        <f>HYPERLINK("https://www.tiwall.com//p/sadeynhe","ص.عه")</f>
        <v>ص.عه</v>
      </c>
      <c r="B1014">
        <v>60</v>
      </c>
      <c r="C1014" t="s">
        <v>103</v>
      </c>
      <c r="D1014" t="s">
        <v>299</v>
      </c>
      <c r="E1014" t="s">
        <v>19</v>
      </c>
      <c r="F1014" t="s">
        <v>1037</v>
      </c>
      <c r="G1014" t="s">
        <v>781</v>
      </c>
      <c r="H1014" t="s">
        <v>1090</v>
      </c>
      <c r="I1014">
        <v>3.6</v>
      </c>
      <c r="J1014">
        <v>56</v>
      </c>
      <c r="K1014" t="s">
        <v>2881</v>
      </c>
    </row>
    <row r="1015" spans="1:11" x14ac:dyDescent="0.2">
      <c r="A1015" t="str">
        <f>HYPERLINK("https://www.tiwall.com//p/asbghatelin","اسب قاتلین")</f>
        <v>اسب قاتلین</v>
      </c>
      <c r="B1015">
        <v>60</v>
      </c>
      <c r="C1015" t="s">
        <v>24</v>
      </c>
      <c r="D1015" t="s">
        <v>65</v>
      </c>
      <c r="E1015" t="s">
        <v>26</v>
      </c>
      <c r="F1015" t="s">
        <v>571</v>
      </c>
      <c r="G1015" t="s">
        <v>2882</v>
      </c>
      <c r="H1015" t="s">
        <v>330</v>
      </c>
      <c r="I1015">
        <v>0</v>
      </c>
      <c r="J1015">
        <v>0</v>
      </c>
      <c r="K1015" t="s">
        <v>2883</v>
      </c>
    </row>
    <row r="1016" spans="1:11" x14ac:dyDescent="0.2">
      <c r="A1016" t="str">
        <f>HYPERLINK("https://www.tiwall.com//p/parvin3","پروین")</f>
        <v>پروین</v>
      </c>
      <c r="B1016">
        <v>100</v>
      </c>
      <c r="C1016" t="s">
        <v>362</v>
      </c>
      <c r="D1016" t="s">
        <v>12</v>
      </c>
      <c r="E1016" t="s">
        <v>1616</v>
      </c>
      <c r="F1016" t="s">
        <v>2264</v>
      </c>
      <c r="G1016" t="s">
        <v>267</v>
      </c>
      <c r="H1016" t="s">
        <v>267</v>
      </c>
      <c r="I1016">
        <v>2.6</v>
      </c>
      <c r="J1016">
        <v>49</v>
      </c>
      <c r="K1016" t="s">
        <v>2884</v>
      </c>
    </row>
    <row r="1017" spans="1:11" x14ac:dyDescent="0.2">
      <c r="A1017" t="str">
        <f>HYPERLINK("https://www.tiwall.com//p/doktor.khoub","دکتر خوب")</f>
        <v>دکتر خوب</v>
      </c>
      <c r="B1017">
        <v>100</v>
      </c>
      <c r="C1017" t="s">
        <v>69</v>
      </c>
      <c r="D1017" t="s">
        <v>45</v>
      </c>
      <c r="E1017" t="s">
        <v>194</v>
      </c>
      <c r="F1017" t="s">
        <v>2885</v>
      </c>
      <c r="G1017" t="s">
        <v>2886</v>
      </c>
      <c r="H1017" t="s">
        <v>2886</v>
      </c>
      <c r="I1017">
        <v>4</v>
      </c>
      <c r="J1017">
        <v>40</v>
      </c>
      <c r="K1017" t="s">
        <v>2887</v>
      </c>
    </row>
    <row r="1018" spans="1:11" x14ac:dyDescent="0.2">
      <c r="A1018" t="str">
        <f>HYPERLINK("https://www.tiwall.com//p/marmahi","مارماهی")</f>
        <v>مارماهی</v>
      </c>
      <c r="B1018">
        <v>40</v>
      </c>
      <c r="C1018" t="s">
        <v>137</v>
      </c>
      <c r="D1018" t="s">
        <v>32</v>
      </c>
      <c r="E1018" t="s">
        <v>138</v>
      </c>
      <c r="F1018" t="s">
        <v>188</v>
      </c>
      <c r="G1018" t="s">
        <v>2888</v>
      </c>
      <c r="H1018" t="s">
        <v>2889</v>
      </c>
      <c r="I1018">
        <v>0</v>
      </c>
      <c r="J1018">
        <v>0</v>
      </c>
      <c r="K1018" t="s">
        <v>2890</v>
      </c>
    </row>
    <row r="1019" spans="1:11" x14ac:dyDescent="0.2">
      <c r="A1019" t="str">
        <f>HYPERLINK("https://www.tiwall.com//p/hamlet.serouz2","هیچ نگو هملت، فقط سه روز")</f>
        <v>هیچ نگو هملت، فقط سه روز</v>
      </c>
      <c r="B1019">
        <v>80</v>
      </c>
      <c r="C1019" t="s">
        <v>1290</v>
      </c>
      <c r="D1019" t="s">
        <v>12</v>
      </c>
      <c r="E1019" t="s">
        <v>13</v>
      </c>
      <c r="F1019" t="s">
        <v>650</v>
      </c>
      <c r="G1019" t="s">
        <v>2891</v>
      </c>
      <c r="H1019" t="s">
        <v>330</v>
      </c>
      <c r="I1019">
        <v>4</v>
      </c>
      <c r="J1019">
        <v>12</v>
      </c>
      <c r="K1019" t="s">
        <v>2892</v>
      </c>
    </row>
    <row r="1020" spans="1:11" x14ac:dyDescent="0.2">
      <c r="A1020" t="str">
        <f>HYPERLINK("https://www.tiwall.com//p/festivalgharb","فستیوال غرب")</f>
        <v>فستیوال غرب</v>
      </c>
      <c r="B1020">
        <v>85</v>
      </c>
      <c r="C1020" t="s">
        <v>60</v>
      </c>
      <c r="D1020" t="s">
        <v>25</v>
      </c>
      <c r="E1020" t="s">
        <v>26</v>
      </c>
      <c r="F1020" t="s">
        <v>2893</v>
      </c>
      <c r="G1020" t="s">
        <v>2894</v>
      </c>
      <c r="H1020" t="s">
        <v>2895</v>
      </c>
      <c r="I1020">
        <v>3.1</v>
      </c>
      <c r="J1020">
        <v>21</v>
      </c>
      <c r="K1020" t="s">
        <v>2896</v>
      </c>
    </row>
    <row r="1021" spans="1:11" x14ac:dyDescent="0.2">
      <c r="A1021" t="str">
        <f>HYPERLINK("https://www.tiwall.com//p/ash","آش")</f>
        <v>آش</v>
      </c>
      <c r="B1021">
        <v>30</v>
      </c>
      <c r="C1021" t="s">
        <v>2897</v>
      </c>
      <c r="D1021" t="s">
        <v>217</v>
      </c>
      <c r="E1021" t="s">
        <v>328</v>
      </c>
      <c r="F1021" t="s">
        <v>2898</v>
      </c>
      <c r="G1021" t="s">
        <v>1170</v>
      </c>
      <c r="H1021" t="s">
        <v>1171</v>
      </c>
      <c r="I1021">
        <v>0</v>
      </c>
      <c r="J1021">
        <v>0</v>
      </c>
      <c r="K1021" t="s">
        <v>1172</v>
      </c>
    </row>
    <row r="1022" spans="1:11" x14ac:dyDescent="0.2">
      <c r="A1022" t="str">
        <f>HYPERLINK("https://www.tiwall.com//p/mobarak.japan3","مبارک در ژاپن")</f>
        <v>مبارک در ژاپن</v>
      </c>
      <c r="B1022">
        <v>80</v>
      </c>
      <c r="C1022" t="s">
        <v>230</v>
      </c>
      <c r="D1022" t="s">
        <v>45</v>
      </c>
      <c r="E1022" t="s">
        <v>19</v>
      </c>
      <c r="F1022" t="s">
        <v>2899</v>
      </c>
      <c r="G1022" t="s">
        <v>1737</v>
      </c>
      <c r="H1022" t="s">
        <v>1737</v>
      </c>
      <c r="I1022">
        <v>0</v>
      </c>
      <c r="J1022">
        <v>0</v>
      </c>
      <c r="K1022" t="s">
        <v>2900</v>
      </c>
    </row>
    <row r="1023" spans="1:11" x14ac:dyDescent="0.2">
      <c r="A1023" t="str">
        <f>HYPERLINK("https://www.tiwall.com//p/divantheatral9","دیوان تئاترال")</f>
        <v>دیوان تئاترال</v>
      </c>
      <c r="B1023">
        <v>50</v>
      </c>
      <c r="C1023" t="s">
        <v>132</v>
      </c>
      <c r="D1023" t="s">
        <v>12</v>
      </c>
      <c r="E1023" t="s">
        <v>26</v>
      </c>
      <c r="F1023" t="s">
        <v>1328</v>
      </c>
      <c r="G1023" t="s">
        <v>2901</v>
      </c>
      <c r="H1023" t="s">
        <v>1695</v>
      </c>
      <c r="I1023">
        <v>0</v>
      </c>
      <c r="J1023">
        <v>0</v>
      </c>
      <c r="K1023" t="s">
        <v>2902</v>
      </c>
    </row>
    <row r="1024" spans="1:11" x14ac:dyDescent="0.2">
      <c r="A1024" t="str">
        <f>HYPERLINK("https://www.tiwall.com//p/mauser3","مائوزر")</f>
        <v>مائوزر</v>
      </c>
      <c r="B1024">
        <v>60</v>
      </c>
      <c r="C1024" t="s">
        <v>86</v>
      </c>
      <c r="D1024" t="s">
        <v>470</v>
      </c>
      <c r="E1024" t="s">
        <v>138</v>
      </c>
      <c r="F1024" t="s">
        <v>226</v>
      </c>
      <c r="G1024" t="s">
        <v>2903</v>
      </c>
      <c r="H1024" t="s">
        <v>2904</v>
      </c>
      <c r="I1024">
        <v>4.0999999999999996</v>
      </c>
      <c r="J1024">
        <v>120</v>
      </c>
      <c r="K1024" t="s">
        <v>2905</v>
      </c>
    </row>
    <row r="1025" spans="1:11" x14ac:dyDescent="0.2">
      <c r="A1025" t="str">
        <f>HYPERLINK("https://www.tiwall.com//p/aghaleila2","آقا لیلا")</f>
        <v>آقا لیلا</v>
      </c>
      <c r="B1025">
        <v>50</v>
      </c>
      <c r="C1025" t="s">
        <v>2906</v>
      </c>
      <c r="D1025" t="s">
        <v>12</v>
      </c>
      <c r="E1025" t="s">
        <v>26</v>
      </c>
      <c r="F1025" t="s">
        <v>1642</v>
      </c>
      <c r="G1025" t="s">
        <v>2907</v>
      </c>
      <c r="H1025" t="s">
        <v>2908</v>
      </c>
      <c r="I1025">
        <v>0</v>
      </c>
      <c r="J1025">
        <v>0</v>
      </c>
      <c r="K1025" t="s">
        <v>2909</v>
      </c>
    </row>
    <row r="1026" spans="1:11" x14ac:dyDescent="0.2">
      <c r="A1026" t="str">
        <f>HYPERLINK("https://www.tiwall.com//p/soheil","سهیل")</f>
        <v>سهیل</v>
      </c>
      <c r="B1026">
        <v>60</v>
      </c>
      <c r="C1026" t="s">
        <v>410</v>
      </c>
      <c r="D1026" t="s">
        <v>384</v>
      </c>
      <c r="E1026" t="s">
        <v>303</v>
      </c>
      <c r="F1026" t="s">
        <v>89</v>
      </c>
      <c r="G1026" t="s">
        <v>2910</v>
      </c>
      <c r="H1026" t="s">
        <v>2910</v>
      </c>
      <c r="I1026">
        <v>0</v>
      </c>
      <c r="J1026">
        <v>0</v>
      </c>
      <c r="K1026" t="s">
        <v>2911</v>
      </c>
    </row>
    <row r="1027" spans="1:11" x14ac:dyDescent="0.2">
      <c r="A1027" t="str">
        <f>HYPERLINK("https://www.tiwall.com//p/zipp","زیپ")</f>
        <v>زیپ</v>
      </c>
      <c r="B1027">
        <v>25</v>
      </c>
      <c r="C1027" t="s">
        <v>417</v>
      </c>
      <c r="D1027" t="s">
        <v>32</v>
      </c>
      <c r="E1027" t="s">
        <v>88</v>
      </c>
      <c r="F1027" t="s">
        <v>2784</v>
      </c>
      <c r="G1027" t="s">
        <v>244</v>
      </c>
      <c r="H1027" t="s">
        <v>1710</v>
      </c>
      <c r="I1027">
        <v>1.7</v>
      </c>
      <c r="J1027">
        <v>7</v>
      </c>
      <c r="K1027" t="s">
        <v>2912</v>
      </c>
    </row>
    <row r="1028" spans="1:11" x14ac:dyDescent="0.2">
      <c r="A1028" t="str">
        <f>HYPERLINK("https://www.tiwall.com//p/moraghebatazparandegan","مراقبت از پرندگان کوچک")</f>
        <v>مراقبت از پرندگان کوچک</v>
      </c>
      <c r="B1028">
        <v>25</v>
      </c>
      <c r="C1028" t="s">
        <v>64</v>
      </c>
      <c r="D1028" t="s">
        <v>12</v>
      </c>
      <c r="E1028" t="s">
        <v>415</v>
      </c>
      <c r="F1028" t="s">
        <v>66</v>
      </c>
      <c r="G1028" t="s">
        <v>2913</v>
      </c>
      <c r="H1028" t="s">
        <v>2914</v>
      </c>
      <c r="I1028">
        <v>0</v>
      </c>
      <c r="J1028">
        <v>0</v>
      </c>
      <c r="K1028" t="s">
        <v>2915</v>
      </c>
    </row>
    <row r="1029" spans="1:11" x14ac:dyDescent="0.2">
      <c r="A1029" t="str">
        <f>HYPERLINK("https://www.tiwall.com//p/ajibosaltaneh2","عجیب السلطنه")</f>
        <v>عجیب السلطنه</v>
      </c>
      <c r="B1029">
        <v>30</v>
      </c>
      <c r="C1029" t="s">
        <v>145</v>
      </c>
      <c r="D1029" t="s">
        <v>45</v>
      </c>
      <c r="E1029" t="s">
        <v>26</v>
      </c>
      <c r="F1029" t="s">
        <v>2916</v>
      </c>
      <c r="G1029" t="s">
        <v>2917</v>
      </c>
      <c r="H1029" t="s">
        <v>2918</v>
      </c>
      <c r="I1029">
        <v>0</v>
      </c>
      <c r="J1029">
        <v>0</v>
      </c>
      <c r="K1029" t="s">
        <v>2919</v>
      </c>
    </row>
    <row r="1030" spans="1:11" x14ac:dyDescent="0.2">
      <c r="A1030" t="str">
        <f>HYPERLINK("https://www.tiwall.com//p/parvazeamoud3","پرواز عمود کبوتر دریایی دودی بر فراز آب‌های سرد و معتدل اقیانوس اطلس")</f>
        <v>پرواز عمود کبوتر دریایی دودی بر فراز آب‌های سرد و معتدل اقیانوس اطلس</v>
      </c>
      <c r="B1030">
        <v>45</v>
      </c>
      <c r="C1030" t="s">
        <v>1290</v>
      </c>
      <c r="D1030" t="s">
        <v>12</v>
      </c>
      <c r="E1030" t="s">
        <v>71</v>
      </c>
      <c r="F1030" t="s">
        <v>2920</v>
      </c>
      <c r="G1030" t="s">
        <v>2921</v>
      </c>
      <c r="H1030" t="s">
        <v>2922</v>
      </c>
      <c r="I1030">
        <v>3.6</v>
      </c>
      <c r="J1030">
        <v>54</v>
      </c>
      <c r="K1030" t="s">
        <v>2923</v>
      </c>
    </row>
    <row r="1031" spans="1:11" x14ac:dyDescent="0.2">
      <c r="A1031" t="str">
        <f>HYPERLINK("https://www.tiwall.com//p/cafecut","کافه کات")</f>
        <v>کافه کات</v>
      </c>
      <c r="B1031">
        <v>150</v>
      </c>
      <c r="C1031" t="s">
        <v>31</v>
      </c>
      <c r="D1031" t="s">
        <v>1353</v>
      </c>
      <c r="E1031" t="s">
        <v>175</v>
      </c>
      <c r="F1031" t="s">
        <v>812</v>
      </c>
      <c r="G1031" t="s">
        <v>267</v>
      </c>
      <c r="H1031" t="s">
        <v>267</v>
      </c>
      <c r="I1031">
        <v>2.9</v>
      </c>
      <c r="J1031">
        <v>46</v>
      </c>
      <c r="K1031" t="s">
        <v>2924</v>
      </c>
    </row>
    <row r="1032" spans="1:11" x14ac:dyDescent="0.2">
      <c r="A1032" t="str">
        <f>HYPERLINK("https://www.tiwall.com//p/koorooki","کروکی")</f>
        <v>کروکی</v>
      </c>
      <c r="B1032">
        <v>60</v>
      </c>
      <c r="C1032" t="s">
        <v>1314</v>
      </c>
      <c r="D1032" t="s">
        <v>65</v>
      </c>
      <c r="E1032" t="s">
        <v>46</v>
      </c>
      <c r="F1032" t="s">
        <v>2925</v>
      </c>
      <c r="G1032" t="s">
        <v>376</v>
      </c>
      <c r="H1032" t="s">
        <v>376</v>
      </c>
      <c r="I1032">
        <v>0</v>
      </c>
      <c r="J1032">
        <v>0</v>
      </c>
      <c r="K1032" t="s">
        <v>376</v>
      </c>
    </row>
    <row r="1033" spans="1:11" x14ac:dyDescent="0.2">
      <c r="A1033" t="str">
        <f>HYPERLINK("https://www.tiwall.com//p/ghararmolaghat.farhadi","قرار ملاقات با آقای فرهادی")</f>
        <v>قرار ملاقات با آقای فرهادی</v>
      </c>
      <c r="B1033">
        <v>60</v>
      </c>
      <c r="C1033" t="s">
        <v>501</v>
      </c>
      <c r="D1033" t="s">
        <v>146</v>
      </c>
      <c r="E1033" t="s">
        <v>46</v>
      </c>
      <c r="F1033" t="s">
        <v>2926</v>
      </c>
      <c r="G1033" t="s">
        <v>2927</v>
      </c>
      <c r="H1033" t="s">
        <v>2927</v>
      </c>
      <c r="I1033">
        <v>0</v>
      </c>
      <c r="J1033">
        <v>0</v>
      </c>
      <c r="K1033" t="s">
        <v>2927</v>
      </c>
    </row>
    <row r="1034" spans="1:11" x14ac:dyDescent="0.2">
      <c r="A1034" t="str">
        <f>HYPERLINK("https://www.tiwall.com//p/yamaha","یاماها")</f>
        <v>یاماها</v>
      </c>
      <c r="B1034">
        <v>35</v>
      </c>
      <c r="C1034" t="s">
        <v>151</v>
      </c>
      <c r="D1034" t="s">
        <v>285</v>
      </c>
      <c r="E1034" t="s">
        <v>88</v>
      </c>
      <c r="F1034" t="s">
        <v>787</v>
      </c>
      <c r="G1034" t="s">
        <v>762</v>
      </c>
      <c r="H1034" t="s">
        <v>762</v>
      </c>
      <c r="I1034">
        <v>3.5</v>
      </c>
      <c r="J1034">
        <v>54</v>
      </c>
      <c r="K1034" t="s">
        <v>2928</v>
      </c>
    </row>
    <row r="1035" spans="1:11" x14ac:dyDescent="0.2">
      <c r="A1035" t="str">
        <f>HYPERLINK("https://www.tiwall.com//p/mordehforoshi3","مرده فروشی")</f>
        <v>مرده فروشی</v>
      </c>
      <c r="B1035">
        <v>25</v>
      </c>
      <c r="C1035" t="s">
        <v>64</v>
      </c>
      <c r="D1035" t="s">
        <v>65</v>
      </c>
      <c r="E1035" t="s">
        <v>13</v>
      </c>
      <c r="F1035" t="s">
        <v>1082</v>
      </c>
      <c r="G1035" t="s">
        <v>2929</v>
      </c>
      <c r="H1035" t="s">
        <v>1084</v>
      </c>
      <c r="I1035">
        <v>3.4</v>
      </c>
      <c r="J1035">
        <v>21</v>
      </c>
      <c r="K1035" t="s">
        <v>2930</v>
      </c>
    </row>
    <row r="1036" spans="1:11" x14ac:dyDescent="0.2">
      <c r="A1036" t="str">
        <f>HYPERLINK("https://www.tiwall.com//p/seshanbelanati","سه شنبه های لعنتی")</f>
        <v>سه شنبه های لعنتی</v>
      </c>
      <c r="B1036">
        <v>35</v>
      </c>
      <c r="C1036" t="s">
        <v>344</v>
      </c>
      <c r="D1036" t="s">
        <v>299</v>
      </c>
      <c r="E1036" t="s">
        <v>88</v>
      </c>
      <c r="F1036" t="s">
        <v>162</v>
      </c>
      <c r="G1036" t="s">
        <v>1389</v>
      </c>
      <c r="H1036" t="s">
        <v>1389</v>
      </c>
      <c r="I1036">
        <v>0</v>
      </c>
      <c r="J1036">
        <v>0</v>
      </c>
      <c r="K1036" t="s">
        <v>2931</v>
      </c>
    </row>
    <row r="1037" spans="1:11" x14ac:dyDescent="0.2">
      <c r="A1037" t="str">
        <f>HYPERLINK("https://www.tiwall.com//p/harajkhanegi","حراج خانگی")</f>
        <v>حراج خانگی</v>
      </c>
      <c r="B1037">
        <v>40</v>
      </c>
      <c r="C1037" t="s">
        <v>1092</v>
      </c>
      <c r="D1037" t="s">
        <v>65</v>
      </c>
      <c r="E1037" t="s">
        <v>194</v>
      </c>
      <c r="F1037" t="s">
        <v>162</v>
      </c>
      <c r="G1037" t="s">
        <v>2932</v>
      </c>
      <c r="H1037" t="s">
        <v>2933</v>
      </c>
      <c r="I1037">
        <v>0</v>
      </c>
      <c r="J1037">
        <v>0</v>
      </c>
      <c r="K1037" t="s">
        <v>2934</v>
      </c>
    </row>
    <row r="1038" spans="1:11" x14ac:dyDescent="0.2">
      <c r="A1038" t="str">
        <f>HYPERLINK("https://www.tiwall.com//p/toopetala","توپ طلا")</f>
        <v>توپ طلا</v>
      </c>
      <c r="B1038">
        <v>25</v>
      </c>
      <c r="C1038" t="s">
        <v>129</v>
      </c>
      <c r="D1038" t="s">
        <v>87</v>
      </c>
      <c r="E1038" t="s">
        <v>235</v>
      </c>
      <c r="F1038" t="s">
        <v>1368</v>
      </c>
      <c r="G1038" t="s">
        <v>1949</v>
      </c>
      <c r="H1038" t="s">
        <v>1949</v>
      </c>
      <c r="I1038">
        <v>0</v>
      </c>
      <c r="J1038">
        <v>0</v>
      </c>
      <c r="K1038" t="s">
        <v>2935</v>
      </c>
    </row>
    <row r="1039" spans="1:11" x14ac:dyDescent="0.2">
      <c r="A1039" t="str">
        <f>HYPERLINK("https://www.tiwall.com//p/divantheatral7","دیوان تئاترال")</f>
        <v>دیوان تئاترال</v>
      </c>
      <c r="B1039">
        <v>35</v>
      </c>
      <c r="C1039" t="s">
        <v>129</v>
      </c>
      <c r="D1039" t="s">
        <v>146</v>
      </c>
      <c r="E1039" t="s">
        <v>13</v>
      </c>
      <c r="F1039" t="s">
        <v>2936</v>
      </c>
      <c r="G1039" t="s">
        <v>2901</v>
      </c>
      <c r="H1039" t="s">
        <v>1695</v>
      </c>
      <c r="I1039">
        <v>0</v>
      </c>
      <c r="J1039">
        <v>0</v>
      </c>
      <c r="K1039" t="s">
        <v>2937</v>
      </c>
    </row>
    <row r="1040" spans="1:11" x14ac:dyDescent="0.2">
      <c r="A1040" t="str">
        <f>HYPERLINK("https://www.tiwall.com//p/mokashefehshabyalda2","مکاشفه شب یلدا")</f>
        <v>مکاشفه شب یلدا</v>
      </c>
      <c r="B1040">
        <v>60</v>
      </c>
      <c r="C1040" t="s">
        <v>501</v>
      </c>
      <c r="D1040" t="s">
        <v>280</v>
      </c>
      <c r="E1040" t="s">
        <v>19</v>
      </c>
      <c r="F1040" t="s">
        <v>350</v>
      </c>
      <c r="G1040" t="s">
        <v>2288</v>
      </c>
      <c r="H1040" t="s">
        <v>2288</v>
      </c>
      <c r="I1040">
        <v>0</v>
      </c>
      <c r="J1040">
        <v>0</v>
      </c>
      <c r="K1040" t="s">
        <v>2938</v>
      </c>
    </row>
    <row r="1041" spans="1:11" x14ac:dyDescent="0.2">
      <c r="A1041" t="str">
        <f>HYPERLINK("https://www.tiwall.com//p/khaneh.siah2","خانه سیاه است")</f>
        <v>خانه سیاه است</v>
      </c>
      <c r="B1041">
        <v>80</v>
      </c>
      <c r="C1041" t="s">
        <v>410</v>
      </c>
      <c r="D1041" t="s">
        <v>12</v>
      </c>
      <c r="E1041" t="s">
        <v>13</v>
      </c>
      <c r="F1041" t="s">
        <v>2939</v>
      </c>
      <c r="G1041" t="s">
        <v>1470</v>
      </c>
      <c r="H1041" t="s">
        <v>1470</v>
      </c>
      <c r="I1041">
        <v>3.9</v>
      </c>
      <c r="J1041">
        <v>11</v>
      </c>
      <c r="K1041" t="s">
        <v>2940</v>
      </c>
    </row>
    <row r="1042" spans="1:11" x14ac:dyDescent="0.2">
      <c r="A1042" t="str">
        <f>HYPERLINK("https://www.tiwall.com//p/mephisto3","مفیستو برای همیشه")</f>
        <v>مفیستو برای همیشه</v>
      </c>
      <c r="B1042">
        <v>70</v>
      </c>
      <c r="C1042" t="s">
        <v>501</v>
      </c>
      <c r="D1042" t="s">
        <v>256</v>
      </c>
      <c r="E1042" t="s">
        <v>1063</v>
      </c>
      <c r="F1042" t="s">
        <v>2315</v>
      </c>
      <c r="G1042" t="s">
        <v>2941</v>
      </c>
      <c r="H1042" t="s">
        <v>2942</v>
      </c>
      <c r="I1042">
        <v>3.7</v>
      </c>
      <c r="J1042">
        <v>29</v>
      </c>
      <c r="K1042" t="s">
        <v>2943</v>
      </c>
    </row>
    <row r="1043" spans="1:11" x14ac:dyDescent="0.2">
      <c r="A1043" t="str">
        <f>HYPERLINK("https://www.tiwall.com//p/hashiat","حاشیات")</f>
        <v>حاشیات</v>
      </c>
      <c r="B1043">
        <v>50</v>
      </c>
      <c r="C1043" t="s">
        <v>51</v>
      </c>
      <c r="D1043" t="s">
        <v>146</v>
      </c>
      <c r="E1043" t="s">
        <v>303</v>
      </c>
      <c r="F1043" t="s">
        <v>2944</v>
      </c>
      <c r="G1043" t="s">
        <v>2945</v>
      </c>
      <c r="H1043" t="s">
        <v>2945</v>
      </c>
      <c r="I1043">
        <v>0</v>
      </c>
      <c r="J1043">
        <v>0</v>
      </c>
      <c r="K1043" t="s">
        <v>2946</v>
      </c>
    </row>
    <row r="1044" spans="1:11" x14ac:dyDescent="0.2">
      <c r="A1044" t="str">
        <f>HYPERLINK("https://www.tiwall.com//p/khanom2","خانوم")</f>
        <v>خانوم</v>
      </c>
      <c r="B1044">
        <v>100</v>
      </c>
      <c r="C1044" t="s">
        <v>180</v>
      </c>
      <c r="D1044" t="s">
        <v>65</v>
      </c>
      <c r="E1044" t="s">
        <v>88</v>
      </c>
      <c r="F1044" t="s">
        <v>555</v>
      </c>
      <c r="G1044" t="s">
        <v>2947</v>
      </c>
      <c r="H1044" t="s">
        <v>2947</v>
      </c>
      <c r="I1044">
        <v>4</v>
      </c>
      <c r="J1044">
        <v>37</v>
      </c>
      <c r="K1044" t="s">
        <v>2948</v>
      </c>
    </row>
    <row r="1045" spans="1:11" x14ac:dyDescent="0.2">
      <c r="A1045" t="str">
        <f>HYPERLINK("https://www.tiwall.com//p/hichi3","هیچی")</f>
        <v>هیچی</v>
      </c>
      <c r="B1045">
        <v>45</v>
      </c>
      <c r="C1045" t="s">
        <v>199</v>
      </c>
      <c r="D1045" t="s">
        <v>146</v>
      </c>
      <c r="E1045" t="s">
        <v>138</v>
      </c>
      <c r="F1045" t="s">
        <v>2949</v>
      </c>
      <c r="G1045" t="s">
        <v>2950</v>
      </c>
      <c r="H1045" t="s">
        <v>164</v>
      </c>
      <c r="I1045">
        <v>0</v>
      </c>
      <c r="J1045">
        <v>0</v>
      </c>
      <c r="K1045" t="s">
        <v>2951</v>
      </c>
    </row>
    <row r="1046" spans="1:11" x14ac:dyDescent="0.2">
      <c r="A1046" t="str">
        <f>HYPERLINK("https://www.tiwall.com//p/mehmansaraye.dodonya21","مهمانسرای دو دنیا")</f>
        <v>مهمانسرای دو دنیا</v>
      </c>
      <c r="B1046">
        <v>60</v>
      </c>
      <c r="C1046" t="s">
        <v>121</v>
      </c>
      <c r="D1046" t="s">
        <v>87</v>
      </c>
      <c r="E1046" t="s">
        <v>19</v>
      </c>
      <c r="F1046" t="s">
        <v>971</v>
      </c>
      <c r="G1046" t="s">
        <v>446</v>
      </c>
      <c r="H1046" t="s">
        <v>438</v>
      </c>
      <c r="I1046">
        <v>4.4000000000000004</v>
      </c>
      <c r="J1046">
        <v>8</v>
      </c>
      <c r="K1046" t="s">
        <v>2952</v>
      </c>
    </row>
    <row r="1047" spans="1:11" x14ac:dyDescent="0.2">
      <c r="A1047" t="str">
        <f>HYPERLINK("https://www.tiwall.com//p/monster2","مانستر")</f>
        <v>مانستر</v>
      </c>
      <c r="B1047">
        <v>70</v>
      </c>
      <c r="C1047" t="s">
        <v>24</v>
      </c>
      <c r="D1047" t="s">
        <v>299</v>
      </c>
      <c r="E1047" t="s">
        <v>88</v>
      </c>
      <c r="F1047" t="s">
        <v>1883</v>
      </c>
      <c r="G1047" t="s">
        <v>2953</v>
      </c>
      <c r="H1047" t="s">
        <v>2954</v>
      </c>
      <c r="I1047">
        <v>3.9</v>
      </c>
      <c r="J1047">
        <v>91</v>
      </c>
      <c r="K1047" t="s">
        <v>2955</v>
      </c>
    </row>
    <row r="1048" spans="1:11" x14ac:dyDescent="0.2">
      <c r="A1048" t="str">
        <f>HYPERLINK("https://www.tiwall.com//p/hale.hameyema2","حال همه ما خوب است")</f>
        <v>حال همه ما خوب است</v>
      </c>
      <c r="B1048">
        <v>30</v>
      </c>
      <c r="C1048" t="s">
        <v>825</v>
      </c>
      <c r="D1048" t="s">
        <v>45</v>
      </c>
      <c r="E1048" t="s">
        <v>235</v>
      </c>
      <c r="F1048" t="s">
        <v>2956</v>
      </c>
      <c r="G1048" t="s">
        <v>2957</v>
      </c>
      <c r="H1048" t="s">
        <v>428</v>
      </c>
      <c r="I1048">
        <v>0</v>
      </c>
      <c r="J1048">
        <v>0</v>
      </c>
      <c r="K1048" t="s">
        <v>2958</v>
      </c>
    </row>
    <row r="1049" spans="1:11" x14ac:dyDescent="0.2">
      <c r="A1049" t="str">
        <f>HYPERLINK("https://www.tiwall.com//p/pelican2","پلیکان")</f>
        <v>پلیکان</v>
      </c>
      <c r="B1049">
        <v>30</v>
      </c>
      <c r="C1049" t="s">
        <v>64</v>
      </c>
      <c r="D1049" t="s">
        <v>12</v>
      </c>
      <c r="E1049" t="s">
        <v>13</v>
      </c>
      <c r="F1049" t="s">
        <v>691</v>
      </c>
      <c r="G1049" t="s">
        <v>2959</v>
      </c>
      <c r="H1049" t="s">
        <v>2270</v>
      </c>
      <c r="I1049">
        <v>0</v>
      </c>
      <c r="J1049">
        <v>0</v>
      </c>
      <c r="K1049" t="s">
        <v>2960</v>
      </c>
    </row>
    <row r="1050" spans="1:11" x14ac:dyDescent="0.2">
      <c r="A1050" t="str">
        <f>HYPERLINK("https://www.tiwall.com//p/iranian3","ایرانیان")</f>
        <v>ایرانیان</v>
      </c>
      <c r="B1050">
        <v>80</v>
      </c>
      <c r="C1050" t="s">
        <v>1615</v>
      </c>
      <c r="D1050" t="s">
        <v>217</v>
      </c>
      <c r="E1050" t="s">
        <v>303</v>
      </c>
      <c r="F1050" t="s">
        <v>2961</v>
      </c>
      <c r="G1050" t="s">
        <v>2962</v>
      </c>
      <c r="H1050" t="s">
        <v>2962</v>
      </c>
      <c r="I1050">
        <v>0</v>
      </c>
      <c r="J1050">
        <v>0</v>
      </c>
      <c r="K1050" t="s">
        <v>2963</v>
      </c>
    </row>
    <row r="1051" spans="1:11" x14ac:dyDescent="0.2">
      <c r="A1051" t="str">
        <f>HYPERLINK("https://www.tiwall.com//p/tazevared","تازه وارد")</f>
        <v>تازه وارد</v>
      </c>
      <c r="B1051">
        <v>70</v>
      </c>
      <c r="C1051" t="s">
        <v>501</v>
      </c>
      <c r="D1051" t="s">
        <v>12</v>
      </c>
      <c r="E1051" t="s">
        <v>46</v>
      </c>
      <c r="F1051" t="s">
        <v>188</v>
      </c>
      <c r="G1051" t="s">
        <v>2304</v>
      </c>
      <c r="H1051" t="s">
        <v>2964</v>
      </c>
      <c r="I1051">
        <v>4.4000000000000004</v>
      </c>
      <c r="J1051">
        <v>5</v>
      </c>
      <c r="K1051" t="s">
        <v>2965</v>
      </c>
    </row>
    <row r="1052" spans="1:11" x14ac:dyDescent="0.2">
      <c r="A1052" t="str">
        <f>HYPERLINK("https://www.tiwall.com//p/faramooshan","فراموشان")</f>
        <v>فراموشان</v>
      </c>
      <c r="B1052">
        <v>90</v>
      </c>
      <c r="C1052" t="s">
        <v>151</v>
      </c>
      <c r="D1052" t="s">
        <v>38</v>
      </c>
      <c r="E1052" t="s">
        <v>19</v>
      </c>
      <c r="F1052" t="s">
        <v>373</v>
      </c>
      <c r="G1052" t="s">
        <v>2138</v>
      </c>
      <c r="H1052" t="s">
        <v>2138</v>
      </c>
      <c r="I1052">
        <v>4.3</v>
      </c>
      <c r="J1052">
        <v>29</v>
      </c>
      <c r="K1052" t="s">
        <v>2966</v>
      </c>
    </row>
    <row r="1053" spans="1:11" x14ac:dyDescent="0.2">
      <c r="A1053" t="str">
        <f>HYPERLINK("https://www.tiwall.com//p/bidari.khoun4","بیداری به وقت خون")</f>
        <v>بیداری به وقت خون</v>
      </c>
      <c r="B1053">
        <v>70</v>
      </c>
      <c r="C1053" t="s">
        <v>125</v>
      </c>
      <c r="D1053" t="s">
        <v>12</v>
      </c>
      <c r="E1053" t="s">
        <v>13</v>
      </c>
      <c r="F1053" t="s">
        <v>2967</v>
      </c>
      <c r="G1053" t="s">
        <v>2968</v>
      </c>
      <c r="H1053" t="s">
        <v>2968</v>
      </c>
      <c r="I1053">
        <v>0</v>
      </c>
      <c r="J1053">
        <v>0</v>
      </c>
      <c r="K1053" t="s">
        <v>2969</v>
      </c>
    </row>
    <row r="1054" spans="1:11" x14ac:dyDescent="0.2">
      <c r="A1054" t="str">
        <f>HYPERLINK("https://www.tiwall.com//p/talafat4","تلفات")</f>
        <v>تلفات</v>
      </c>
      <c r="B1054">
        <v>100</v>
      </c>
      <c r="C1054" t="s">
        <v>37</v>
      </c>
      <c r="D1054" t="s">
        <v>256</v>
      </c>
      <c r="E1054" t="s">
        <v>194</v>
      </c>
      <c r="F1054" t="s">
        <v>2659</v>
      </c>
      <c r="G1054" t="s">
        <v>520</v>
      </c>
      <c r="H1054" t="s">
        <v>520</v>
      </c>
      <c r="I1054">
        <v>3.6</v>
      </c>
      <c r="J1054">
        <v>18</v>
      </c>
      <c r="K1054" t="s">
        <v>2970</v>
      </c>
    </row>
    <row r="1055" spans="1:11" x14ac:dyDescent="0.2">
      <c r="A1055" t="str">
        <f>HYPERLINK("https://www.tiwall.com//p/janevar","جانور")</f>
        <v>جانور</v>
      </c>
      <c r="B1055">
        <v>50</v>
      </c>
      <c r="C1055" t="s">
        <v>112</v>
      </c>
      <c r="D1055" t="s">
        <v>25</v>
      </c>
      <c r="E1055" t="s">
        <v>194</v>
      </c>
      <c r="F1055" t="s">
        <v>1075</v>
      </c>
      <c r="G1055" t="s">
        <v>244</v>
      </c>
      <c r="H1055" t="s">
        <v>2971</v>
      </c>
      <c r="I1055">
        <v>3.2</v>
      </c>
      <c r="J1055">
        <v>45</v>
      </c>
      <c r="K1055" t="s">
        <v>2972</v>
      </c>
    </row>
    <row r="1056" spans="1:11" x14ac:dyDescent="0.2">
      <c r="A1056" t="str">
        <f>HYPERLINK("https://www.tiwall.com//p/teras4","تراس")</f>
        <v>تراس</v>
      </c>
      <c r="B1056">
        <v>60</v>
      </c>
      <c r="C1056" t="s">
        <v>204</v>
      </c>
      <c r="D1056" t="s">
        <v>65</v>
      </c>
      <c r="E1056" t="s">
        <v>26</v>
      </c>
      <c r="F1056" t="s">
        <v>1306</v>
      </c>
      <c r="G1056" t="s">
        <v>2973</v>
      </c>
      <c r="H1056" t="s">
        <v>2974</v>
      </c>
      <c r="I1056">
        <v>3.6</v>
      </c>
      <c r="J1056">
        <v>11</v>
      </c>
      <c r="K1056" t="s">
        <v>2975</v>
      </c>
    </row>
    <row r="1057" spans="1:11" x14ac:dyDescent="0.2">
      <c r="A1057" t="str">
        <f>HYPERLINK("https://www.tiwall.com//p/kouchehmokhtar2","کوچه مختار بود و ساسان بود و سیمین")</f>
        <v>کوچه مختار بود و ساسان بود و سیمین</v>
      </c>
      <c r="B1057">
        <v>30</v>
      </c>
      <c r="C1057" t="s">
        <v>514</v>
      </c>
      <c r="D1057" t="s">
        <v>45</v>
      </c>
      <c r="E1057" t="s">
        <v>13</v>
      </c>
      <c r="F1057" t="s">
        <v>427</v>
      </c>
      <c r="G1057" t="s">
        <v>2976</v>
      </c>
      <c r="H1057" t="s">
        <v>330</v>
      </c>
      <c r="I1057">
        <v>0</v>
      </c>
      <c r="J1057">
        <v>0</v>
      </c>
      <c r="K1057" t="s">
        <v>2976</v>
      </c>
    </row>
    <row r="1058" spans="1:11" x14ac:dyDescent="0.2">
      <c r="A1058" t="str">
        <f>HYPERLINK("https://www.tiwall.com//p/leonardo2","لئوناردو داوودنژاد")</f>
        <v>لئوناردو داوودنژاد</v>
      </c>
      <c r="B1058">
        <v>70</v>
      </c>
      <c r="C1058" t="s">
        <v>180</v>
      </c>
      <c r="D1058" t="s">
        <v>12</v>
      </c>
      <c r="E1058" t="s">
        <v>194</v>
      </c>
      <c r="F1058" t="s">
        <v>2977</v>
      </c>
      <c r="G1058" t="s">
        <v>2060</v>
      </c>
      <c r="H1058" t="s">
        <v>2978</v>
      </c>
      <c r="I1058">
        <v>0</v>
      </c>
      <c r="J1058">
        <v>0</v>
      </c>
      <c r="K1058" t="s">
        <v>2979</v>
      </c>
    </row>
    <row r="1059" spans="1:11" x14ac:dyDescent="0.2">
      <c r="A1059" t="str">
        <f>HYPERLINK("https://www.tiwall.com//p/nimfaseleh","نیم فاصله")</f>
        <v>نیم فاصله</v>
      </c>
      <c r="B1059">
        <v>30</v>
      </c>
      <c r="C1059" t="s">
        <v>180</v>
      </c>
      <c r="D1059" t="s">
        <v>217</v>
      </c>
      <c r="E1059" t="s">
        <v>138</v>
      </c>
      <c r="F1059" t="s">
        <v>961</v>
      </c>
      <c r="G1059" t="s">
        <v>2980</v>
      </c>
      <c r="H1059" t="s">
        <v>2981</v>
      </c>
      <c r="I1059">
        <v>3.6</v>
      </c>
      <c r="J1059">
        <v>32</v>
      </c>
      <c r="K1059" t="s">
        <v>2982</v>
      </c>
    </row>
    <row r="1060" spans="1:11" x14ac:dyDescent="0.2">
      <c r="A1060" t="str">
        <f>HYPERLINK("https://www.tiwall.com//p/virounehabad2","ویرونه آباد")</f>
        <v>ویرونه آباد</v>
      </c>
      <c r="B1060">
        <v>50</v>
      </c>
      <c r="C1060" t="s">
        <v>2983</v>
      </c>
      <c r="D1060" t="s">
        <v>217</v>
      </c>
      <c r="E1060" t="s">
        <v>26</v>
      </c>
      <c r="F1060" t="s">
        <v>273</v>
      </c>
      <c r="G1060" t="s">
        <v>2984</v>
      </c>
      <c r="H1060" t="s">
        <v>2985</v>
      </c>
      <c r="I1060">
        <v>0</v>
      </c>
      <c r="J1060">
        <v>0</v>
      </c>
      <c r="K1060" t="s">
        <v>2986</v>
      </c>
    </row>
    <row r="1061" spans="1:11" x14ac:dyDescent="0.2">
      <c r="A1061" t="str">
        <f>HYPERLINK("https://www.tiwall.com//p/padegan","پادگان متروک")</f>
        <v>پادگان متروک</v>
      </c>
      <c r="B1061">
        <v>110</v>
      </c>
      <c r="C1061" t="s">
        <v>24</v>
      </c>
      <c r="D1061" t="s">
        <v>12</v>
      </c>
      <c r="E1061" t="s">
        <v>13</v>
      </c>
      <c r="F1061" t="s">
        <v>592</v>
      </c>
      <c r="G1061" t="s">
        <v>2987</v>
      </c>
      <c r="H1061" t="s">
        <v>2987</v>
      </c>
      <c r="I1061">
        <v>3.4</v>
      </c>
      <c r="J1061">
        <v>16</v>
      </c>
      <c r="K1061" t="s">
        <v>2988</v>
      </c>
    </row>
    <row r="1062" spans="1:11" x14ac:dyDescent="0.2">
      <c r="A1062" t="str">
        <f>HYPERLINK("https://www.tiwall.com//p/panchari4","پنچری")</f>
        <v>پنچری</v>
      </c>
      <c r="B1062">
        <v>120</v>
      </c>
      <c r="C1062" t="s">
        <v>230</v>
      </c>
      <c r="D1062" t="s">
        <v>25</v>
      </c>
      <c r="E1062" t="s">
        <v>194</v>
      </c>
      <c r="F1062" t="s">
        <v>630</v>
      </c>
      <c r="G1062" t="s">
        <v>2989</v>
      </c>
      <c r="H1062" t="s">
        <v>2990</v>
      </c>
      <c r="I1062">
        <v>3.5</v>
      </c>
      <c r="J1062">
        <v>21</v>
      </c>
      <c r="K1062" t="s">
        <v>2991</v>
      </c>
    </row>
    <row r="1063" spans="1:11" x14ac:dyDescent="0.2">
      <c r="A1063" t="str">
        <f>HYPERLINK("https://www.tiwall.com//p/ensan.khashmgin","دوازده انسان خشمگین")</f>
        <v>دوازده انسان خشمگین</v>
      </c>
      <c r="B1063">
        <v>44</v>
      </c>
      <c r="C1063" t="s">
        <v>44</v>
      </c>
      <c r="D1063" t="s">
        <v>12</v>
      </c>
      <c r="E1063" t="s">
        <v>26</v>
      </c>
      <c r="F1063" t="s">
        <v>2992</v>
      </c>
      <c r="G1063" t="s">
        <v>781</v>
      </c>
      <c r="H1063" t="s">
        <v>781</v>
      </c>
      <c r="I1063">
        <v>3.9</v>
      </c>
      <c r="J1063">
        <v>23</v>
      </c>
      <c r="K1063" t="s">
        <v>2993</v>
      </c>
    </row>
    <row r="1064" spans="1:11" x14ac:dyDescent="0.2">
      <c r="A1064" t="str">
        <f>HYPERLINK("https://www.tiwall.com//p/rolet.rousi","رولت روسی")</f>
        <v>رولت روسی</v>
      </c>
      <c r="B1064">
        <v>40</v>
      </c>
      <c r="C1064" t="s">
        <v>2994</v>
      </c>
      <c r="D1064" t="s">
        <v>45</v>
      </c>
      <c r="E1064" t="s">
        <v>13</v>
      </c>
      <c r="F1064" t="s">
        <v>57</v>
      </c>
      <c r="G1064" t="s">
        <v>2995</v>
      </c>
      <c r="H1064" t="s">
        <v>2996</v>
      </c>
      <c r="I1064">
        <v>0</v>
      </c>
      <c r="J1064">
        <v>0</v>
      </c>
      <c r="K1064" t="s">
        <v>2997</v>
      </c>
    </row>
    <row r="1065" spans="1:11" x14ac:dyDescent="0.2">
      <c r="A1065" t="str">
        <f>HYPERLINK("https://www.tiwall.com//p/hiss","هیس آن‌ها اینجا هستند")</f>
        <v>هیس آن‌ها اینجا هستند</v>
      </c>
      <c r="B1065">
        <v>50</v>
      </c>
      <c r="C1065" t="s">
        <v>121</v>
      </c>
      <c r="D1065" t="s">
        <v>25</v>
      </c>
      <c r="E1065" t="s">
        <v>71</v>
      </c>
      <c r="F1065" t="s">
        <v>1108</v>
      </c>
      <c r="G1065" t="s">
        <v>2998</v>
      </c>
      <c r="H1065" t="s">
        <v>875</v>
      </c>
      <c r="I1065">
        <v>0</v>
      </c>
      <c r="J1065">
        <v>0</v>
      </c>
      <c r="K1065" t="s">
        <v>2999</v>
      </c>
    </row>
    <row r="1066" spans="1:11" x14ac:dyDescent="0.2">
      <c r="A1066" t="str">
        <f>HYPERLINK("https://www.tiwall.com//p/tempest2","توفان")</f>
        <v>توفان</v>
      </c>
      <c r="B1066">
        <v>70</v>
      </c>
      <c r="C1066" t="s">
        <v>410</v>
      </c>
      <c r="D1066" t="s">
        <v>65</v>
      </c>
      <c r="E1066" t="s">
        <v>39</v>
      </c>
      <c r="F1066" t="s">
        <v>3000</v>
      </c>
      <c r="G1066" t="s">
        <v>41</v>
      </c>
      <c r="H1066" t="s">
        <v>3001</v>
      </c>
      <c r="I1066">
        <v>3.6</v>
      </c>
      <c r="J1066">
        <v>34</v>
      </c>
      <c r="K1066" t="s">
        <v>3002</v>
      </c>
    </row>
    <row r="1067" spans="1:11" x14ac:dyDescent="0.2">
      <c r="A1067" t="str">
        <f>HYPERLINK("https://www.tiwall.com//p/mordeganebikafnodafn5","مردگان بی کفن و دفن")</f>
        <v>مردگان بی کفن و دفن</v>
      </c>
      <c r="B1067">
        <v>110</v>
      </c>
      <c r="C1067" t="s">
        <v>86</v>
      </c>
      <c r="D1067" t="s">
        <v>45</v>
      </c>
      <c r="E1067" t="s">
        <v>71</v>
      </c>
      <c r="F1067" t="s">
        <v>555</v>
      </c>
      <c r="G1067" t="s">
        <v>3003</v>
      </c>
      <c r="H1067" t="s">
        <v>1406</v>
      </c>
      <c r="I1067">
        <v>4.0999999999999996</v>
      </c>
      <c r="J1067">
        <v>63</v>
      </c>
      <c r="K1067" t="s">
        <v>3004</v>
      </c>
    </row>
    <row r="1068" spans="1:11" x14ac:dyDescent="0.2">
      <c r="A1068" t="str">
        <f>HYPERLINK("https://www.tiwall.com//p/hari.khoun","هاری یا سرگذشت مردی که به هنگامه تولد هر دو دستش پر از خون بود")</f>
        <v>هاری یا سرگذشت مردی که به هنگامه تولد هر دو دستش پر از خون بود</v>
      </c>
      <c r="B1068">
        <v>70</v>
      </c>
      <c r="C1068" t="s">
        <v>410</v>
      </c>
      <c r="D1068" t="s">
        <v>25</v>
      </c>
      <c r="E1068" t="s">
        <v>328</v>
      </c>
      <c r="F1068" t="s">
        <v>321</v>
      </c>
      <c r="G1068" t="s">
        <v>2828</v>
      </c>
      <c r="H1068" t="s">
        <v>2828</v>
      </c>
      <c r="I1068">
        <v>4.0999999999999996</v>
      </c>
      <c r="J1068">
        <v>74</v>
      </c>
      <c r="K1068" t="s">
        <v>3005</v>
      </c>
    </row>
    <row r="1069" spans="1:11" x14ac:dyDescent="0.2">
      <c r="A1069" t="str">
        <f>HYPERLINK("https://www.tiwall.com//p/cafeasheghi","کافه عاشقی")</f>
        <v>کافه عاشقی</v>
      </c>
      <c r="B1069">
        <v>120</v>
      </c>
      <c r="C1069" t="s">
        <v>1446</v>
      </c>
      <c r="D1069" t="s">
        <v>65</v>
      </c>
      <c r="E1069" t="s">
        <v>39</v>
      </c>
      <c r="F1069" t="s">
        <v>822</v>
      </c>
      <c r="G1069" t="s">
        <v>1576</v>
      </c>
      <c r="H1069" t="s">
        <v>1576</v>
      </c>
      <c r="I1069">
        <v>3</v>
      </c>
      <c r="J1069">
        <v>7</v>
      </c>
      <c r="K1069" t="s">
        <v>3006</v>
      </c>
    </row>
    <row r="1070" spans="1:11" x14ac:dyDescent="0.2">
      <c r="A1070" t="str">
        <f>HYPERLINK("https://www.tiwall.com//p/pariafsaneh2","افسانه پری دریایی")</f>
        <v>افسانه پری دریایی</v>
      </c>
      <c r="B1070">
        <v>20</v>
      </c>
      <c r="C1070" t="s">
        <v>2127</v>
      </c>
      <c r="D1070" t="s">
        <v>217</v>
      </c>
      <c r="E1070" t="s">
        <v>13</v>
      </c>
      <c r="F1070" t="s">
        <v>1344</v>
      </c>
      <c r="G1070" t="s">
        <v>2681</v>
      </c>
      <c r="H1070" t="s">
        <v>2681</v>
      </c>
      <c r="I1070">
        <v>0</v>
      </c>
      <c r="J1070">
        <v>0</v>
      </c>
      <c r="K1070" t="s">
        <v>2682</v>
      </c>
    </row>
    <row r="1071" spans="1:11" x14ac:dyDescent="0.2">
      <c r="A1071" t="str">
        <f>HYPERLINK("https://www.tiwall.com//p/solha","صُلَحا")</f>
        <v>صُلَحا</v>
      </c>
      <c r="B1071">
        <v>40</v>
      </c>
      <c r="C1071" t="s">
        <v>86</v>
      </c>
      <c r="D1071" t="s">
        <v>285</v>
      </c>
      <c r="E1071" t="s">
        <v>39</v>
      </c>
      <c r="F1071" t="s">
        <v>72</v>
      </c>
      <c r="G1071" t="s">
        <v>1149</v>
      </c>
      <c r="H1071" t="s">
        <v>758</v>
      </c>
      <c r="I1071">
        <v>0</v>
      </c>
      <c r="J1071">
        <v>0</v>
      </c>
      <c r="K1071" t="s">
        <v>3007</v>
      </c>
    </row>
    <row r="1072" spans="1:11" x14ac:dyDescent="0.2">
      <c r="A1072" t="str">
        <f>HYPERLINK("https://www.tiwall.com//p/biography.yekbazi","بیوگرافی: یک بازی")</f>
        <v>بیوگرافی: یک بازی</v>
      </c>
      <c r="B1072">
        <v>120</v>
      </c>
      <c r="C1072" t="s">
        <v>204</v>
      </c>
      <c r="D1072" t="s">
        <v>65</v>
      </c>
      <c r="E1072" t="s">
        <v>208</v>
      </c>
      <c r="F1072" t="s">
        <v>650</v>
      </c>
      <c r="G1072" t="s">
        <v>3008</v>
      </c>
      <c r="H1072" t="s">
        <v>496</v>
      </c>
      <c r="I1072">
        <v>4</v>
      </c>
      <c r="J1072">
        <v>91</v>
      </c>
      <c r="K1072" t="s">
        <v>3009</v>
      </c>
    </row>
    <row r="1073" spans="1:11" x14ac:dyDescent="0.2">
      <c r="A1073" t="str">
        <f>HYPERLINK("https://www.tiwall.com//p/eshghemanbehdad3","عشق من، حامد بهداد")</f>
        <v>عشق من، حامد بهداد</v>
      </c>
      <c r="B1073">
        <v>40</v>
      </c>
      <c r="C1073" t="s">
        <v>108</v>
      </c>
      <c r="D1073" t="s">
        <v>12</v>
      </c>
      <c r="E1073" t="s">
        <v>13</v>
      </c>
      <c r="F1073" t="s">
        <v>732</v>
      </c>
      <c r="G1073" t="s">
        <v>2448</v>
      </c>
      <c r="H1073" t="s">
        <v>3010</v>
      </c>
      <c r="I1073">
        <v>0</v>
      </c>
      <c r="J1073">
        <v>0</v>
      </c>
      <c r="K1073" t="s">
        <v>3011</v>
      </c>
    </row>
    <row r="1074" spans="1:11" x14ac:dyDescent="0.2">
      <c r="A1074" t="str">
        <f>HYPERLINK("https://www.tiwall.com//p/chekhovsad2","چخوف ساد (جلد دوم)")</f>
        <v>چخوف ساد (جلد دوم)</v>
      </c>
      <c r="B1074">
        <v>60</v>
      </c>
      <c r="C1074" t="s">
        <v>349</v>
      </c>
      <c r="D1074" t="s">
        <v>470</v>
      </c>
      <c r="E1074" t="s">
        <v>19</v>
      </c>
      <c r="F1074" t="s">
        <v>350</v>
      </c>
      <c r="G1074" t="s">
        <v>351</v>
      </c>
      <c r="H1074" t="s">
        <v>352</v>
      </c>
      <c r="I1074">
        <v>4.0999999999999996</v>
      </c>
      <c r="J1074">
        <v>37</v>
      </c>
      <c r="K1074" t="s">
        <v>3012</v>
      </c>
    </row>
    <row r="1075" spans="1:11" x14ac:dyDescent="0.2">
      <c r="A1075" t="str">
        <f>HYPERLINK("https://www.tiwall.com//p/macbeth11","مکبث")</f>
        <v>مکبث</v>
      </c>
      <c r="B1075">
        <v>50</v>
      </c>
      <c r="C1075" t="s">
        <v>97</v>
      </c>
      <c r="D1075" t="s">
        <v>32</v>
      </c>
      <c r="E1075" t="s">
        <v>303</v>
      </c>
      <c r="F1075" t="s">
        <v>480</v>
      </c>
      <c r="G1075" t="s">
        <v>3013</v>
      </c>
      <c r="H1075" t="s">
        <v>1034</v>
      </c>
      <c r="I1075">
        <v>0</v>
      </c>
      <c r="J1075">
        <v>0</v>
      </c>
      <c r="K1075" t="s">
        <v>3014</v>
      </c>
    </row>
    <row r="1076" spans="1:11" x14ac:dyDescent="0.2">
      <c r="A1076" t="str">
        <f>HYPERLINK("https://www.tiwall.com//p/pedar11","پدر")</f>
        <v>پدر</v>
      </c>
      <c r="B1076">
        <v>30</v>
      </c>
      <c r="C1076" t="s">
        <v>64</v>
      </c>
      <c r="D1076" t="s">
        <v>12</v>
      </c>
      <c r="E1076" t="s">
        <v>13</v>
      </c>
      <c r="F1076" t="s">
        <v>610</v>
      </c>
      <c r="G1076" t="s">
        <v>3015</v>
      </c>
      <c r="H1076" t="s">
        <v>2270</v>
      </c>
      <c r="I1076">
        <v>0</v>
      </c>
      <c r="J1076">
        <v>0</v>
      </c>
      <c r="K1076" t="s">
        <v>3016</v>
      </c>
    </row>
    <row r="1077" spans="1:11" x14ac:dyDescent="0.2">
      <c r="A1077" t="str">
        <f>HYPERLINK("https://www.tiwall.com//p/farayand3","فرایند")</f>
        <v>فرایند</v>
      </c>
      <c r="B1077">
        <v>70</v>
      </c>
      <c r="C1077" t="s">
        <v>31</v>
      </c>
      <c r="D1077" t="s">
        <v>217</v>
      </c>
      <c r="E1077" t="s">
        <v>26</v>
      </c>
      <c r="F1077" t="s">
        <v>345</v>
      </c>
      <c r="G1077" t="s">
        <v>3017</v>
      </c>
      <c r="H1077" t="s">
        <v>3018</v>
      </c>
      <c r="I1077">
        <v>3.8</v>
      </c>
      <c r="J1077">
        <v>127</v>
      </c>
      <c r="K1077" t="s">
        <v>3019</v>
      </c>
    </row>
    <row r="1078" spans="1:11" x14ac:dyDescent="0.2">
      <c r="A1078" t="str">
        <f>HYPERLINK("https://www.tiwall.com//p/ala.sobh","آلا صبح زود رفت")</f>
        <v>آلا صبح زود رفت</v>
      </c>
      <c r="B1078">
        <v>30</v>
      </c>
      <c r="C1078" t="s">
        <v>522</v>
      </c>
      <c r="D1078" t="s">
        <v>45</v>
      </c>
      <c r="E1078" t="s">
        <v>46</v>
      </c>
      <c r="F1078" t="s">
        <v>1007</v>
      </c>
      <c r="G1078" t="s">
        <v>3020</v>
      </c>
      <c r="H1078" t="s">
        <v>330</v>
      </c>
      <c r="I1078">
        <v>0</v>
      </c>
      <c r="J1078">
        <v>0</v>
      </c>
      <c r="K1078" t="s">
        <v>3021</v>
      </c>
    </row>
    <row r="1079" spans="1:11" x14ac:dyDescent="0.2">
      <c r="A1079" t="str">
        <f>HYPERLINK("https://www.tiwall.com//p/coriolanus3","کوریولانوس")</f>
        <v>کوریولانوس</v>
      </c>
      <c r="B1079">
        <v>100</v>
      </c>
      <c r="C1079" t="s">
        <v>1314</v>
      </c>
      <c r="D1079" t="s">
        <v>12</v>
      </c>
      <c r="E1079" t="s">
        <v>26</v>
      </c>
      <c r="F1079" t="s">
        <v>1688</v>
      </c>
      <c r="G1079" t="s">
        <v>41</v>
      </c>
      <c r="H1079" t="s">
        <v>3022</v>
      </c>
      <c r="I1079">
        <v>4</v>
      </c>
      <c r="J1079">
        <v>17</v>
      </c>
      <c r="K1079" t="s">
        <v>1690</v>
      </c>
    </row>
    <row r="1080" spans="1:11" x14ac:dyDescent="0.2">
      <c r="A1080" t="str">
        <f>HYPERLINK("https://www.tiwall.com//p/abzormatik","ابزورماتیک")</f>
        <v>ابزورماتیک</v>
      </c>
      <c r="B1080">
        <v>40</v>
      </c>
      <c r="C1080" t="s">
        <v>64</v>
      </c>
      <c r="D1080" t="s">
        <v>32</v>
      </c>
      <c r="E1080" t="s">
        <v>13</v>
      </c>
      <c r="F1080" t="s">
        <v>3023</v>
      </c>
      <c r="G1080" t="s">
        <v>3024</v>
      </c>
      <c r="H1080" t="s">
        <v>3024</v>
      </c>
      <c r="I1080">
        <v>0</v>
      </c>
      <c r="J1080">
        <v>0</v>
      </c>
      <c r="K1080" t="s">
        <v>3025</v>
      </c>
    </row>
    <row r="1081" spans="1:11" x14ac:dyDescent="0.2">
      <c r="A1081" t="str">
        <f>HYPERLINK("https://www.tiwall.com//p/betazf","بتاز، ف !")</f>
        <v>بتاز، ف !</v>
      </c>
      <c r="B1081">
        <v>35</v>
      </c>
      <c r="C1081" t="s">
        <v>383</v>
      </c>
      <c r="D1081" t="s">
        <v>87</v>
      </c>
      <c r="E1081" t="s">
        <v>415</v>
      </c>
      <c r="F1081" t="s">
        <v>826</v>
      </c>
      <c r="G1081" t="s">
        <v>1709</v>
      </c>
      <c r="H1081" t="s">
        <v>1709</v>
      </c>
      <c r="I1081">
        <v>0</v>
      </c>
      <c r="J1081">
        <v>0</v>
      </c>
      <c r="K1081" t="s">
        <v>3026</v>
      </c>
    </row>
    <row r="1082" spans="1:11" x14ac:dyDescent="0.2">
      <c r="A1082" t="str">
        <f>HYPERLINK("https://www.tiwall.com//p/del.larzeh2","دل لرزه")</f>
        <v>دل لرزه</v>
      </c>
      <c r="B1082">
        <v>60</v>
      </c>
      <c r="C1082" t="s">
        <v>112</v>
      </c>
      <c r="D1082" t="s">
        <v>12</v>
      </c>
      <c r="E1082" t="s">
        <v>26</v>
      </c>
      <c r="F1082" t="s">
        <v>3027</v>
      </c>
      <c r="G1082" t="s">
        <v>3028</v>
      </c>
      <c r="H1082" t="s">
        <v>1041</v>
      </c>
      <c r="I1082">
        <v>0</v>
      </c>
      <c r="J1082">
        <v>0</v>
      </c>
      <c r="K1082" t="s">
        <v>3029</v>
      </c>
    </row>
    <row r="1083" spans="1:11" x14ac:dyDescent="0.2">
      <c r="A1083" t="str">
        <f>HYPERLINK("https://www.tiwall.com//p/cafesayeh2","کافه سایه")</f>
        <v>کافه سایه</v>
      </c>
      <c r="B1083">
        <v>50</v>
      </c>
      <c r="C1083" t="s">
        <v>832</v>
      </c>
      <c r="D1083" t="s">
        <v>217</v>
      </c>
      <c r="E1083" t="s">
        <v>13</v>
      </c>
      <c r="F1083" t="s">
        <v>2659</v>
      </c>
      <c r="G1083" t="s">
        <v>3030</v>
      </c>
      <c r="H1083" t="s">
        <v>3031</v>
      </c>
      <c r="I1083">
        <v>0</v>
      </c>
      <c r="J1083">
        <v>0</v>
      </c>
      <c r="K1083" t="s">
        <v>3032</v>
      </c>
    </row>
    <row r="1084" spans="1:11" x14ac:dyDescent="0.2">
      <c r="A1084" t="str">
        <f>HYPERLINK("https://www.tiwall.com//p/khosoof3","خسوف")</f>
        <v>خسوف</v>
      </c>
      <c r="B1084">
        <v>70</v>
      </c>
      <c r="C1084" t="s">
        <v>1290</v>
      </c>
      <c r="D1084" t="s">
        <v>65</v>
      </c>
      <c r="E1084" t="s">
        <v>26</v>
      </c>
      <c r="F1084" t="s">
        <v>27</v>
      </c>
      <c r="G1084" t="s">
        <v>3033</v>
      </c>
      <c r="H1084" t="s">
        <v>1292</v>
      </c>
      <c r="I1084">
        <v>3.8</v>
      </c>
      <c r="J1084">
        <v>24</v>
      </c>
      <c r="K1084" t="s">
        <v>3034</v>
      </c>
    </row>
    <row r="1085" spans="1:11" x14ac:dyDescent="0.2">
      <c r="A1085" t="str">
        <f>HYPERLINK("https://www.tiwall.com//p/metranpazh8","قضیه‌ی مترانپاژ")</f>
        <v>قضیه‌ی مترانپاژ</v>
      </c>
      <c r="B1085">
        <v>50</v>
      </c>
      <c r="C1085" t="s">
        <v>224</v>
      </c>
      <c r="D1085" t="s">
        <v>12</v>
      </c>
      <c r="E1085" t="s">
        <v>71</v>
      </c>
      <c r="F1085" t="s">
        <v>536</v>
      </c>
      <c r="G1085" t="s">
        <v>3035</v>
      </c>
      <c r="H1085" t="s">
        <v>1488</v>
      </c>
      <c r="I1085">
        <v>3.8</v>
      </c>
      <c r="J1085">
        <v>18</v>
      </c>
      <c r="K1085" t="s">
        <v>3036</v>
      </c>
    </row>
    <row r="1086" spans="1:11" x14ac:dyDescent="0.2">
      <c r="A1086" t="str">
        <f>HYPERLINK("https://www.tiwall.com//p/eistadan.raftan","ایستادن به وقت رفتن")</f>
        <v>ایستادن به وقت رفتن</v>
      </c>
      <c r="B1086">
        <v>50</v>
      </c>
      <c r="C1086" t="s">
        <v>64</v>
      </c>
      <c r="D1086" t="s">
        <v>38</v>
      </c>
      <c r="E1086" t="s">
        <v>235</v>
      </c>
      <c r="F1086" t="s">
        <v>683</v>
      </c>
      <c r="G1086" t="s">
        <v>945</v>
      </c>
      <c r="H1086" t="s">
        <v>3037</v>
      </c>
      <c r="I1086">
        <v>3.8</v>
      </c>
      <c r="J1086">
        <v>5</v>
      </c>
      <c r="K1086" t="s">
        <v>3038</v>
      </c>
    </row>
    <row r="1087" spans="1:11" x14ac:dyDescent="0.2">
      <c r="A1087" t="str">
        <f>HYPERLINK("https://www.tiwall.com//p/pelle","پله")</f>
        <v>پله</v>
      </c>
      <c r="B1087">
        <v>30</v>
      </c>
      <c r="C1087" t="s">
        <v>129</v>
      </c>
      <c r="D1087" t="s">
        <v>45</v>
      </c>
      <c r="E1087" t="s">
        <v>235</v>
      </c>
      <c r="F1087" t="s">
        <v>938</v>
      </c>
      <c r="G1087" t="s">
        <v>3039</v>
      </c>
      <c r="H1087" t="s">
        <v>3039</v>
      </c>
      <c r="I1087">
        <v>0</v>
      </c>
      <c r="J1087">
        <v>0</v>
      </c>
      <c r="K1087" t="s">
        <v>3040</v>
      </c>
    </row>
    <row r="1088" spans="1:11" x14ac:dyDescent="0.2">
      <c r="A1088" t="str">
        <f>HYPERLINK("https://www.tiwall.com//p/mashgheshab3","مشق شب")</f>
        <v>مشق شب</v>
      </c>
      <c r="B1088">
        <v>45</v>
      </c>
      <c r="C1088" t="s">
        <v>1314</v>
      </c>
      <c r="D1088" t="s">
        <v>146</v>
      </c>
      <c r="E1088" t="s">
        <v>88</v>
      </c>
      <c r="F1088" t="s">
        <v>897</v>
      </c>
      <c r="G1088" t="s">
        <v>2146</v>
      </c>
      <c r="H1088" t="s">
        <v>2146</v>
      </c>
      <c r="I1088">
        <v>4</v>
      </c>
      <c r="J1088">
        <v>46</v>
      </c>
      <c r="K1088" t="s">
        <v>3041</v>
      </c>
    </row>
    <row r="1089" spans="1:11" x14ac:dyDescent="0.2">
      <c r="A1089" t="str">
        <f>HYPERLINK("https://www.tiwall.com//p/karkas","کرکس")</f>
        <v>کرکس</v>
      </c>
      <c r="B1089">
        <v>60</v>
      </c>
      <c r="C1089" t="s">
        <v>37</v>
      </c>
      <c r="D1089" t="s">
        <v>384</v>
      </c>
      <c r="E1089" t="s">
        <v>208</v>
      </c>
      <c r="F1089" t="s">
        <v>89</v>
      </c>
      <c r="G1089" t="s">
        <v>1064</v>
      </c>
      <c r="H1089" t="s">
        <v>3042</v>
      </c>
      <c r="I1089">
        <v>3.4</v>
      </c>
      <c r="J1089">
        <v>36</v>
      </c>
      <c r="K1089" t="s">
        <v>3043</v>
      </c>
    </row>
    <row r="1090" spans="1:11" x14ac:dyDescent="0.2">
      <c r="A1090" t="str">
        <f>HYPERLINK("https://www.tiwall.com//p/shamakhar3","شام آخر")</f>
        <v>شام آخر</v>
      </c>
      <c r="B1090">
        <v>70</v>
      </c>
      <c r="C1090" t="s">
        <v>3044</v>
      </c>
      <c r="D1090" t="s">
        <v>217</v>
      </c>
      <c r="E1090" t="s">
        <v>26</v>
      </c>
      <c r="F1090" t="s">
        <v>3045</v>
      </c>
      <c r="G1090" t="s">
        <v>3046</v>
      </c>
      <c r="H1090" t="s">
        <v>3046</v>
      </c>
      <c r="I1090">
        <v>0</v>
      </c>
      <c r="J1090">
        <v>0</v>
      </c>
      <c r="K1090" t="s">
        <v>3047</v>
      </c>
    </row>
    <row r="1091" spans="1:11" x14ac:dyDescent="0.2">
      <c r="A1091" t="str">
        <f>HYPERLINK("https://www.tiwall.com//p/karim2","کِریم")</f>
        <v>کِریم</v>
      </c>
      <c r="B1091">
        <v>30</v>
      </c>
      <c r="C1091" t="s">
        <v>369</v>
      </c>
      <c r="D1091" t="s">
        <v>217</v>
      </c>
      <c r="E1091" t="s">
        <v>1673</v>
      </c>
      <c r="F1091" t="s">
        <v>304</v>
      </c>
      <c r="G1091" t="s">
        <v>3048</v>
      </c>
      <c r="H1091" t="s">
        <v>3048</v>
      </c>
      <c r="I1091">
        <v>3.2</v>
      </c>
      <c r="J1091">
        <v>19</v>
      </c>
      <c r="K1091" t="s">
        <v>3049</v>
      </c>
    </row>
    <row r="1092" spans="1:11" x14ac:dyDescent="0.2">
      <c r="A1092" t="str">
        <f>HYPERLINK("https://www.tiwall.com//p/nokaresheytan2","نوکر شیطان")</f>
        <v>نوکر شیطان</v>
      </c>
      <c r="B1092">
        <v>45</v>
      </c>
      <c r="C1092" t="s">
        <v>224</v>
      </c>
      <c r="D1092" t="s">
        <v>45</v>
      </c>
      <c r="E1092" t="s">
        <v>19</v>
      </c>
      <c r="F1092" t="s">
        <v>1138</v>
      </c>
      <c r="G1092" t="s">
        <v>3050</v>
      </c>
      <c r="H1092" t="s">
        <v>485</v>
      </c>
      <c r="I1092">
        <v>0</v>
      </c>
      <c r="J1092">
        <v>0</v>
      </c>
      <c r="K1092" t="s">
        <v>3051</v>
      </c>
    </row>
    <row r="1093" spans="1:11" x14ac:dyDescent="0.2">
      <c r="A1093" t="str">
        <f>HYPERLINK("https://www.tiwall.com//p/tekrar6","تکرار")</f>
        <v>تکرار</v>
      </c>
      <c r="B1093">
        <v>30</v>
      </c>
      <c r="C1093" t="s">
        <v>199</v>
      </c>
      <c r="D1093" t="s">
        <v>12</v>
      </c>
      <c r="E1093" t="s">
        <v>475</v>
      </c>
      <c r="F1093" t="s">
        <v>2018</v>
      </c>
      <c r="G1093" t="s">
        <v>236</v>
      </c>
      <c r="H1093" t="s">
        <v>236</v>
      </c>
      <c r="I1093">
        <v>0</v>
      </c>
      <c r="J1093">
        <v>0</v>
      </c>
      <c r="K1093" t="s">
        <v>3052</v>
      </c>
    </row>
    <row r="1094" spans="1:11" x14ac:dyDescent="0.2">
      <c r="A1094" t="str">
        <f>HYPERLINK("https://www.tiwall.com//p/zendegi.donafar3","زندگی ما دو نفر")</f>
        <v>زندگی ما دو نفر</v>
      </c>
      <c r="B1094">
        <v>50</v>
      </c>
      <c r="C1094" t="s">
        <v>1811</v>
      </c>
      <c r="D1094" t="s">
        <v>32</v>
      </c>
      <c r="E1094" t="s">
        <v>13</v>
      </c>
      <c r="F1094" t="s">
        <v>1867</v>
      </c>
      <c r="G1094" t="s">
        <v>215</v>
      </c>
      <c r="H1094" t="s">
        <v>215</v>
      </c>
      <c r="I1094">
        <v>0</v>
      </c>
      <c r="J1094">
        <v>0</v>
      </c>
      <c r="K1094" t="s">
        <v>216</v>
      </c>
    </row>
    <row r="1095" spans="1:11" x14ac:dyDescent="0.2">
      <c r="A1095" t="str">
        <f>HYPERLINK("https://www.tiwall.com//p/alaa2","آلاء")</f>
        <v>آلاء</v>
      </c>
      <c r="B1095">
        <v>80</v>
      </c>
      <c r="C1095" t="s">
        <v>151</v>
      </c>
      <c r="D1095" t="s">
        <v>38</v>
      </c>
      <c r="E1095" t="s">
        <v>235</v>
      </c>
      <c r="F1095" t="s">
        <v>57</v>
      </c>
      <c r="G1095" t="s">
        <v>1444</v>
      </c>
      <c r="H1095" t="s">
        <v>1444</v>
      </c>
      <c r="I1095">
        <v>4.0999999999999996</v>
      </c>
      <c r="J1095">
        <v>22</v>
      </c>
      <c r="K1095" t="s">
        <v>1445</v>
      </c>
    </row>
    <row r="1096" spans="1:11" x14ac:dyDescent="0.2">
      <c r="A1096" t="str">
        <f>HYPERLINK("https://www.tiwall.com//p/otagh.three","اتاق شماره سه")</f>
        <v>اتاق شماره سه</v>
      </c>
      <c r="B1096">
        <v>40</v>
      </c>
      <c r="C1096" t="s">
        <v>369</v>
      </c>
      <c r="D1096" t="s">
        <v>299</v>
      </c>
      <c r="E1096" t="s">
        <v>3053</v>
      </c>
      <c r="F1096" t="s">
        <v>2591</v>
      </c>
      <c r="G1096" t="s">
        <v>1931</v>
      </c>
      <c r="H1096" t="s">
        <v>1931</v>
      </c>
      <c r="I1096">
        <v>3.4</v>
      </c>
      <c r="J1096">
        <v>34</v>
      </c>
      <c r="K1096" t="s">
        <v>3054</v>
      </c>
    </row>
    <row r="1097" spans="1:11" x14ac:dyDescent="0.2">
      <c r="A1097" t="str">
        <f>HYPERLINK("https://www.tiwall.com//p/pirnana","پیرننا")</f>
        <v>پیرننا</v>
      </c>
      <c r="B1097">
        <v>50</v>
      </c>
      <c r="C1097" t="s">
        <v>112</v>
      </c>
      <c r="D1097" t="s">
        <v>12</v>
      </c>
      <c r="E1097" t="s">
        <v>235</v>
      </c>
      <c r="F1097" t="s">
        <v>3055</v>
      </c>
      <c r="G1097" t="s">
        <v>3056</v>
      </c>
      <c r="H1097" t="s">
        <v>3057</v>
      </c>
      <c r="I1097">
        <v>0</v>
      </c>
      <c r="J1097">
        <v>0</v>
      </c>
      <c r="K1097" t="s">
        <v>3058</v>
      </c>
    </row>
    <row r="1098" spans="1:11" x14ac:dyDescent="0.2">
      <c r="A1098" t="str">
        <f>HYPERLINK("https://www.tiwall.com//p/zolpidem2","زولپیدم")</f>
        <v>زولپیدم</v>
      </c>
      <c r="B1098">
        <v>120</v>
      </c>
      <c r="C1098" t="s">
        <v>18</v>
      </c>
      <c r="D1098" t="s">
        <v>12</v>
      </c>
      <c r="E1098" t="s">
        <v>208</v>
      </c>
      <c r="F1098" t="s">
        <v>373</v>
      </c>
      <c r="G1098" t="s">
        <v>3059</v>
      </c>
      <c r="H1098" t="s">
        <v>3059</v>
      </c>
      <c r="I1098">
        <v>3.4</v>
      </c>
      <c r="J1098">
        <v>23</v>
      </c>
      <c r="K1098" t="s">
        <v>3060</v>
      </c>
    </row>
    <row r="1099" spans="1:11" x14ac:dyDescent="0.2">
      <c r="A1099" t="str">
        <f>HYPERLINK("https://www.tiwall.com//p/satouri","ساتوری")</f>
        <v>ساتوری</v>
      </c>
      <c r="B1099">
        <v>80</v>
      </c>
      <c r="C1099" t="s">
        <v>224</v>
      </c>
      <c r="D1099" t="s">
        <v>32</v>
      </c>
      <c r="E1099" t="s">
        <v>26</v>
      </c>
      <c r="F1099" t="s">
        <v>3061</v>
      </c>
      <c r="G1099" t="s">
        <v>3062</v>
      </c>
      <c r="H1099" t="s">
        <v>3063</v>
      </c>
      <c r="I1099">
        <v>0</v>
      </c>
      <c r="J1099">
        <v>0</v>
      </c>
      <c r="K1099" t="s">
        <v>3064</v>
      </c>
    </row>
    <row r="1100" spans="1:11" x14ac:dyDescent="0.2">
      <c r="A1100" t="str">
        <f>HYPERLINK("https://www.tiwall.com//p/mohajeran3","مهاجران")</f>
        <v>مهاجران</v>
      </c>
      <c r="B1100">
        <v>60</v>
      </c>
      <c r="C1100" t="s">
        <v>56</v>
      </c>
      <c r="D1100" t="s">
        <v>470</v>
      </c>
      <c r="E1100" t="s">
        <v>13</v>
      </c>
      <c r="F1100" t="s">
        <v>560</v>
      </c>
      <c r="G1100" t="s">
        <v>3065</v>
      </c>
      <c r="H1100" t="s">
        <v>3065</v>
      </c>
      <c r="I1100">
        <v>0</v>
      </c>
      <c r="J1100">
        <v>0</v>
      </c>
      <c r="K1100" t="s">
        <v>3066</v>
      </c>
    </row>
    <row r="1101" spans="1:11" x14ac:dyDescent="0.2">
      <c r="A1101" t="str">
        <f>HYPERLINK("https://www.tiwall.com//p/baransaz","باران ساز")</f>
        <v>باران ساز</v>
      </c>
      <c r="B1101">
        <v>40</v>
      </c>
      <c r="C1101" t="s">
        <v>251</v>
      </c>
      <c r="D1101" t="s">
        <v>32</v>
      </c>
      <c r="E1101" t="s">
        <v>26</v>
      </c>
      <c r="F1101" t="s">
        <v>800</v>
      </c>
      <c r="G1101" t="s">
        <v>3067</v>
      </c>
      <c r="H1101" t="s">
        <v>3068</v>
      </c>
      <c r="I1101">
        <v>0</v>
      </c>
      <c r="J1101">
        <v>0</v>
      </c>
      <c r="K1101" t="s">
        <v>3069</v>
      </c>
    </row>
    <row r="1102" spans="1:11" x14ac:dyDescent="0.2">
      <c r="A1102" t="str">
        <f>HYPERLINK("https://www.tiwall.com//p/dari.unja.chikar.mikoni","داری اون جا چی کار میکنی؟ و چند اپیزود دیگر ...")</f>
        <v>داری اون جا چی کار میکنی؟ و چند اپیزود دیگر ...</v>
      </c>
      <c r="B1102">
        <v>90</v>
      </c>
      <c r="C1102" t="s">
        <v>180</v>
      </c>
      <c r="D1102" t="s">
        <v>12</v>
      </c>
      <c r="E1102" t="s">
        <v>26</v>
      </c>
      <c r="F1102" t="s">
        <v>142</v>
      </c>
      <c r="G1102" t="s">
        <v>1723</v>
      </c>
      <c r="H1102" t="s">
        <v>3070</v>
      </c>
      <c r="I1102">
        <v>0</v>
      </c>
      <c r="J1102">
        <v>0</v>
      </c>
      <c r="K1102" t="s">
        <v>3071</v>
      </c>
    </row>
    <row r="1103" spans="1:11" x14ac:dyDescent="0.2">
      <c r="A1103" t="str">
        <f>HYPERLINK("https://www.tiwall.com//p/derakhttout2","داستان سفر درخت توت تنهای خونه مادری بعد از یک دوره افسردگی کوتاه مدت")</f>
        <v>داستان سفر درخت توت تنهای خونه مادری بعد از یک دوره افسردگی کوتاه مدت</v>
      </c>
      <c r="B1103">
        <v>50</v>
      </c>
      <c r="C1103" t="s">
        <v>1215</v>
      </c>
      <c r="D1103" t="s">
        <v>12</v>
      </c>
      <c r="E1103" t="s">
        <v>46</v>
      </c>
      <c r="F1103" t="s">
        <v>940</v>
      </c>
      <c r="G1103" t="s">
        <v>287</v>
      </c>
      <c r="H1103" t="s">
        <v>287</v>
      </c>
      <c r="I1103">
        <v>3.2</v>
      </c>
      <c r="J1103">
        <v>20</v>
      </c>
      <c r="K1103" t="s">
        <v>288</v>
      </c>
    </row>
    <row r="1104" spans="1:11" x14ac:dyDescent="0.2">
      <c r="A1104" t="str">
        <f>HYPERLINK("https://www.tiwall.com//p/rafflesia","رافلسیا")</f>
        <v>رافلسیا</v>
      </c>
      <c r="B1104">
        <v>55</v>
      </c>
      <c r="C1104" t="s">
        <v>44</v>
      </c>
      <c r="D1104" t="s">
        <v>12</v>
      </c>
      <c r="E1104" t="s">
        <v>194</v>
      </c>
      <c r="F1104" t="s">
        <v>668</v>
      </c>
      <c r="G1104" t="s">
        <v>2170</v>
      </c>
      <c r="H1104" t="s">
        <v>2171</v>
      </c>
      <c r="I1104">
        <v>0</v>
      </c>
      <c r="J1104">
        <v>0</v>
      </c>
      <c r="K1104" t="s">
        <v>3072</v>
      </c>
    </row>
    <row r="1105" spans="1:11" x14ac:dyDescent="0.2">
      <c r="A1105" t="str">
        <f>HYPERLINK("https://www.tiwall.com//p/parvaneoyough3","پروانه و یوغ")</f>
        <v>پروانه و یوغ</v>
      </c>
      <c r="B1105">
        <v>50</v>
      </c>
      <c r="C1105" t="s">
        <v>18</v>
      </c>
      <c r="D1105" t="s">
        <v>146</v>
      </c>
      <c r="E1105" t="s">
        <v>26</v>
      </c>
      <c r="F1105" t="s">
        <v>3073</v>
      </c>
      <c r="G1105" t="s">
        <v>3074</v>
      </c>
      <c r="H1105" t="s">
        <v>538</v>
      </c>
      <c r="I1105">
        <v>0</v>
      </c>
      <c r="J1105">
        <v>0</v>
      </c>
      <c r="K1105" t="s">
        <v>3075</v>
      </c>
    </row>
    <row r="1106" spans="1:11" x14ac:dyDescent="0.2">
      <c r="A1106" t="str">
        <f>HYPERLINK("https://www.tiwall.com//p/zamin.dalghak","تراژدی زمین و دلقک ها")</f>
        <v>تراژدی زمین و دلقک ها</v>
      </c>
      <c r="B1106">
        <v>20</v>
      </c>
      <c r="C1106" t="s">
        <v>2127</v>
      </c>
      <c r="D1106" t="s">
        <v>32</v>
      </c>
      <c r="E1106" t="s">
        <v>138</v>
      </c>
      <c r="F1106" t="s">
        <v>3076</v>
      </c>
      <c r="G1106" t="s">
        <v>3077</v>
      </c>
      <c r="H1106" t="s">
        <v>3077</v>
      </c>
      <c r="I1106">
        <v>0</v>
      </c>
      <c r="J1106">
        <v>0</v>
      </c>
      <c r="K1106" t="s">
        <v>3078</v>
      </c>
    </row>
    <row r="1107" spans="1:11" x14ac:dyDescent="0.2">
      <c r="A1107" t="str">
        <f>HYPERLINK("https://www.tiwall.com//p/1417.4","۱۴۱۷")</f>
        <v>۱۴۱۷</v>
      </c>
      <c r="B1107">
        <v>40</v>
      </c>
      <c r="C1107" t="s">
        <v>825</v>
      </c>
      <c r="D1107" t="s">
        <v>12</v>
      </c>
      <c r="E1107" t="s">
        <v>138</v>
      </c>
      <c r="F1107" t="s">
        <v>286</v>
      </c>
      <c r="G1107" t="s">
        <v>3079</v>
      </c>
      <c r="H1107" t="s">
        <v>3080</v>
      </c>
      <c r="I1107">
        <v>0</v>
      </c>
      <c r="J1107">
        <v>0</v>
      </c>
      <c r="K1107" t="s">
        <v>3081</v>
      </c>
    </row>
    <row r="1108" spans="1:11" x14ac:dyDescent="0.2">
      <c r="A1108" t="str">
        <f>HYPERLINK("https://www.tiwall.com//p/parvazehghafas","پرواز آوانگارد قفس")</f>
        <v>پرواز آوانگارد قفس</v>
      </c>
      <c r="B1108">
        <v>90</v>
      </c>
      <c r="C1108" t="s">
        <v>11</v>
      </c>
      <c r="D1108" t="s">
        <v>146</v>
      </c>
      <c r="E1108" t="s">
        <v>88</v>
      </c>
      <c r="F1108" t="s">
        <v>812</v>
      </c>
      <c r="G1108" t="s">
        <v>3082</v>
      </c>
      <c r="H1108" t="s">
        <v>3082</v>
      </c>
      <c r="I1108">
        <v>2.8</v>
      </c>
      <c r="J1108">
        <v>5</v>
      </c>
      <c r="K1108" t="s">
        <v>3083</v>
      </c>
    </row>
    <row r="1109" spans="1:11" x14ac:dyDescent="0.2">
      <c r="A1109" t="str">
        <f>HYPERLINK("https://www.tiwall.com//p/barayeleyla","برای لیلا")</f>
        <v>برای لیلا</v>
      </c>
      <c r="B1109">
        <v>40</v>
      </c>
      <c r="C1109" t="s">
        <v>24</v>
      </c>
      <c r="D1109" t="s">
        <v>146</v>
      </c>
      <c r="E1109" t="s">
        <v>235</v>
      </c>
      <c r="F1109" t="s">
        <v>1200</v>
      </c>
      <c r="G1109" t="s">
        <v>236</v>
      </c>
      <c r="H1109" t="s">
        <v>236</v>
      </c>
      <c r="I1109">
        <v>0</v>
      </c>
      <c r="J1109">
        <v>0</v>
      </c>
      <c r="K1109" t="s">
        <v>3084</v>
      </c>
    </row>
    <row r="1110" spans="1:11" x14ac:dyDescent="0.2">
      <c r="A1110" t="str">
        <f>HYPERLINK("https://www.tiwall.com//p/agarazno","اگر از نو شروع کنیم")</f>
        <v>اگر از نو شروع کنیم</v>
      </c>
      <c r="B1110">
        <v>50</v>
      </c>
      <c r="C1110" t="s">
        <v>44</v>
      </c>
      <c r="D1110" t="s">
        <v>65</v>
      </c>
      <c r="E1110" t="s">
        <v>71</v>
      </c>
      <c r="F1110" t="s">
        <v>3085</v>
      </c>
      <c r="G1110" t="s">
        <v>3086</v>
      </c>
      <c r="H1110" t="s">
        <v>438</v>
      </c>
      <c r="I1110">
        <v>4.0999999999999996</v>
      </c>
      <c r="J1110">
        <v>25</v>
      </c>
      <c r="K1110" t="s">
        <v>3087</v>
      </c>
    </row>
    <row r="1111" spans="1:11" x14ac:dyDescent="0.2">
      <c r="A1111" t="str">
        <f>HYPERLINK("https://www.tiwall.com//p/naam.baad2","نام مرا باد می برد")</f>
        <v>نام مرا باد می برد</v>
      </c>
      <c r="B1111">
        <v>90</v>
      </c>
      <c r="C1111" t="s">
        <v>3088</v>
      </c>
      <c r="D1111" t="s">
        <v>1353</v>
      </c>
      <c r="E1111" t="s">
        <v>46</v>
      </c>
      <c r="F1111" t="s">
        <v>295</v>
      </c>
      <c r="G1111" t="s">
        <v>3089</v>
      </c>
      <c r="H1111" t="s">
        <v>1250</v>
      </c>
      <c r="I1111">
        <v>3.4</v>
      </c>
      <c r="J1111">
        <v>7</v>
      </c>
      <c r="K1111" t="s">
        <v>3090</v>
      </c>
    </row>
    <row r="1112" spans="1:11" x14ac:dyDescent="0.2">
      <c r="A1112" t="str">
        <f>HYPERLINK("https://www.tiwall.com//p/philadelphia3","فیلادلفیا")</f>
        <v>فیلادلفیا</v>
      </c>
      <c r="B1112">
        <v>60</v>
      </c>
      <c r="C1112" t="s">
        <v>554</v>
      </c>
      <c r="D1112" t="s">
        <v>265</v>
      </c>
      <c r="E1112" t="s">
        <v>235</v>
      </c>
      <c r="F1112" t="s">
        <v>2040</v>
      </c>
      <c r="G1112" t="s">
        <v>556</v>
      </c>
      <c r="H1112" t="s">
        <v>557</v>
      </c>
      <c r="I1112">
        <v>0</v>
      </c>
      <c r="J1112">
        <v>0</v>
      </c>
      <c r="K1112" t="s">
        <v>558</v>
      </c>
    </row>
    <row r="1113" spans="1:11" x14ac:dyDescent="0.2">
      <c r="A1113" t="str">
        <f>HYPERLINK("https://www.tiwall.com//p/pat3","پات")</f>
        <v>پات</v>
      </c>
      <c r="B1113">
        <v>50</v>
      </c>
      <c r="C1113" t="s">
        <v>51</v>
      </c>
      <c r="D1113" t="s">
        <v>1353</v>
      </c>
      <c r="E1113" t="s">
        <v>194</v>
      </c>
      <c r="F1113" t="s">
        <v>2009</v>
      </c>
      <c r="G1113" t="s">
        <v>3091</v>
      </c>
      <c r="H1113" t="s">
        <v>1525</v>
      </c>
      <c r="I1113">
        <v>0</v>
      </c>
      <c r="J1113">
        <v>0</v>
      </c>
      <c r="K1113" t="s">
        <v>3092</v>
      </c>
    </row>
    <row r="1114" spans="1:11" x14ac:dyDescent="0.2">
      <c r="A1114" t="str">
        <f>HYPERLINK("https://www.tiwall.com//p/afsanebabr4","افسانه ببر")</f>
        <v>افسانه ببر</v>
      </c>
      <c r="B1114">
        <v>40</v>
      </c>
      <c r="C1114" t="s">
        <v>358</v>
      </c>
      <c r="D1114" t="s">
        <v>12</v>
      </c>
      <c r="E1114" t="s">
        <v>303</v>
      </c>
      <c r="F1114" t="s">
        <v>515</v>
      </c>
      <c r="G1114" t="s">
        <v>1614</v>
      </c>
      <c r="H1114" t="s">
        <v>1084</v>
      </c>
      <c r="I1114">
        <v>4.7</v>
      </c>
      <c r="J1114">
        <v>26</v>
      </c>
      <c r="K1114" t="s">
        <v>1614</v>
      </c>
    </row>
    <row r="1115" spans="1:11" x14ac:dyDescent="0.2">
      <c r="A1115" t="str">
        <f>HYPERLINK("https://www.tiwall.com//p/sorkhaab","سرخاب")</f>
        <v>سرخاب</v>
      </c>
      <c r="B1115">
        <v>40</v>
      </c>
      <c r="C1115" t="s">
        <v>117</v>
      </c>
      <c r="D1115" t="s">
        <v>87</v>
      </c>
      <c r="E1115" t="s">
        <v>13</v>
      </c>
      <c r="F1115" t="s">
        <v>1037</v>
      </c>
      <c r="G1115" t="s">
        <v>3093</v>
      </c>
      <c r="H1115" t="s">
        <v>3094</v>
      </c>
      <c r="I1115">
        <v>0</v>
      </c>
      <c r="J1115">
        <v>0</v>
      </c>
      <c r="K1115" t="s">
        <v>3095</v>
      </c>
    </row>
    <row r="1116" spans="1:11" x14ac:dyDescent="0.2">
      <c r="A1116" t="str">
        <f>HYPERLINK("https://www.tiwall.com//p/dorough7","دروغ")</f>
        <v>دروغ</v>
      </c>
      <c r="B1116">
        <v>100</v>
      </c>
      <c r="C1116" t="s">
        <v>24</v>
      </c>
      <c r="D1116" t="s">
        <v>1353</v>
      </c>
      <c r="E1116" t="s">
        <v>71</v>
      </c>
      <c r="F1116" t="s">
        <v>3096</v>
      </c>
      <c r="G1116" t="s">
        <v>3097</v>
      </c>
      <c r="H1116" t="s">
        <v>91</v>
      </c>
      <c r="I1116">
        <v>3.4</v>
      </c>
      <c r="J1116">
        <v>36</v>
      </c>
      <c r="K1116" t="s">
        <v>3098</v>
      </c>
    </row>
    <row r="1117" spans="1:11" x14ac:dyDescent="0.2">
      <c r="A1117" t="str">
        <f>HYPERLINK("https://www.tiwall.com//p/emigres","مهاجران")</f>
        <v>مهاجران</v>
      </c>
      <c r="B1117">
        <v>35</v>
      </c>
      <c r="C1117" t="s">
        <v>64</v>
      </c>
      <c r="D1117" t="s">
        <v>146</v>
      </c>
      <c r="E1117" t="s">
        <v>19</v>
      </c>
      <c r="F1117" t="s">
        <v>938</v>
      </c>
      <c r="G1117" t="s">
        <v>3099</v>
      </c>
      <c r="H1117" t="s">
        <v>2703</v>
      </c>
      <c r="I1117">
        <v>0</v>
      </c>
      <c r="J1117">
        <v>0</v>
      </c>
      <c r="K1117" t="s">
        <v>3100</v>
      </c>
    </row>
    <row r="1118" spans="1:11" x14ac:dyDescent="0.2">
      <c r="A1118" t="str">
        <f>HYPERLINK("https://www.tiwall.com//p/marekeh.khodaei2","کمدی مرکه خدایی")</f>
        <v>کمدی مرکه خدایی</v>
      </c>
      <c r="B1118">
        <v>40</v>
      </c>
      <c r="C1118" t="s">
        <v>3101</v>
      </c>
      <c r="D1118" t="s">
        <v>217</v>
      </c>
      <c r="E1118" t="s">
        <v>26</v>
      </c>
      <c r="F1118" t="s">
        <v>209</v>
      </c>
      <c r="G1118" t="s">
        <v>271</v>
      </c>
      <c r="H1118" t="s">
        <v>271</v>
      </c>
      <c r="I1118">
        <v>0</v>
      </c>
      <c r="J1118">
        <v>0</v>
      </c>
      <c r="K1118" t="s">
        <v>272</v>
      </c>
    </row>
    <row r="1119" spans="1:11" x14ac:dyDescent="0.2">
      <c r="A1119" t="str">
        <f>HYPERLINK("https://www.tiwall.com//p/4divari","چهار دیواری")</f>
        <v>چهار دیواری</v>
      </c>
      <c r="B1119">
        <v>50</v>
      </c>
      <c r="C1119" t="s">
        <v>3102</v>
      </c>
      <c r="D1119" t="s">
        <v>65</v>
      </c>
      <c r="E1119" t="s">
        <v>19</v>
      </c>
      <c r="F1119" t="s">
        <v>3103</v>
      </c>
      <c r="G1119" t="s">
        <v>3104</v>
      </c>
      <c r="H1119" t="s">
        <v>3105</v>
      </c>
      <c r="I1119">
        <v>0</v>
      </c>
      <c r="J1119">
        <v>0</v>
      </c>
      <c r="K1119" t="s">
        <v>3106</v>
      </c>
    </row>
    <row r="1120" spans="1:11" x14ac:dyDescent="0.2">
      <c r="A1120" t="str">
        <f>HYPERLINK("https://www.tiwall.com//p/sorat.falaki","بی صورت فلکی")</f>
        <v>بی صورت فلکی</v>
      </c>
      <c r="B1120">
        <v>110</v>
      </c>
      <c r="C1120" t="s">
        <v>358</v>
      </c>
      <c r="D1120" t="s">
        <v>38</v>
      </c>
      <c r="E1120" t="s">
        <v>71</v>
      </c>
      <c r="F1120" t="s">
        <v>270</v>
      </c>
      <c r="G1120" t="s">
        <v>3107</v>
      </c>
      <c r="H1120" t="s">
        <v>3108</v>
      </c>
      <c r="I1120">
        <v>4</v>
      </c>
      <c r="J1120">
        <v>33</v>
      </c>
      <c r="K1120" t="s">
        <v>3109</v>
      </c>
    </row>
    <row r="1121" spans="1:11" x14ac:dyDescent="0.2">
      <c r="A1121" t="str">
        <f>HYPERLINK("https://www.tiwall.com//p/ka2","کا")</f>
        <v>کا</v>
      </c>
      <c r="B1121">
        <v>60</v>
      </c>
      <c r="C1121" t="s">
        <v>86</v>
      </c>
      <c r="D1121" t="s">
        <v>87</v>
      </c>
      <c r="E1121" t="s">
        <v>13</v>
      </c>
      <c r="F1121" t="s">
        <v>350</v>
      </c>
      <c r="G1121" t="s">
        <v>3110</v>
      </c>
      <c r="H1121" t="s">
        <v>3110</v>
      </c>
      <c r="I1121">
        <v>3.6</v>
      </c>
      <c r="J1121">
        <v>55</v>
      </c>
      <c r="K1121" t="s">
        <v>3111</v>
      </c>
    </row>
    <row r="1122" spans="1:11" x14ac:dyDescent="0.2">
      <c r="A1122" t="str">
        <f>HYPERLINK("https://www.tiwall.com//p/eishonisty2","عیش و نیستی")</f>
        <v>عیش و نیستی</v>
      </c>
      <c r="B1122">
        <v>35</v>
      </c>
      <c r="C1122" t="s">
        <v>44</v>
      </c>
      <c r="D1122" t="s">
        <v>384</v>
      </c>
      <c r="E1122" t="s">
        <v>26</v>
      </c>
      <c r="F1122" t="s">
        <v>3112</v>
      </c>
      <c r="G1122" t="s">
        <v>1380</v>
      </c>
      <c r="H1122" t="s">
        <v>3113</v>
      </c>
      <c r="I1122">
        <v>0</v>
      </c>
      <c r="J1122">
        <v>0</v>
      </c>
      <c r="K1122" t="s">
        <v>3114</v>
      </c>
    </row>
    <row r="1123" spans="1:11" x14ac:dyDescent="0.2">
      <c r="A1123" t="str">
        <f>HYPERLINK("https://www.tiwall.com//p/masir","مسیر")</f>
        <v>مسیر</v>
      </c>
      <c r="B1123">
        <v>40</v>
      </c>
      <c r="C1123" t="s">
        <v>64</v>
      </c>
      <c r="D1123" t="s">
        <v>87</v>
      </c>
      <c r="E1123" t="s">
        <v>13</v>
      </c>
      <c r="F1123" t="s">
        <v>2575</v>
      </c>
      <c r="G1123" t="s">
        <v>3115</v>
      </c>
      <c r="H1123" t="s">
        <v>3115</v>
      </c>
      <c r="I1123">
        <v>0</v>
      </c>
      <c r="J1123">
        <v>0</v>
      </c>
      <c r="K1123" t="s">
        <v>3116</v>
      </c>
    </row>
    <row r="1124" spans="1:11" x14ac:dyDescent="0.2">
      <c r="A1124" t="str">
        <f>HYPERLINK("https://www.tiwall.com//p/eghma","اغما")</f>
        <v>اغما</v>
      </c>
      <c r="B1124">
        <v>60</v>
      </c>
      <c r="C1124" t="s">
        <v>633</v>
      </c>
      <c r="D1124" t="s">
        <v>65</v>
      </c>
      <c r="E1124" t="s">
        <v>303</v>
      </c>
      <c r="F1124" t="s">
        <v>99</v>
      </c>
      <c r="G1124" t="s">
        <v>3117</v>
      </c>
      <c r="H1124" t="s">
        <v>3117</v>
      </c>
      <c r="I1124">
        <v>0</v>
      </c>
      <c r="J1124">
        <v>0</v>
      </c>
      <c r="K1124" t="s">
        <v>3118</v>
      </c>
    </row>
    <row r="1125" spans="1:11" x14ac:dyDescent="0.2">
      <c r="A1125" t="str">
        <f>HYPERLINK("https://www.tiwall.com//p/romeojuliet4","رومئو ژولیت")</f>
        <v>رومئو ژولیت</v>
      </c>
      <c r="B1125">
        <v>80</v>
      </c>
      <c r="C1125" t="s">
        <v>69</v>
      </c>
      <c r="D1125" t="s">
        <v>45</v>
      </c>
      <c r="E1125" t="s">
        <v>19</v>
      </c>
      <c r="F1125" t="s">
        <v>27</v>
      </c>
      <c r="G1125" t="s">
        <v>2035</v>
      </c>
      <c r="H1125" t="s">
        <v>428</v>
      </c>
      <c r="I1125">
        <v>4.0999999999999996</v>
      </c>
      <c r="J1125">
        <v>81</v>
      </c>
      <c r="K1125" t="s">
        <v>3119</v>
      </c>
    </row>
    <row r="1126" spans="1:11" x14ac:dyDescent="0.2">
      <c r="A1126" t="str">
        <f>HYPERLINK("https://www.tiwall.com//p/spoken11","قطع دست در اسپوکن")</f>
        <v>قطع دست در اسپوکن</v>
      </c>
      <c r="B1126">
        <v>40</v>
      </c>
      <c r="C1126" t="s">
        <v>199</v>
      </c>
      <c r="D1126" t="s">
        <v>65</v>
      </c>
      <c r="E1126" t="s">
        <v>303</v>
      </c>
      <c r="F1126" t="s">
        <v>3120</v>
      </c>
      <c r="G1126" t="s">
        <v>3121</v>
      </c>
      <c r="H1126" t="s">
        <v>755</v>
      </c>
      <c r="I1126">
        <v>0</v>
      </c>
      <c r="J1126">
        <v>0</v>
      </c>
      <c r="K1126" t="s">
        <v>3122</v>
      </c>
    </row>
    <row r="1127" spans="1:11" x14ac:dyDescent="0.2">
      <c r="A1127" t="str">
        <f>HYPERLINK("https://www.tiwall.com//p/kopon2","کوپن")</f>
        <v>کوپن</v>
      </c>
      <c r="B1127">
        <v>50</v>
      </c>
      <c r="C1127" t="s">
        <v>1260</v>
      </c>
      <c r="D1127" t="s">
        <v>12</v>
      </c>
      <c r="E1127" t="s">
        <v>175</v>
      </c>
      <c r="F1127" t="s">
        <v>329</v>
      </c>
      <c r="G1127" t="s">
        <v>3123</v>
      </c>
      <c r="H1127" t="s">
        <v>3124</v>
      </c>
      <c r="I1127">
        <v>0</v>
      </c>
      <c r="J1127">
        <v>0</v>
      </c>
      <c r="K1127" t="s">
        <v>3125</v>
      </c>
    </row>
    <row r="1128" spans="1:11" x14ac:dyDescent="0.2">
      <c r="A1128" t="str">
        <f>HYPERLINK("https://www.tiwall.com//p/lavrov","عمو لاوروف")</f>
        <v>عمو لاوروف</v>
      </c>
      <c r="B1128">
        <v>60</v>
      </c>
      <c r="C1128" t="s">
        <v>37</v>
      </c>
      <c r="D1128" t="s">
        <v>217</v>
      </c>
      <c r="E1128" t="s">
        <v>13</v>
      </c>
      <c r="F1128" t="s">
        <v>568</v>
      </c>
      <c r="G1128" t="s">
        <v>2138</v>
      </c>
      <c r="H1128" t="s">
        <v>2138</v>
      </c>
      <c r="I1128">
        <v>2.1</v>
      </c>
      <c r="J1128">
        <v>16</v>
      </c>
      <c r="K1128" t="s">
        <v>3126</v>
      </c>
    </row>
    <row r="1129" spans="1:11" x14ac:dyDescent="0.2">
      <c r="A1129" t="str">
        <f>HYPERLINK("https://www.tiwall.com//p/roghan.konjed","روغن کنجد")</f>
        <v>روغن کنجد</v>
      </c>
      <c r="B1129">
        <v>70</v>
      </c>
      <c r="C1129" t="s">
        <v>1290</v>
      </c>
      <c r="D1129" t="s">
        <v>65</v>
      </c>
      <c r="E1129" t="s">
        <v>88</v>
      </c>
      <c r="F1129" t="s">
        <v>286</v>
      </c>
      <c r="G1129" t="s">
        <v>3127</v>
      </c>
      <c r="H1129" t="s">
        <v>3128</v>
      </c>
      <c r="I1129">
        <v>3.1</v>
      </c>
      <c r="J1129">
        <v>46</v>
      </c>
      <c r="K1129" t="s">
        <v>3129</v>
      </c>
    </row>
    <row r="1130" spans="1:11" x14ac:dyDescent="0.2">
      <c r="A1130" t="str">
        <f>HYPERLINK("https://www.tiwall.com//p/yekbealavehpanj","پنج بعلاوه‌ی یک «۱+۵»")</f>
        <v>پنج بعلاوه‌ی یک «۱+۵»</v>
      </c>
      <c r="B1130">
        <v>55</v>
      </c>
      <c r="C1130" t="s">
        <v>1101</v>
      </c>
      <c r="D1130" t="s">
        <v>256</v>
      </c>
      <c r="E1130" t="s">
        <v>138</v>
      </c>
      <c r="F1130" t="s">
        <v>3130</v>
      </c>
      <c r="G1130" t="s">
        <v>1103</v>
      </c>
      <c r="H1130" t="s">
        <v>1103</v>
      </c>
      <c r="I1130">
        <v>0</v>
      </c>
      <c r="J1130">
        <v>0</v>
      </c>
      <c r="K1130" t="s">
        <v>3131</v>
      </c>
    </row>
    <row r="1131" spans="1:11" x14ac:dyDescent="0.2">
      <c r="A1131" t="str">
        <f>HYPERLINK("https://www.tiwall.com//p/madagascar5","ماداگاسکار")</f>
        <v>ماداگاسکار</v>
      </c>
      <c r="B1131">
        <v>70</v>
      </c>
      <c r="C1131" t="s">
        <v>103</v>
      </c>
      <c r="D1131" t="s">
        <v>65</v>
      </c>
      <c r="E1131" t="s">
        <v>26</v>
      </c>
      <c r="F1131" t="s">
        <v>226</v>
      </c>
      <c r="G1131" t="s">
        <v>3132</v>
      </c>
      <c r="H1131" t="s">
        <v>3133</v>
      </c>
      <c r="I1131">
        <v>3.4</v>
      </c>
      <c r="J1131">
        <v>12</v>
      </c>
      <c r="K1131" t="s">
        <v>3134</v>
      </c>
    </row>
    <row r="1132" spans="1:11" x14ac:dyDescent="0.2">
      <c r="A1132" t="str">
        <f>HYPERLINK("https://www.tiwall.com//p/motori","موتوری")</f>
        <v>موتوری</v>
      </c>
      <c r="B1132">
        <v>60</v>
      </c>
      <c r="C1132" t="s">
        <v>180</v>
      </c>
      <c r="D1132" t="s">
        <v>25</v>
      </c>
      <c r="E1132" t="s">
        <v>138</v>
      </c>
      <c r="F1132" t="s">
        <v>1187</v>
      </c>
      <c r="G1132" t="s">
        <v>3135</v>
      </c>
      <c r="H1132" t="s">
        <v>3135</v>
      </c>
      <c r="I1132">
        <v>3.2</v>
      </c>
      <c r="J1132">
        <v>16</v>
      </c>
      <c r="K1132" t="s">
        <v>3136</v>
      </c>
    </row>
    <row r="1133" spans="1:11" x14ac:dyDescent="0.2">
      <c r="A1133" t="str">
        <f>HYPERLINK("https://www.tiwall.com//p/biheivan9","تئاتر بی حیوان")</f>
        <v>تئاتر بی حیوان</v>
      </c>
      <c r="B1133">
        <v>80</v>
      </c>
      <c r="C1133" t="s">
        <v>56</v>
      </c>
      <c r="D1133" t="s">
        <v>45</v>
      </c>
      <c r="E1133" t="s">
        <v>26</v>
      </c>
      <c r="F1133" t="s">
        <v>2885</v>
      </c>
      <c r="G1133" t="s">
        <v>3137</v>
      </c>
      <c r="H1133" t="s">
        <v>3138</v>
      </c>
      <c r="I1133">
        <v>0</v>
      </c>
      <c r="J1133">
        <v>0</v>
      </c>
      <c r="K1133" t="s">
        <v>3139</v>
      </c>
    </row>
    <row r="1134" spans="1:11" x14ac:dyDescent="0.2">
      <c r="A1134" t="str">
        <f>HYPERLINK("https://www.tiwall.com//p/diasha","دیاشا")</f>
        <v>دیاشا</v>
      </c>
      <c r="B1134">
        <v>90</v>
      </c>
      <c r="C1134" t="s">
        <v>18</v>
      </c>
      <c r="D1134" t="s">
        <v>65</v>
      </c>
      <c r="E1134" t="s">
        <v>26</v>
      </c>
      <c r="F1134" t="s">
        <v>3140</v>
      </c>
      <c r="G1134" t="s">
        <v>2037</v>
      </c>
      <c r="H1134" t="s">
        <v>2037</v>
      </c>
      <c r="I1134">
        <v>0</v>
      </c>
      <c r="J1134">
        <v>0</v>
      </c>
      <c r="K1134" t="s">
        <v>3141</v>
      </c>
    </row>
    <row r="1135" spans="1:11" x14ac:dyDescent="0.2">
      <c r="A1135" t="str">
        <f>HYPERLINK("https://www.tiwall.com//p/chekhahad","چه خواهد بودن")</f>
        <v>چه خواهد بودن</v>
      </c>
      <c r="B1135">
        <v>40</v>
      </c>
      <c r="C1135" t="s">
        <v>64</v>
      </c>
      <c r="D1135" t="s">
        <v>25</v>
      </c>
      <c r="E1135" t="s">
        <v>13</v>
      </c>
      <c r="F1135" t="s">
        <v>3142</v>
      </c>
      <c r="G1135" t="s">
        <v>3143</v>
      </c>
      <c r="H1135" t="s">
        <v>3143</v>
      </c>
      <c r="I1135">
        <v>0</v>
      </c>
      <c r="J1135">
        <v>0</v>
      </c>
      <c r="K1135" t="s">
        <v>3144</v>
      </c>
    </row>
    <row r="1136" spans="1:11" x14ac:dyDescent="0.2">
      <c r="A1136" t="str">
        <f>HYPERLINK("https://www.tiwall.com//p/hamlet20","هملت پشتکوهی")</f>
        <v>هملت پشتکوهی</v>
      </c>
      <c r="B1136">
        <v>50</v>
      </c>
      <c r="C1136" t="s">
        <v>3145</v>
      </c>
      <c r="D1136" t="s">
        <v>12</v>
      </c>
      <c r="E1136" t="s">
        <v>1783</v>
      </c>
      <c r="F1136" t="s">
        <v>336</v>
      </c>
      <c r="G1136" t="s">
        <v>1784</v>
      </c>
      <c r="H1136" t="s">
        <v>1784</v>
      </c>
      <c r="I1136">
        <v>0</v>
      </c>
      <c r="J1136">
        <v>0</v>
      </c>
      <c r="K1136" t="s">
        <v>3146</v>
      </c>
    </row>
    <row r="1137" spans="1:11" x14ac:dyDescent="0.2">
      <c r="A1137" t="str">
        <f>HYPERLINK("https://www.tiwall.com//p/emartghadimi","عمارت قدیمی")</f>
        <v>عمارت قدیمی</v>
      </c>
      <c r="B1137">
        <v>80</v>
      </c>
      <c r="C1137" t="s">
        <v>24</v>
      </c>
      <c r="D1137" t="s">
        <v>559</v>
      </c>
      <c r="E1137" t="s">
        <v>88</v>
      </c>
      <c r="F1137" t="s">
        <v>2311</v>
      </c>
      <c r="G1137" t="s">
        <v>719</v>
      </c>
      <c r="H1137" t="s">
        <v>3147</v>
      </c>
      <c r="I1137">
        <v>0</v>
      </c>
      <c r="J1137">
        <v>0</v>
      </c>
      <c r="K1137" t="s">
        <v>3148</v>
      </c>
    </row>
    <row r="1138" spans="1:11" x14ac:dyDescent="0.2">
      <c r="A1138" t="str">
        <f>HYPERLINK("https://www.tiwall.com//p/anti.evil","آنتی اویل")</f>
        <v>آنتی اویل</v>
      </c>
      <c r="B1138">
        <v>70</v>
      </c>
      <c r="C1138" t="s">
        <v>86</v>
      </c>
      <c r="D1138" t="s">
        <v>45</v>
      </c>
      <c r="E1138" t="s">
        <v>26</v>
      </c>
      <c r="F1138" t="s">
        <v>3149</v>
      </c>
      <c r="G1138" t="s">
        <v>3150</v>
      </c>
      <c r="H1138" t="s">
        <v>62</v>
      </c>
      <c r="I1138">
        <v>3.4</v>
      </c>
      <c r="J1138">
        <v>34</v>
      </c>
      <c r="K1138" t="s">
        <v>3151</v>
      </c>
    </row>
    <row r="1139" spans="1:11" x14ac:dyDescent="0.2">
      <c r="A1139" t="str">
        <f>HYPERLINK("https://www.tiwall.com//p/bivehaye.jang9","بیوه های غمگین سالار جنگ")</f>
        <v>بیوه های غمگین سالار جنگ</v>
      </c>
      <c r="B1139">
        <v>90</v>
      </c>
      <c r="C1139" t="s">
        <v>224</v>
      </c>
      <c r="D1139" t="s">
        <v>12</v>
      </c>
      <c r="E1139" t="s">
        <v>1063</v>
      </c>
      <c r="F1139" t="s">
        <v>1208</v>
      </c>
      <c r="G1139" t="s">
        <v>3152</v>
      </c>
      <c r="H1139" t="s">
        <v>1840</v>
      </c>
      <c r="I1139">
        <v>4.5999999999999996</v>
      </c>
      <c r="J1139">
        <v>7</v>
      </c>
      <c r="K1139" t="s">
        <v>3153</v>
      </c>
    </row>
    <row r="1140" spans="1:11" x14ac:dyDescent="0.2">
      <c r="A1140" t="str">
        <f>HYPERLINK("https://www.tiwall.com//p/jarihe.rooh","یازده جریحهٔ روح")</f>
        <v>یازده جریحهٔ روح</v>
      </c>
      <c r="B1140">
        <v>50</v>
      </c>
      <c r="C1140" t="s">
        <v>1314</v>
      </c>
      <c r="D1140" t="s">
        <v>65</v>
      </c>
      <c r="E1140" t="s">
        <v>2229</v>
      </c>
      <c r="F1140" t="s">
        <v>3154</v>
      </c>
      <c r="G1140" t="s">
        <v>1064</v>
      </c>
      <c r="H1140" t="s">
        <v>1064</v>
      </c>
      <c r="I1140">
        <v>2.6</v>
      </c>
      <c r="J1140">
        <v>17</v>
      </c>
      <c r="K1140" t="s">
        <v>3155</v>
      </c>
    </row>
    <row r="1141" spans="1:11" x14ac:dyDescent="0.2">
      <c r="A1141" t="str">
        <f>HYPERLINK("https://www.tiwall.com//p/leyli2plus5","لیلی وگروه 5+2")</f>
        <v>لیلی وگروه 5+2</v>
      </c>
      <c r="B1141">
        <v>20</v>
      </c>
      <c r="C1141" t="s">
        <v>1630</v>
      </c>
      <c r="D1141" t="s">
        <v>87</v>
      </c>
      <c r="E1141" t="s">
        <v>13</v>
      </c>
      <c r="F1141" t="s">
        <v>2956</v>
      </c>
      <c r="G1141" t="s">
        <v>3156</v>
      </c>
      <c r="H1141" t="s">
        <v>3156</v>
      </c>
      <c r="I1141">
        <v>0</v>
      </c>
      <c r="J1141">
        <v>0</v>
      </c>
      <c r="K1141" t="s">
        <v>3157</v>
      </c>
    </row>
    <row r="1142" spans="1:11" x14ac:dyDescent="0.2">
      <c r="A1142" t="str">
        <f>HYPERLINK("https://www.tiwall.com//p/boogiewoogie","بووگی ووگی برادوی")</f>
        <v>بووگی ووگی برادوی</v>
      </c>
      <c r="B1142">
        <v>60</v>
      </c>
      <c r="C1142" t="s">
        <v>86</v>
      </c>
      <c r="D1142" t="s">
        <v>87</v>
      </c>
      <c r="E1142" t="s">
        <v>303</v>
      </c>
      <c r="F1142" t="s">
        <v>289</v>
      </c>
      <c r="G1142" t="s">
        <v>135</v>
      </c>
      <c r="H1142" t="s">
        <v>135</v>
      </c>
      <c r="I1142">
        <v>3</v>
      </c>
      <c r="J1142">
        <v>20</v>
      </c>
      <c r="K1142" t="s">
        <v>3158</v>
      </c>
    </row>
    <row r="1143" spans="1:11" x14ac:dyDescent="0.2">
      <c r="A1143" t="str">
        <f>HYPERLINK("https://www.tiwall.com//p/longshot","لانگ شات")</f>
        <v>لانگ شات</v>
      </c>
      <c r="B1143">
        <v>100</v>
      </c>
      <c r="C1143" t="s">
        <v>344</v>
      </c>
      <c r="D1143" t="s">
        <v>217</v>
      </c>
      <c r="E1143" t="s">
        <v>26</v>
      </c>
      <c r="F1143" t="s">
        <v>812</v>
      </c>
      <c r="G1143" t="s">
        <v>2544</v>
      </c>
      <c r="H1143" t="s">
        <v>2545</v>
      </c>
      <c r="I1143">
        <v>4.0999999999999996</v>
      </c>
      <c r="J1143">
        <v>26</v>
      </c>
      <c r="K1143" t="s">
        <v>2544</v>
      </c>
    </row>
    <row r="1144" spans="1:11" x14ac:dyDescent="0.2">
      <c r="A1144" t="str">
        <f>HYPERLINK("https://www.tiwall.com//p/ghahreman4","قهرمانهای پوشالی")</f>
        <v>قهرمانهای پوشالی</v>
      </c>
      <c r="B1144">
        <v>50</v>
      </c>
      <c r="C1144" t="s">
        <v>64</v>
      </c>
      <c r="D1144" t="s">
        <v>12</v>
      </c>
      <c r="E1144" t="s">
        <v>26</v>
      </c>
      <c r="F1144" t="s">
        <v>971</v>
      </c>
      <c r="G1144" t="s">
        <v>3159</v>
      </c>
      <c r="H1144" t="s">
        <v>3160</v>
      </c>
      <c r="I1144">
        <v>0</v>
      </c>
      <c r="J1144">
        <v>0</v>
      </c>
      <c r="K1144" t="s">
        <v>3161</v>
      </c>
    </row>
    <row r="1145" spans="1:11" x14ac:dyDescent="0.2">
      <c r="A1145" t="str">
        <f>HYPERLINK("https://www.tiwall.com//p/golouleh.dar.gordeh","گلوله در گُرده")</f>
        <v>گلوله در گُرده</v>
      </c>
      <c r="B1145">
        <v>40</v>
      </c>
      <c r="C1145" t="s">
        <v>3162</v>
      </c>
      <c r="D1145" t="s">
        <v>265</v>
      </c>
      <c r="E1145" t="s">
        <v>138</v>
      </c>
      <c r="F1145" t="s">
        <v>3163</v>
      </c>
      <c r="G1145" t="s">
        <v>3164</v>
      </c>
      <c r="H1145" t="s">
        <v>3164</v>
      </c>
      <c r="I1145">
        <v>0</v>
      </c>
      <c r="J1145">
        <v>0</v>
      </c>
      <c r="K1145" t="s">
        <v>3165</v>
      </c>
    </row>
    <row r="1146" spans="1:11" x14ac:dyDescent="0.2">
      <c r="A1146" t="str">
        <f>HYPERLINK("https://www.tiwall.com//p/barandeh.sahm2","برنده سهمی نمی برد")</f>
        <v>برنده سهمی نمی برد</v>
      </c>
      <c r="B1146">
        <v>30</v>
      </c>
      <c r="C1146" t="s">
        <v>369</v>
      </c>
      <c r="D1146" t="s">
        <v>45</v>
      </c>
      <c r="E1146" t="s">
        <v>138</v>
      </c>
      <c r="F1146" t="s">
        <v>52</v>
      </c>
      <c r="G1146" t="s">
        <v>3166</v>
      </c>
      <c r="H1146" t="s">
        <v>3167</v>
      </c>
      <c r="I1146">
        <v>2.7</v>
      </c>
      <c r="J1146">
        <v>39</v>
      </c>
      <c r="K1146" t="s">
        <v>3168</v>
      </c>
    </row>
    <row r="1147" spans="1:11" x14ac:dyDescent="0.2">
      <c r="A1147" t="str">
        <f>HYPERLINK("https://www.tiwall.com//p/anarchist8","مرگ تصادفی یک آنارشیست")</f>
        <v>مرگ تصادفی یک آنارشیست</v>
      </c>
      <c r="B1147">
        <v>60</v>
      </c>
      <c r="C1147" t="s">
        <v>1215</v>
      </c>
      <c r="D1147" t="s">
        <v>65</v>
      </c>
      <c r="E1147" t="s">
        <v>26</v>
      </c>
      <c r="F1147" t="s">
        <v>57</v>
      </c>
      <c r="G1147" t="s">
        <v>889</v>
      </c>
      <c r="H1147" t="s">
        <v>1084</v>
      </c>
      <c r="I1147">
        <v>0</v>
      </c>
      <c r="J1147">
        <v>0</v>
      </c>
      <c r="K1147" t="s">
        <v>3169</v>
      </c>
    </row>
    <row r="1148" spans="1:11" x14ac:dyDescent="0.2">
      <c r="A1148" t="str">
        <f>HYPERLINK("https://www.tiwall.com//p/ansuye.ayne3","آن سوی آینه")</f>
        <v>آن سوی آینه</v>
      </c>
      <c r="B1148">
        <v>100</v>
      </c>
      <c r="C1148" t="s">
        <v>1615</v>
      </c>
      <c r="D1148" t="s">
        <v>32</v>
      </c>
      <c r="E1148" t="s">
        <v>39</v>
      </c>
      <c r="F1148" t="s">
        <v>188</v>
      </c>
      <c r="G1148" t="s">
        <v>3170</v>
      </c>
      <c r="H1148" t="s">
        <v>91</v>
      </c>
      <c r="I1148">
        <v>3.7</v>
      </c>
      <c r="J1148">
        <v>183</v>
      </c>
      <c r="K1148" t="s">
        <v>3171</v>
      </c>
    </row>
    <row r="1149" spans="1:11" x14ac:dyDescent="0.2">
      <c r="A1149" t="str">
        <f>HYPERLINK("https://www.tiwall.com//p/lilith2","لیلیت")</f>
        <v>لیلیت</v>
      </c>
      <c r="B1149">
        <v>40</v>
      </c>
      <c r="C1149" t="s">
        <v>344</v>
      </c>
      <c r="D1149" t="s">
        <v>280</v>
      </c>
      <c r="E1149" t="s">
        <v>138</v>
      </c>
      <c r="F1149" t="s">
        <v>1032</v>
      </c>
      <c r="G1149" t="s">
        <v>3172</v>
      </c>
      <c r="H1149" t="s">
        <v>3172</v>
      </c>
      <c r="I1149">
        <v>3.5</v>
      </c>
      <c r="J1149">
        <v>10</v>
      </c>
      <c r="K1149" t="s">
        <v>3173</v>
      </c>
    </row>
    <row r="1150" spans="1:11" x14ac:dyDescent="0.2">
      <c r="A1150" t="str">
        <f>HYPERLINK("https://www.tiwall.com//p/siarihoun","سیاریحون")</f>
        <v>سیاریحون</v>
      </c>
      <c r="B1150">
        <v>60</v>
      </c>
      <c r="C1150" t="s">
        <v>69</v>
      </c>
      <c r="D1150" t="s">
        <v>45</v>
      </c>
      <c r="E1150" t="s">
        <v>194</v>
      </c>
      <c r="F1150" t="s">
        <v>2277</v>
      </c>
      <c r="G1150" t="s">
        <v>3174</v>
      </c>
      <c r="H1150" t="s">
        <v>2163</v>
      </c>
      <c r="I1150">
        <v>0</v>
      </c>
      <c r="J1150">
        <v>0</v>
      </c>
      <c r="K1150" t="s">
        <v>3175</v>
      </c>
    </row>
    <row r="1151" spans="1:11" x14ac:dyDescent="0.2">
      <c r="A1151" t="str">
        <f>HYPERLINK("https://www.tiwall.com//p/zatyazat","ذات یا ضات")</f>
        <v>ذات یا ضات</v>
      </c>
      <c r="B1151">
        <v>50</v>
      </c>
      <c r="C1151" t="s">
        <v>262</v>
      </c>
      <c r="D1151" t="s">
        <v>87</v>
      </c>
      <c r="E1151" t="s">
        <v>1202</v>
      </c>
      <c r="F1151" t="s">
        <v>1531</v>
      </c>
      <c r="G1151" t="s">
        <v>3176</v>
      </c>
      <c r="H1151" t="s">
        <v>3177</v>
      </c>
      <c r="I1151">
        <v>0</v>
      </c>
      <c r="J1151">
        <v>0</v>
      </c>
      <c r="K1151" t="s">
        <v>3178</v>
      </c>
    </row>
    <row r="1152" spans="1:11" x14ac:dyDescent="0.2">
      <c r="A1152" t="str">
        <f>HYPERLINK("https://www.tiwall.com//p/arusidokhtarrostam2","عروسی دختر رستم (بانو گُشَسب)")</f>
        <v>عروسی دختر رستم (بانو گُشَسب)</v>
      </c>
      <c r="B1152">
        <v>35</v>
      </c>
      <c r="C1152" t="s">
        <v>199</v>
      </c>
      <c r="D1152" t="s">
        <v>12</v>
      </c>
      <c r="E1152" t="s">
        <v>13</v>
      </c>
      <c r="F1152" t="s">
        <v>3179</v>
      </c>
      <c r="G1152" t="s">
        <v>2610</v>
      </c>
      <c r="H1152" t="s">
        <v>3180</v>
      </c>
      <c r="I1152">
        <v>0</v>
      </c>
      <c r="J1152">
        <v>0</v>
      </c>
      <c r="K1152" t="s">
        <v>3181</v>
      </c>
    </row>
    <row r="1153" spans="1:11" x14ac:dyDescent="0.2">
      <c r="A1153" t="str">
        <f>HYPERLINK("https://www.tiwall.com//p/hamletsyndrome","سندرم هملت")</f>
        <v>سندرم هملت</v>
      </c>
      <c r="B1153">
        <v>40</v>
      </c>
      <c r="C1153" t="s">
        <v>514</v>
      </c>
      <c r="D1153" t="s">
        <v>217</v>
      </c>
      <c r="E1153" t="s">
        <v>194</v>
      </c>
      <c r="F1153" t="s">
        <v>778</v>
      </c>
      <c r="G1153" t="s">
        <v>1230</v>
      </c>
      <c r="H1153" t="s">
        <v>1230</v>
      </c>
      <c r="I1153">
        <v>3.7</v>
      </c>
      <c r="J1153">
        <v>41</v>
      </c>
      <c r="K1153" t="s">
        <v>3182</v>
      </c>
    </row>
    <row r="1154" spans="1:11" x14ac:dyDescent="0.2">
      <c r="A1154" t="str">
        <f>HYPERLINK("https://www.tiwall.com//p/golbekhodi","گل به خودی")</f>
        <v>گل به خودی</v>
      </c>
      <c r="B1154">
        <v>90</v>
      </c>
      <c r="C1154" t="s">
        <v>86</v>
      </c>
      <c r="D1154" t="s">
        <v>265</v>
      </c>
      <c r="E1154" t="s">
        <v>26</v>
      </c>
      <c r="F1154" t="s">
        <v>3183</v>
      </c>
      <c r="G1154" t="s">
        <v>3184</v>
      </c>
      <c r="H1154" t="s">
        <v>3185</v>
      </c>
      <c r="I1154">
        <v>4</v>
      </c>
      <c r="J1154">
        <v>70</v>
      </c>
      <c r="K1154" t="s">
        <v>3186</v>
      </c>
    </row>
    <row r="1155" spans="1:11" x14ac:dyDescent="0.2">
      <c r="A1155" t="str">
        <f>HYPERLINK("https://www.tiwall.com//p/asrejadid2","سیاه بازی عصر جدید")</f>
        <v>سیاه بازی عصر جدید</v>
      </c>
      <c r="B1155">
        <v>30</v>
      </c>
      <c r="C1155" t="s">
        <v>3187</v>
      </c>
      <c r="D1155" t="s">
        <v>65</v>
      </c>
      <c r="E1155" t="s">
        <v>26</v>
      </c>
      <c r="F1155" t="s">
        <v>3188</v>
      </c>
      <c r="G1155" t="s">
        <v>1982</v>
      </c>
      <c r="H1155" t="s">
        <v>1982</v>
      </c>
      <c r="I1155">
        <v>0</v>
      </c>
      <c r="J1155">
        <v>0</v>
      </c>
      <c r="K1155" t="s">
        <v>3189</v>
      </c>
    </row>
    <row r="1156" spans="1:11" x14ac:dyDescent="0.2">
      <c r="A1156" t="str">
        <f>HYPERLINK("https://www.tiwall.com//p/goftogoyeasheghane","یک گفتگوی عاشقانه در صبح دل‌انگیز سرد زمستانی")</f>
        <v>یک گفتگوی عاشقانه در صبح دل‌انگیز سرد زمستانی</v>
      </c>
      <c r="B1156">
        <v>35</v>
      </c>
      <c r="C1156" t="s">
        <v>155</v>
      </c>
      <c r="D1156" t="s">
        <v>32</v>
      </c>
      <c r="E1156" t="s">
        <v>46</v>
      </c>
      <c r="F1156" t="s">
        <v>104</v>
      </c>
      <c r="G1156" t="s">
        <v>3190</v>
      </c>
      <c r="H1156" t="s">
        <v>3191</v>
      </c>
      <c r="I1156">
        <v>0</v>
      </c>
      <c r="J1156">
        <v>0</v>
      </c>
      <c r="K1156" t="s">
        <v>3192</v>
      </c>
    </row>
    <row r="1157" spans="1:11" x14ac:dyDescent="0.2">
      <c r="A1157" t="str">
        <f>HYPERLINK("https://www.tiwall.com//p/marg4","مرگ")</f>
        <v>مرگ</v>
      </c>
      <c r="B1157">
        <v>90</v>
      </c>
      <c r="C1157" t="s">
        <v>18</v>
      </c>
      <c r="D1157" t="s">
        <v>45</v>
      </c>
      <c r="E1157" t="s">
        <v>26</v>
      </c>
      <c r="F1157" t="s">
        <v>1642</v>
      </c>
      <c r="G1157" t="s">
        <v>2859</v>
      </c>
      <c r="H1157" t="s">
        <v>3193</v>
      </c>
      <c r="I1157">
        <v>3.9</v>
      </c>
      <c r="J1157">
        <v>48</v>
      </c>
      <c r="K1157" t="s">
        <v>3194</v>
      </c>
    </row>
    <row r="1158" spans="1:11" x14ac:dyDescent="0.2">
      <c r="A1158" t="str">
        <f>HYPERLINK("https://www.tiwall.com//p/chehrazi2","چهرازی")</f>
        <v>چهرازی</v>
      </c>
      <c r="B1158">
        <v>40</v>
      </c>
      <c r="C1158" t="s">
        <v>199</v>
      </c>
      <c r="D1158" t="s">
        <v>384</v>
      </c>
      <c r="E1158" t="s">
        <v>13</v>
      </c>
      <c r="F1158" t="s">
        <v>3195</v>
      </c>
      <c r="G1158" t="s">
        <v>3196</v>
      </c>
      <c r="H1158" t="s">
        <v>817</v>
      </c>
      <c r="I1158">
        <v>2.4</v>
      </c>
      <c r="J1158">
        <v>8</v>
      </c>
      <c r="K1158" t="s">
        <v>3197</v>
      </c>
    </row>
    <row r="1159" spans="1:11" x14ac:dyDescent="0.2">
      <c r="A1159" t="str">
        <f>HYPERLINK("https://www.tiwall.com//p/taraghob2","تَرَقُب")</f>
        <v>تَرَقُب</v>
      </c>
      <c r="B1159">
        <v>40</v>
      </c>
      <c r="C1159" t="s">
        <v>151</v>
      </c>
      <c r="D1159" t="s">
        <v>45</v>
      </c>
      <c r="E1159" t="s">
        <v>138</v>
      </c>
      <c r="F1159" t="s">
        <v>359</v>
      </c>
      <c r="G1159" t="s">
        <v>3198</v>
      </c>
      <c r="H1159" t="s">
        <v>3199</v>
      </c>
      <c r="I1159">
        <v>3.8</v>
      </c>
      <c r="J1159">
        <v>16</v>
      </c>
      <c r="K1159" t="s">
        <v>3200</v>
      </c>
    </row>
    <row r="1160" spans="1:11" x14ac:dyDescent="0.2">
      <c r="A1160" t="str">
        <f>HYPERLINK("https://www.tiwall.com//p/khouneh","خونه")</f>
        <v>خونه</v>
      </c>
      <c r="B1160">
        <v>50</v>
      </c>
      <c r="C1160" t="s">
        <v>145</v>
      </c>
      <c r="D1160" t="s">
        <v>280</v>
      </c>
      <c r="E1160" t="s">
        <v>19</v>
      </c>
      <c r="F1160" t="s">
        <v>3201</v>
      </c>
      <c r="G1160" t="s">
        <v>3202</v>
      </c>
      <c r="H1160" t="s">
        <v>3202</v>
      </c>
      <c r="I1160">
        <v>3.1</v>
      </c>
      <c r="J1160">
        <v>7</v>
      </c>
      <c r="K1160" t="s">
        <v>3203</v>
      </c>
    </row>
    <row r="1161" spans="1:11" x14ac:dyDescent="0.2">
      <c r="A1161" t="str">
        <f>HYPERLINK("https://www.tiwall.com//p/alande.nazanin3","آلندۀ نازنین")</f>
        <v>آلندۀ نازنین</v>
      </c>
      <c r="B1161">
        <v>80</v>
      </c>
      <c r="C1161" t="s">
        <v>358</v>
      </c>
      <c r="D1161" t="s">
        <v>45</v>
      </c>
      <c r="E1161" t="s">
        <v>1063</v>
      </c>
      <c r="F1161" t="s">
        <v>3204</v>
      </c>
      <c r="G1161" t="s">
        <v>3205</v>
      </c>
      <c r="H1161" t="s">
        <v>3206</v>
      </c>
      <c r="I1161">
        <v>4.0999999999999996</v>
      </c>
      <c r="J1161">
        <v>313</v>
      </c>
      <c r="K1161" t="s">
        <v>3207</v>
      </c>
    </row>
    <row r="1162" spans="1:11" x14ac:dyDescent="0.2">
      <c r="A1162" t="str">
        <f>HYPERLINK("https://www.tiwall.com//p/khab.gheib","خواب غیب")</f>
        <v>خواب غیب</v>
      </c>
      <c r="B1162">
        <v>110</v>
      </c>
      <c r="C1162" t="s">
        <v>11</v>
      </c>
      <c r="D1162" t="s">
        <v>146</v>
      </c>
      <c r="E1162" t="s">
        <v>13</v>
      </c>
      <c r="F1162" t="s">
        <v>2967</v>
      </c>
      <c r="G1162" t="s">
        <v>3208</v>
      </c>
      <c r="H1162" t="s">
        <v>3208</v>
      </c>
      <c r="I1162">
        <v>0</v>
      </c>
      <c r="J1162">
        <v>0</v>
      </c>
      <c r="K1162" t="s">
        <v>3209</v>
      </c>
    </row>
    <row r="1163" spans="1:11" x14ac:dyDescent="0.2">
      <c r="A1163" t="str">
        <f>HYPERLINK("https://www.tiwall.com//p/espaniyayi3","نمایش اسپانیایی")</f>
        <v>نمایش اسپانیایی</v>
      </c>
      <c r="B1163">
        <v>50</v>
      </c>
      <c r="C1163" t="s">
        <v>121</v>
      </c>
      <c r="D1163" t="s">
        <v>87</v>
      </c>
      <c r="E1163" t="s">
        <v>303</v>
      </c>
      <c r="F1163" t="s">
        <v>2211</v>
      </c>
      <c r="G1163" t="s">
        <v>1825</v>
      </c>
      <c r="H1163" t="s">
        <v>685</v>
      </c>
      <c r="I1163">
        <v>0</v>
      </c>
      <c r="J1163">
        <v>0</v>
      </c>
      <c r="K1163" t="s">
        <v>3210</v>
      </c>
    </row>
    <row r="1164" spans="1:11" x14ac:dyDescent="0.2">
      <c r="A1164" t="str">
        <f>HYPERLINK("https://www.tiwall.com//p/adam2","عدم")</f>
        <v>عدم</v>
      </c>
      <c r="B1164">
        <v>80</v>
      </c>
      <c r="C1164" t="s">
        <v>928</v>
      </c>
      <c r="D1164" t="s">
        <v>3211</v>
      </c>
      <c r="E1164" t="s">
        <v>13</v>
      </c>
      <c r="F1164" t="s">
        <v>1872</v>
      </c>
      <c r="G1164" t="s">
        <v>2023</v>
      </c>
      <c r="H1164" t="s">
        <v>3212</v>
      </c>
      <c r="I1164">
        <v>3.9</v>
      </c>
      <c r="J1164">
        <v>10</v>
      </c>
      <c r="K1164" t="s">
        <v>3213</v>
      </c>
    </row>
    <row r="1165" spans="1:11" x14ac:dyDescent="0.2">
      <c r="A1165" t="str">
        <f>HYPERLINK("https://www.tiwall.com//p/khat.zamani2","روی خط زمانی غیر مستقیم")</f>
        <v>روی خط زمانی غیر مستقیم</v>
      </c>
      <c r="B1165">
        <v>50</v>
      </c>
      <c r="C1165" t="s">
        <v>51</v>
      </c>
      <c r="D1165" t="s">
        <v>384</v>
      </c>
      <c r="E1165" t="s">
        <v>13</v>
      </c>
      <c r="F1165" t="s">
        <v>668</v>
      </c>
      <c r="G1165" t="s">
        <v>1052</v>
      </c>
      <c r="H1165" t="s">
        <v>2072</v>
      </c>
      <c r="I1165">
        <v>0</v>
      </c>
      <c r="J1165">
        <v>0</v>
      </c>
      <c r="K1165" t="s">
        <v>3214</v>
      </c>
    </row>
    <row r="1166" spans="1:11" x14ac:dyDescent="0.2">
      <c r="A1166" t="str">
        <f>HYPERLINK("https://www.tiwall.com//p/ayoubkhan","ایوب خان")</f>
        <v>ایوب خان</v>
      </c>
      <c r="B1166">
        <v>40</v>
      </c>
      <c r="C1166" t="s">
        <v>358</v>
      </c>
      <c r="D1166" t="s">
        <v>32</v>
      </c>
      <c r="E1166" t="s">
        <v>26</v>
      </c>
      <c r="F1166" t="s">
        <v>952</v>
      </c>
      <c r="G1166" t="s">
        <v>3215</v>
      </c>
      <c r="H1166" t="s">
        <v>3215</v>
      </c>
      <c r="I1166">
        <v>2.8</v>
      </c>
      <c r="J1166">
        <v>10</v>
      </c>
      <c r="K1166" t="s">
        <v>3216</v>
      </c>
    </row>
    <row r="1167" spans="1:11" x14ac:dyDescent="0.2">
      <c r="A1167" t="str">
        <f>HYPERLINK("https://www.tiwall.com//p/farayand4","فرآیند")</f>
        <v>فرآیند</v>
      </c>
      <c r="B1167">
        <v>60</v>
      </c>
      <c r="C1167" t="s">
        <v>591</v>
      </c>
      <c r="D1167" t="s">
        <v>384</v>
      </c>
      <c r="E1167" t="s">
        <v>26</v>
      </c>
      <c r="F1167" t="s">
        <v>812</v>
      </c>
      <c r="G1167" t="s">
        <v>3217</v>
      </c>
      <c r="H1167" t="s">
        <v>3018</v>
      </c>
      <c r="I1167">
        <v>0</v>
      </c>
      <c r="J1167">
        <v>0</v>
      </c>
      <c r="K1167" t="s">
        <v>3218</v>
      </c>
    </row>
    <row r="1168" spans="1:11" x14ac:dyDescent="0.2">
      <c r="A1168" t="str">
        <f>HYPERLINK("https://www.tiwall.com//p/mardan.jangi","برگشتن افتخار آمیز مردان جنگی")</f>
        <v>برگشتن افتخار آمیز مردان جنگی</v>
      </c>
      <c r="B1168">
        <v>70</v>
      </c>
      <c r="C1168" t="s">
        <v>230</v>
      </c>
      <c r="D1168" t="s">
        <v>299</v>
      </c>
      <c r="E1168" t="s">
        <v>88</v>
      </c>
      <c r="F1168" t="s">
        <v>506</v>
      </c>
      <c r="G1168" t="s">
        <v>1820</v>
      </c>
      <c r="H1168" t="s">
        <v>895</v>
      </c>
      <c r="I1168">
        <v>3.9</v>
      </c>
      <c r="J1168">
        <v>17</v>
      </c>
      <c r="K1168" t="s">
        <v>3219</v>
      </c>
    </row>
    <row r="1169" spans="1:11" x14ac:dyDescent="0.2">
      <c r="A1169" t="str">
        <f>HYPERLINK("https://www.tiwall.com//p/golouleh.dar.gordeh2","گلوله در گُرده")</f>
        <v>گلوله در گُرده</v>
      </c>
      <c r="B1169">
        <v>40</v>
      </c>
      <c r="C1169" t="s">
        <v>3220</v>
      </c>
      <c r="D1169" t="s">
        <v>265</v>
      </c>
      <c r="E1169" t="s">
        <v>138</v>
      </c>
      <c r="F1169" t="s">
        <v>650</v>
      </c>
      <c r="G1169" t="s">
        <v>3164</v>
      </c>
      <c r="H1169" t="s">
        <v>3164</v>
      </c>
      <c r="I1169">
        <v>0</v>
      </c>
      <c r="J1169">
        <v>0</v>
      </c>
      <c r="K1169" t="s">
        <v>3221</v>
      </c>
    </row>
    <row r="1170" spans="1:11" x14ac:dyDescent="0.2">
      <c r="A1170" t="str">
        <f>HYPERLINK("https://www.tiwall.com//p/jeorj.makhouf","کمدی ژرژ مخوف")</f>
        <v>کمدی ژرژ مخوف</v>
      </c>
      <c r="B1170">
        <v>90</v>
      </c>
      <c r="C1170" t="s">
        <v>86</v>
      </c>
      <c r="D1170" t="s">
        <v>280</v>
      </c>
      <c r="E1170" t="s">
        <v>71</v>
      </c>
      <c r="F1170" t="s">
        <v>1728</v>
      </c>
      <c r="G1170" t="s">
        <v>3222</v>
      </c>
      <c r="H1170" t="s">
        <v>3223</v>
      </c>
      <c r="I1170">
        <v>0</v>
      </c>
      <c r="J1170">
        <v>0</v>
      </c>
      <c r="K1170" t="s">
        <v>3224</v>
      </c>
    </row>
    <row r="1171" spans="1:11" x14ac:dyDescent="0.2">
      <c r="A1171" t="str">
        <f>HYPERLINK("https://www.tiwall.com//p/caligula4","کالیگولا")</f>
        <v>کالیگولا</v>
      </c>
      <c r="B1171">
        <v>75</v>
      </c>
      <c r="C1171" t="s">
        <v>204</v>
      </c>
      <c r="D1171" t="s">
        <v>146</v>
      </c>
      <c r="E1171" t="s">
        <v>26</v>
      </c>
      <c r="F1171" t="s">
        <v>650</v>
      </c>
      <c r="G1171" t="s">
        <v>2523</v>
      </c>
      <c r="H1171" t="s">
        <v>758</v>
      </c>
      <c r="I1171">
        <v>3.5</v>
      </c>
      <c r="J1171">
        <v>31</v>
      </c>
      <c r="K1171" t="s">
        <v>3225</v>
      </c>
    </row>
    <row r="1172" spans="1:11" x14ac:dyDescent="0.2">
      <c r="A1172" t="str">
        <f>HYPERLINK("https://www.tiwall.com//p/naneshahrzad","ننه شهرزاد در سرزمین عجایب")</f>
        <v>ننه شهرزاد در سرزمین عجایب</v>
      </c>
      <c r="B1172">
        <v>20</v>
      </c>
      <c r="C1172" t="s">
        <v>2127</v>
      </c>
      <c r="D1172" t="s">
        <v>12</v>
      </c>
      <c r="E1172" t="s">
        <v>13</v>
      </c>
      <c r="F1172" t="s">
        <v>3226</v>
      </c>
      <c r="G1172" t="s">
        <v>3227</v>
      </c>
      <c r="H1172" t="s">
        <v>3227</v>
      </c>
      <c r="I1172">
        <v>0</v>
      </c>
      <c r="J1172">
        <v>0</v>
      </c>
      <c r="K1172" t="s">
        <v>3228</v>
      </c>
    </row>
    <row r="1173" spans="1:11" x14ac:dyDescent="0.2">
      <c r="A1173" t="str">
        <f>HYPERLINK("https://www.tiwall.com//p/sedayesokot2","صدای سکوت")</f>
        <v>صدای سکوت</v>
      </c>
      <c r="B1173">
        <v>50</v>
      </c>
      <c r="C1173" t="s">
        <v>86</v>
      </c>
      <c r="D1173" t="s">
        <v>146</v>
      </c>
      <c r="E1173" t="s">
        <v>13</v>
      </c>
      <c r="F1173" t="s">
        <v>3229</v>
      </c>
      <c r="G1173" t="s">
        <v>3230</v>
      </c>
      <c r="H1173" t="s">
        <v>3230</v>
      </c>
      <c r="I1173">
        <v>0</v>
      </c>
      <c r="J1173">
        <v>0</v>
      </c>
      <c r="K1173" t="s">
        <v>3231</v>
      </c>
    </row>
    <row r="1174" spans="1:11" x14ac:dyDescent="0.2">
      <c r="A1174" t="str">
        <f>HYPERLINK("https://www.tiwall.com//p/sarvan","سروان")</f>
        <v>سروان</v>
      </c>
      <c r="B1174">
        <v>30</v>
      </c>
      <c r="C1174" t="s">
        <v>383</v>
      </c>
      <c r="D1174" t="s">
        <v>12</v>
      </c>
      <c r="E1174" t="s">
        <v>13</v>
      </c>
      <c r="F1174" t="s">
        <v>1975</v>
      </c>
      <c r="G1174" t="s">
        <v>3232</v>
      </c>
      <c r="H1174" t="s">
        <v>3232</v>
      </c>
      <c r="I1174">
        <v>0</v>
      </c>
      <c r="J1174">
        <v>0</v>
      </c>
      <c r="K1174" t="s">
        <v>3233</v>
      </c>
    </row>
    <row r="1175" spans="1:11" x14ac:dyDescent="0.2">
      <c r="A1175" t="str">
        <f>HYPERLINK("https://www.tiwall.com//p/gandom.gorg","گندم و گرگ ناقلا")</f>
        <v>گندم و گرگ ناقلا</v>
      </c>
      <c r="B1175">
        <v>35</v>
      </c>
      <c r="C1175" t="s">
        <v>121</v>
      </c>
      <c r="D1175" t="s">
        <v>87</v>
      </c>
      <c r="E1175" t="s">
        <v>475</v>
      </c>
      <c r="F1175" t="s">
        <v>411</v>
      </c>
      <c r="G1175" t="s">
        <v>3234</v>
      </c>
      <c r="H1175" t="s">
        <v>3235</v>
      </c>
      <c r="I1175">
        <v>0</v>
      </c>
      <c r="J1175">
        <v>0</v>
      </c>
      <c r="K1175" t="s">
        <v>3236</v>
      </c>
    </row>
    <row r="1176" spans="1:11" x14ac:dyDescent="0.2">
      <c r="A1176" t="str">
        <f>HYPERLINK("https://www.tiwall.com//p/majles.azar","مجلس آذر")</f>
        <v>مجلس آذر</v>
      </c>
      <c r="B1176">
        <v>30</v>
      </c>
      <c r="C1176" t="s">
        <v>60</v>
      </c>
      <c r="D1176" t="s">
        <v>12</v>
      </c>
      <c r="E1176" t="s">
        <v>235</v>
      </c>
      <c r="F1176" t="s">
        <v>395</v>
      </c>
      <c r="G1176" t="s">
        <v>236</v>
      </c>
      <c r="H1176" t="s">
        <v>236</v>
      </c>
      <c r="I1176">
        <v>0</v>
      </c>
      <c r="J1176">
        <v>0</v>
      </c>
      <c r="K1176" t="s">
        <v>3237</v>
      </c>
    </row>
    <row r="1177" spans="1:11" x14ac:dyDescent="0.2">
      <c r="A1177" t="str">
        <f>HYPERLINK("https://www.tiwall.com//p/abdomen3","شکم")</f>
        <v>شکم</v>
      </c>
      <c r="B1177">
        <v>60</v>
      </c>
      <c r="C1177" t="s">
        <v>137</v>
      </c>
      <c r="D1177" t="s">
        <v>280</v>
      </c>
      <c r="E1177" t="s">
        <v>194</v>
      </c>
      <c r="F1177" t="s">
        <v>760</v>
      </c>
      <c r="G1177" t="s">
        <v>1442</v>
      </c>
      <c r="H1177" t="s">
        <v>520</v>
      </c>
      <c r="I1177">
        <v>4.4000000000000004</v>
      </c>
      <c r="J1177">
        <v>18</v>
      </c>
      <c r="K1177" t="s">
        <v>1443</v>
      </c>
    </row>
    <row r="1178" spans="1:11" x14ac:dyDescent="0.2">
      <c r="A1178" t="str">
        <f>HYPERLINK("https://www.tiwall.com//p/manyekzanam","من یک زنم")</f>
        <v>من یک زنم</v>
      </c>
      <c r="B1178">
        <v>70</v>
      </c>
      <c r="C1178" t="s">
        <v>24</v>
      </c>
      <c r="D1178" t="s">
        <v>12</v>
      </c>
      <c r="E1178" t="s">
        <v>235</v>
      </c>
      <c r="F1178" t="s">
        <v>2040</v>
      </c>
      <c r="G1178" t="s">
        <v>322</v>
      </c>
      <c r="H1178" t="s">
        <v>322</v>
      </c>
      <c r="I1178">
        <v>4.3</v>
      </c>
      <c r="J1178">
        <v>7</v>
      </c>
      <c r="K1178" t="s">
        <v>3238</v>
      </c>
    </row>
    <row r="1179" spans="1:11" x14ac:dyDescent="0.2">
      <c r="A1179" t="str">
        <f>HYPERLINK("https://www.tiwall.com//p/soeghasdhayi2","سوء قصدهایی به زندگی آن زن")</f>
        <v>سوء قصدهایی به زندگی آن زن</v>
      </c>
      <c r="B1179">
        <v>50</v>
      </c>
      <c r="C1179" t="s">
        <v>3239</v>
      </c>
      <c r="D1179" t="s">
        <v>25</v>
      </c>
      <c r="E1179" t="s">
        <v>26</v>
      </c>
      <c r="F1179" t="s">
        <v>592</v>
      </c>
      <c r="G1179" t="s">
        <v>733</v>
      </c>
      <c r="H1179" t="s">
        <v>3240</v>
      </c>
      <c r="I1179">
        <v>0</v>
      </c>
      <c r="J1179">
        <v>0</v>
      </c>
      <c r="K1179" t="s">
        <v>3241</v>
      </c>
    </row>
    <row r="1180" spans="1:11" x14ac:dyDescent="0.2">
      <c r="A1180" t="str">
        <f>HYPERLINK("https://www.tiwall.com//p/dardodad","درد و داد")</f>
        <v>درد و داد</v>
      </c>
      <c r="B1180">
        <v>30</v>
      </c>
      <c r="C1180" t="s">
        <v>199</v>
      </c>
      <c r="D1180" t="s">
        <v>25</v>
      </c>
      <c r="E1180" t="s">
        <v>88</v>
      </c>
      <c r="F1180" t="s">
        <v>860</v>
      </c>
      <c r="G1180" t="s">
        <v>3196</v>
      </c>
      <c r="H1180" t="s">
        <v>485</v>
      </c>
      <c r="I1180">
        <v>0</v>
      </c>
      <c r="J1180">
        <v>0</v>
      </c>
      <c r="K1180" t="s">
        <v>3242</v>
      </c>
    </row>
    <row r="1181" spans="1:11" x14ac:dyDescent="0.2">
      <c r="A1181" t="str">
        <f>HYPERLINK("https://www.tiwall.com//p/hezarmakr3","هزار و یک مکر")</f>
        <v>هزار و یک مکر</v>
      </c>
      <c r="B1181">
        <v>60</v>
      </c>
      <c r="C1181" t="s">
        <v>51</v>
      </c>
      <c r="D1181" t="s">
        <v>146</v>
      </c>
      <c r="E1181" t="s">
        <v>13</v>
      </c>
      <c r="F1181" t="s">
        <v>1306</v>
      </c>
      <c r="G1181" t="s">
        <v>3243</v>
      </c>
      <c r="H1181" t="s">
        <v>2538</v>
      </c>
      <c r="I1181">
        <v>3</v>
      </c>
      <c r="J1181">
        <v>5</v>
      </c>
      <c r="K1181" t="s">
        <v>3244</v>
      </c>
    </row>
    <row r="1182" spans="1:11" x14ac:dyDescent="0.2">
      <c r="A1182" t="str">
        <f>HYPERLINK("https://www.tiwall.com//p/berlin1010","برلین ۱۰:۱۰")</f>
        <v>برلین ۱۰:۱۰</v>
      </c>
      <c r="B1182">
        <v>25</v>
      </c>
      <c r="C1182" t="s">
        <v>11</v>
      </c>
      <c r="D1182" t="s">
        <v>45</v>
      </c>
      <c r="E1182" t="s">
        <v>26</v>
      </c>
      <c r="F1182" t="s">
        <v>1796</v>
      </c>
      <c r="G1182" t="s">
        <v>1295</v>
      </c>
      <c r="H1182" t="s">
        <v>1296</v>
      </c>
      <c r="I1182">
        <v>4.2</v>
      </c>
      <c r="J1182">
        <v>16</v>
      </c>
      <c r="K1182" t="s">
        <v>3245</v>
      </c>
    </row>
    <row r="1183" spans="1:11" x14ac:dyDescent="0.2">
      <c r="A1183" t="str">
        <f>HYPERLINK("https://www.tiwall.com//p/abrshalvarpoush2","ابر شلوارپوش")</f>
        <v>ابر شلوارپوش</v>
      </c>
      <c r="B1183">
        <v>30</v>
      </c>
      <c r="C1183" t="s">
        <v>514</v>
      </c>
      <c r="D1183" t="s">
        <v>12</v>
      </c>
      <c r="E1183" t="s">
        <v>138</v>
      </c>
      <c r="F1183" t="s">
        <v>1889</v>
      </c>
      <c r="G1183" t="s">
        <v>3246</v>
      </c>
      <c r="H1183" t="s">
        <v>3246</v>
      </c>
      <c r="I1183">
        <v>3.7</v>
      </c>
      <c r="J1183">
        <v>27</v>
      </c>
      <c r="K1183" t="s">
        <v>3246</v>
      </c>
    </row>
    <row r="1184" spans="1:11" x14ac:dyDescent="0.2">
      <c r="A1184" t="str">
        <f>HYPERLINK("https://www.tiwall.com//p/setarehayevahshi","ستاره های وحشی")</f>
        <v>ستاره های وحشی</v>
      </c>
      <c r="B1184">
        <v>20</v>
      </c>
      <c r="C1184" t="s">
        <v>3247</v>
      </c>
      <c r="D1184" t="s">
        <v>156</v>
      </c>
      <c r="E1184" t="s">
        <v>3248</v>
      </c>
      <c r="F1184" t="s">
        <v>778</v>
      </c>
      <c r="G1184" t="s">
        <v>3249</v>
      </c>
      <c r="H1184" t="s">
        <v>3249</v>
      </c>
      <c r="I1184">
        <v>0</v>
      </c>
      <c r="J1184">
        <v>0</v>
      </c>
      <c r="K1184" t="s">
        <v>3250</v>
      </c>
    </row>
    <row r="1185" spans="1:11" x14ac:dyDescent="0.2">
      <c r="A1185" t="str">
        <f>HYPERLINK("https://www.tiwall.com//p/khodahaghdarad","تنها خدا حق دارد بیدارم کند")</f>
        <v>تنها خدا حق دارد بیدارم کند</v>
      </c>
      <c r="B1185">
        <v>45</v>
      </c>
      <c r="C1185" t="s">
        <v>1215</v>
      </c>
      <c r="D1185" t="s">
        <v>32</v>
      </c>
      <c r="E1185" t="s">
        <v>13</v>
      </c>
      <c r="F1185" t="s">
        <v>3251</v>
      </c>
      <c r="G1185" t="s">
        <v>3252</v>
      </c>
      <c r="H1185" t="s">
        <v>538</v>
      </c>
      <c r="I1185">
        <v>0</v>
      </c>
      <c r="J1185">
        <v>0</v>
      </c>
      <c r="K1185" t="s">
        <v>3253</v>
      </c>
    </row>
    <row r="1186" spans="1:11" x14ac:dyDescent="0.2">
      <c r="A1186" t="str">
        <f>HYPERLINK("https://www.tiwall.com//p/jashnetavalod7","جشن تولد")</f>
        <v>جشن تولد</v>
      </c>
      <c r="B1186">
        <v>100</v>
      </c>
      <c r="C1186" t="s">
        <v>121</v>
      </c>
      <c r="D1186" t="s">
        <v>45</v>
      </c>
      <c r="E1186" t="s">
        <v>39</v>
      </c>
      <c r="F1186" t="s">
        <v>592</v>
      </c>
      <c r="G1186" t="s">
        <v>1825</v>
      </c>
      <c r="H1186" t="s">
        <v>1989</v>
      </c>
      <c r="I1186">
        <v>0</v>
      </c>
      <c r="J1186">
        <v>0</v>
      </c>
      <c r="K1186" t="s">
        <v>3254</v>
      </c>
    </row>
    <row r="1187" spans="1:11" x14ac:dyDescent="0.2">
      <c r="A1187" t="str">
        <f>HYPERLINK("https://www.tiwall.com//p/keshidegiazolat","کشیدگی عضلات زمان")</f>
        <v>کشیدگی عضلات زمان</v>
      </c>
      <c r="B1187">
        <v>50</v>
      </c>
      <c r="C1187" t="s">
        <v>44</v>
      </c>
      <c r="D1187" t="s">
        <v>65</v>
      </c>
      <c r="E1187" t="s">
        <v>13</v>
      </c>
      <c r="F1187" t="s">
        <v>3255</v>
      </c>
      <c r="G1187" t="s">
        <v>3256</v>
      </c>
      <c r="H1187" t="s">
        <v>3256</v>
      </c>
      <c r="I1187">
        <v>3.4</v>
      </c>
      <c r="J1187">
        <v>9</v>
      </c>
      <c r="K1187" t="s">
        <v>3257</v>
      </c>
    </row>
    <row r="1188" spans="1:11" x14ac:dyDescent="0.2">
      <c r="A1188" t="str">
        <f>HYPERLINK("https://www.tiwall.com//p/margmoush","مرگ موش")</f>
        <v>مرگ موش</v>
      </c>
      <c r="B1188">
        <v>30</v>
      </c>
      <c r="C1188" t="s">
        <v>137</v>
      </c>
      <c r="D1188" t="s">
        <v>32</v>
      </c>
      <c r="E1188" t="s">
        <v>46</v>
      </c>
      <c r="F1188" t="s">
        <v>2009</v>
      </c>
      <c r="G1188" t="s">
        <v>3258</v>
      </c>
      <c r="H1188" t="s">
        <v>3258</v>
      </c>
      <c r="I1188">
        <v>4</v>
      </c>
      <c r="J1188">
        <v>7</v>
      </c>
      <c r="K1188" t="s">
        <v>3259</v>
      </c>
    </row>
    <row r="1189" spans="1:11" x14ac:dyDescent="0.2">
      <c r="A1189" t="str">
        <f>HYPERLINK("https://www.tiwall.com//p/siah.ghazal","سیاه و غزال")</f>
        <v>سیاه و غزال</v>
      </c>
      <c r="B1189">
        <v>60</v>
      </c>
      <c r="C1189" t="s">
        <v>145</v>
      </c>
      <c r="D1189" t="s">
        <v>12</v>
      </c>
      <c r="E1189" t="s">
        <v>71</v>
      </c>
      <c r="F1189" t="s">
        <v>195</v>
      </c>
      <c r="G1189" t="s">
        <v>3260</v>
      </c>
      <c r="H1189" t="s">
        <v>3261</v>
      </c>
      <c r="I1189">
        <v>4.5</v>
      </c>
      <c r="J1189">
        <v>14</v>
      </c>
      <c r="K1189" t="s">
        <v>3262</v>
      </c>
    </row>
    <row r="1190" spans="1:11" x14ac:dyDescent="0.2">
      <c r="A1190" t="str">
        <f>HYPERLINK("https://www.tiwall.com//p/ostorlab","اسطرلاب")</f>
        <v>اسطرلاب</v>
      </c>
      <c r="B1190">
        <v>30</v>
      </c>
      <c r="C1190" t="s">
        <v>514</v>
      </c>
      <c r="D1190" t="s">
        <v>12</v>
      </c>
      <c r="E1190" t="s">
        <v>194</v>
      </c>
      <c r="F1190" t="s">
        <v>700</v>
      </c>
      <c r="G1190" t="s">
        <v>1529</v>
      </c>
      <c r="H1190" t="s">
        <v>1529</v>
      </c>
      <c r="I1190">
        <v>3.3</v>
      </c>
      <c r="J1190">
        <v>20</v>
      </c>
      <c r="K1190" t="s">
        <v>3263</v>
      </c>
    </row>
    <row r="1191" spans="1:11" x14ac:dyDescent="0.2">
      <c r="A1191" t="str">
        <f>HYPERLINK("https://www.tiwall.com//p/golabeton","گلابتون")</f>
        <v>گلابتون</v>
      </c>
      <c r="B1191">
        <v>70</v>
      </c>
      <c r="C1191" t="s">
        <v>44</v>
      </c>
      <c r="D1191" t="s">
        <v>70</v>
      </c>
      <c r="E1191" t="s">
        <v>19</v>
      </c>
      <c r="F1191" t="s">
        <v>27</v>
      </c>
      <c r="G1191" t="s">
        <v>472</v>
      </c>
      <c r="H1191" t="s">
        <v>1676</v>
      </c>
      <c r="I1191">
        <v>0</v>
      </c>
      <c r="J1191">
        <v>0</v>
      </c>
      <c r="K1191" t="s">
        <v>3264</v>
      </c>
    </row>
    <row r="1192" spans="1:11" x14ac:dyDescent="0.2">
      <c r="A1192" t="str">
        <f>HYPERLINK("https://www.tiwall.com//p/chelcheragh2","چلچراغ")</f>
        <v>چلچراغ</v>
      </c>
      <c r="B1192">
        <v>40</v>
      </c>
      <c r="C1192" t="s">
        <v>69</v>
      </c>
      <c r="D1192" t="s">
        <v>12</v>
      </c>
      <c r="E1192" t="s">
        <v>26</v>
      </c>
      <c r="F1192" t="s">
        <v>2009</v>
      </c>
      <c r="G1192" t="s">
        <v>3265</v>
      </c>
      <c r="H1192" t="s">
        <v>1695</v>
      </c>
      <c r="I1192">
        <v>0</v>
      </c>
      <c r="J1192">
        <v>0</v>
      </c>
      <c r="K1192" t="s">
        <v>3266</v>
      </c>
    </row>
    <row r="1193" spans="1:11" x14ac:dyDescent="0.2">
      <c r="A1193" t="str">
        <f>HYPERLINK("https://www.tiwall.com//p/khuninzaar2","خونین‌زار")</f>
        <v>خونین‌زار</v>
      </c>
      <c r="B1193">
        <v>70</v>
      </c>
      <c r="C1193" t="s">
        <v>230</v>
      </c>
      <c r="D1193" t="s">
        <v>265</v>
      </c>
      <c r="E1193" t="s">
        <v>13</v>
      </c>
      <c r="F1193" t="s">
        <v>3267</v>
      </c>
      <c r="G1193" t="s">
        <v>3268</v>
      </c>
      <c r="H1193" t="s">
        <v>3268</v>
      </c>
      <c r="I1193">
        <v>4</v>
      </c>
      <c r="J1193">
        <v>5</v>
      </c>
      <c r="K1193" t="s">
        <v>3269</v>
      </c>
    </row>
    <row r="1194" spans="1:11" x14ac:dyDescent="0.2">
      <c r="A1194" t="str">
        <f>HYPERLINK("https://www.tiwall.com//p/avazkhanekaletas","خانم آوازخوان کله طاس")</f>
        <v>خانم آوازخوان کله طاس</v>
      </c>
      <c r="B1194">
        <v>35</v>
      </c>
      <c r="C1194" t="s">
        <v>1290</v>
      </c>
      <c r="D1194" t="s">
        <v>2286</v>
      </c>
      <c r="E1194" t="s">
        <v>13</v>
      </c>
      <c r="F1194" t="s">
        <v>205</v>
      </c>
      <c r="G1194" t="s">
        <v>1484</v>
      </c>
      <c r="H1194" t="s">
        <v>1384</v>
      </c>
      <c r="I1194">
        <v>3.6</v>
      </c>
      <c r="J1194">
        <v>43</v>
      </c>
      <c r="K1194" t="s">
        <v>3270</v>
      </c>
    </row>
    <row r="1195" spans="1:11" x14ac:dyDescent="0.2">
      <c r="A1195" t="str">
        <f>HYPERLINK("https://www.tiwall.com//p/seshanbelanati2","سه شنبه های لعنتی")</f>
        <v>سه شنبه های لعنتی</v>
      </c>
      <c r="B1195">
        <v>35</v>
      </c>
      <c r="C1195" t="s">
        <v>344</v>
      </c>
      <c r="D1195" t="s">
        <v>45</v>
      </c>
      <c r="E1195" t="s">
        <v>88</v>
      </c>
      <c r="F1195" t="s">
        <v>2916</v>
      </c>
      <c r="G1195" t="s">
        <v>1389</v>
      </c>
      <c r="H1195" t="s">
        <v>1389</v>
      </c>
      <c r="I1195">
        <v>0</v>
      </c>
      <c r="J1195">
        <v>0</v>
      </c>
      <c r="K1195" t="s">
        <v>2931</v>
      </c>
    </row>
    <row r="1196" spans="1:11" x14ac:dyDescent="0.2">
      <c r="A1196" t="str">
        <f>HYPERLINK("https://www.tiwall.com//p/khalvatbihomayoun","خلوت بی همایون")</f>
        <v>خلوت بی همایون</v>
      </c>
      <c r="B1196">
        <v>60</v>
      </c>
      <c r="C1196" t="s">
        <v>37</v>
      </c>
      <c r="D1196" t="s">
        <v>32</v>
      </c>
      <c r="E1196" t="s">
        <v>26</v>
      </c>
      <c r="F1196" t="s">
        <v>1197</v>
      </c>
      <c r="G1196" t="s">
        <v>3271</v>
      </c>
      <c r="H1196" t="s">
        <v>3272</v>
      </c>
      <c r="I1196">
        <v>2.4</v>
      </c>
      <c r="J1196">
        <v>5</v>
      </c>
      <c r="K1196" t="s">
        <v>3273</v>
      </c>
    </row>
    <row r="1197" spans="1:11" x14ac:dyDescent="0.2">
      <c r="A1197" t="str">
        <f>HYPERLINK("https://www.tiwall.com//p/aznoshoroukonim3","اگر از نو شروع کنیم")</f>
        <v>اگر از نو شروع کنیم</v>
      </c>
      <c r="B1197">
        <v>40</v>
      </c>
      <c r="C1197" t="s">
        <v>64</v>
      </c>
      <c r="D1197" t="s">
        <v>146</v>
      </c>
      <c r="E1197" t="s">
        <v>26</v>
      </c>
      <c r="F1197" t="s">
        <v>932</v>
      </c>
      <c r="G1197" t="s">
        <v>3274</v>
      </c>
      <c r="H1197" t="s">
        <v>438</v>
      </c>
      <c r="I1197">
        <v>0</v>
      </c>
      <c r="J1197">
        <v>0</v>
      </c>
      <c r="K1197" t="s">
        <v>3275</v>
      </c>
    </row>
    <row r="1198" spans="1:11" x14ac:dyDescent="0.2">
      <c r="A1198" t="str">
        <f>HYPERLINK("https://www.tiwall.com//p/doodman2","دودمان")</f>
        <v>دودمان</v>
      </c>
      <c r="B1198">
        <v>30</v>
      </c>
      <c r="C1198" t="s">
        <v>108</v>
      </c>
      <c r="D1198" t="s">
        <v>217</v>
      </c>
      <c r="E1198" t="s">
        <v>26</v>
      </c>
      <c r="F1198" t="s">
        <v>1920</v>
      </c>
      <c r="G1198" t="s">
        <v>110</v>
      </c>
      <c r="H1198" t="s">
        <v>110</v>
      </c>
      <c r="I1198">
        <v>0</v>
      </c>
      <c r="J1198">
        <v>0</v>
      </c>
      <c r="K1198" t="s">
        <v>3276</v>
      </c>
    </row>
    <row r="1199" spans="1:11" x14ac:dyDescent="0.2">
      <c r="A1199" t="str">
        <f>HYPERLINK("https://www.tiwall.com//p/whoissmith2","آقای اشمیت کیه؟")</f>
        <v>آقای اشمیت کیه؟</v>
      </c>
      <c r="B1199">
        <v>100</v>
      </c>
      <c r="C1199" t="s">
        <v>31</v>
      </c>
      <c r="D1199" t="s">
        <v>12</v>
      </c>
      <c r="E1199" t="s">
        <v>303</v>
      </c>
      <c r="F1199" t="s">
        <v>1872</v>
      </c>
      <c r="G1199" t="s">
        <v>3277</v>
      </c>
      <c r="H1199" t="s">
        <v>3278</v>
      </c>
      <c r="I1199">
        <v>4</v>
      </c>
      <c r="J1199">
        <v>14</v>
      </c>
      <c r="K1199" t="s">
        <v>3279</v>
      </c>
    </row>
    <row r="1200" spans="1:11" x14ac:dyDescent="0.2">
      <c r="A1200" t="str">
        <f>HYPERLINK("https://www.tiwall.com//p/cherk","چرک")</f>
        <v>چرک</v>
      </c>
      <c r="B1200">
        <v>40</v>
      </c>
      <c r="C1200" t="s">
        <v>24</v>
      </c>
      <c r="D1200" t="s">
        <v>25</v>
      </c>
      <c r="E1200" t="s">
        <v>46</v>
      </c>
      <c r="F1200" t="s">
        <v>3280</v>
      </c>
      <c r="G1200" t="s">
        <v>783</v>
      </c>
      <c r="H1200" t="s">
        <v>783</v>
      </c>
      <c r="I1200">
        <v>0</v>
      </c>
      <c r="J1200">
        <v>0</v>
      </c>
      <c r="K1200" t="s">
        <v>3281</v>
      </c>
    </row>
    <row r="1201" spans="1:11" x14ac:dyDescent="0.2">
      <c r="A1201" t="str">
        <f>HYPERLINK("https://www.tiwall.com//p/selfi","سلفی")</f>
        <v>سلفی</v>
      </c>
      <c r="B1201">
        <v>75</v>
      </c>
      <c r="C1201" t="s">
        <v>11</v>
      </c>
      <c r="D1201" t="s">
        <v>12</v>
      </c>
      <c r="E1201" t="s">
        <v>138</v>
      </c>
      <c r="F1201" t="s">
        <v>3282</v>
      </c>
      <c r="G1201" t="s">
        <v>374</v>
      </c>
      <c r="H1201" t="s">
        <v>374</v>
      </c>
      <c r="I1201">
        <v>3.8</v>
      </c>
      <c r="J1201">
        <v>10</v>
      </c>
      <c r="K1201" t="s">
        <v>3283</v>
      </c>
    </row>
    <row r="1202" spans="1:11" x14ac:dyDescent="0.2">
      <c r="A1202" t="str">
        <f>HYPERLINK("https://www.tiwall.com//p/ostorlab3","اسطرلاب ۱/۲")</f>
        <v>اسطرلاب ۱/۲</v>
      </c>
      <c r="B1202">
        <v>60</v>
      </c>
      <c r="C1202" t="s">
        <v>37</v>
      </c>
      <c r="D1202" t="s">
        <v>45</v>
      </c>
      <c r="E1202" t="s">
        <v>88</v>
      </c>
      <c r="F1202" t="s">
        <v>89</v>
      </c>
      <c r="G1202" t="s">
        <v>1529</v>
      </c>
      <c r="H1202" t="s">
        <v>1529</v>
      </c>
      <c r="I1202">
        <v>3.2</v>
      </c>
      <c r="J1202">
        <v>35</v>
      </c>
      <c r="K1202" t="s">
        <v>3284</v>
      </c>
    </row>
    <row r="1203" spans="1:11" x14ac:dyDescent="0.2">
      <c r="A1203" t="str">
        <f>HYPERLINK("https://www.tiwall.com//p/asbpir","ماه بر تَرکِ اسب پیر")</f>
        <v>ماه بر تَرکِ اسب پیر</v>
      </c>
      <c r="B1203">
        <v>50</v>
      </c>
      <c r="C1203" t="s">
        <v>199</v>
      </c>
      <c r="D1203" t="s">
        <v>217</v>
      </c>
      <c r="E1203" t="s">
        <v>138</v>
      </c>
      <c r="F1203" t="s">
        <v>52</v>
      </c>
      <c r="G1203" t="s">
        <v>3285</v>
      </c>
      <c r="H1203" t="s">
        <v>2246</v>
      </c>
      <c r="I1203">
        <v>0</v>
      </c>
      <c r="J1203">
        <v>0</v>
      </c>
      <c r="K1203" t="s">
        <v>2246</v>
      </c>
    </row>
    <row r="1204" spans="1:11" x14ac:dyDescent="0.2">
      <c r="A1204" t="str">
        <f>HYPERLINK("https://www.tiwall.com//p/veronicasroom10","اتاق ورونیکا")</f>
        <v>اتاق ورونیکا</v>
      </c>
      <c r="B1204">
        <v>50</v>
      </c>
      <c r="C1204" t="s">
        <v>832</v>
      </c>
      <c r="D1204" t="s">
        <v>87</v>
      </c>
      <c r="E1204" t="s">
        <v>26</v>
      </c>
      <c r="F1204" t="s">
        <v>266</v>
      </c>
      <c r="G1204" t="s">
        <v>879</v>
      </c>
      <c r="H1204" t="s">
        <v>1676</v>
      </c>
      <c r="I1204">
        <v>0</v>
      </c>
      <c r="J1204">
        <v>0</v>
      </c>
      <c r="K1204" t="s">
        <v>3286</v>
      </c>
    </row>
    <row r="1205" spans="1:11" x14ac:dyDescent="0.2">
      <c r="A1205" t="str">
        <f>HYPERLINK("https://www.tiwall.com//p/shabetbekheyr","شبت بخیر")</f>
        <v>شبت بخیر</v>
      </c>
      <c r="B1205">
        <v>50</v>
      </c>
      <c r="C1205" t="s">
        <v>24</v>
      </c>
      <c r="D1205" t="s">
        <v>265</v>
      </c>
      <c r="E1205" t="s">
        <v>13</v>
      </c>
      <c r="F1205" t="s">
        <v>869</v>
      </c>
      <c r="G1205" t="s">
        <v>3287</v>
      </c>
      <c r="H1205" t="s">
        <v>3287</v>
      </c>
      <c r="I1205">
        <v>3.7</v>
      </c>
      <c r="J1205">
        <v>11</v>
      </c>
      <c r="K1205" t="s">
        <v>3288</v>
      </c>
    </row>
    <row r="1206" spans="1:11" x14ac:dyDescent="0.2">
      <c r="A1206" t="str">
        <f>HYPERLINK("https://www.tiwall.com//p/tarik.khane","تاریکخانه")</f>
        <v>تاریکخانه</v>
      </c>
      <c r="B1206">
        <v>100</v>
      </c>
      <c r="C1206" t="s">
        <v>18</v>
      </c>
      <c r="D1206" t="s">
        <v>65</v>
      </c>
      <c r="E1206" t="s">
        <v>13</v>
      </c>
      <c r="F1206" t="s">
        <v>270</v>
      </c>
      <c r="G1206" t="s">
        <v>3289</v>
      </c>
      <c r="H1206" t="s">
        <v>3289</v>
      </c>
      <c r="I1206">
        <v>4</v>
      </c>
      <c r="J1206">
        <v>14</v>
      </c>
      <c r="K1206" t="s">
        <v>3290</v>
      </c>
    </row>
    <row r="1207" spans="1:11" x14ac:dyDescent="0.2">
      <c r="A1207" t="str">
        <f>HYPERLINK("https://www.tiwall.com//p/shishabji","ایاز شیش آبجی")</f>
        <v>ایاز شیش آبجی</v>
      </c>
      <c r="B1207">
        <v>50</v>
      </c>
      <c r="C1207" t="s">
        <v>199</v>
      </c>
      <c r="D1207" t="s">
        <v>12</v>
      </c>
      <c r="E1207" t="s">
        <v>26</v>
      </c>
      <c r="F1207" t="s">
        <v>1628</v>
      </c>
      <c r="G1207" t="s">
        <v>3291</v>
      </c>
      <c r="H1207" t="s">
        <v>3292</v>
      </c>
      <c r="I1207">
        <v>0</v>
      </c>
      <c r="J1207">
        <v>0</v>
      </c>
      <c r="K1207" t="s">
        <v>3293</v>
      </c>
    </row>
    <row r="1208" spans="1:11" x14ac:dyDescent="0.2">
      <c r="A1208" t="str">
        <f>HYPERLINK("https://www.tiwall.com//p/ridedownmountmorgan","سقوط در کوه مورگان")</f>
        <v>سقوط در کوه مورگان</v>
      </c>
      <c r="B1208">
        <v>35</v>
      </c>
      <c r="C1208" t="s">
        <v>151</v>
      </c>
      <c r="D1208" t="s">
        <v>45</v>
      </c>
      <c r="E1208" t="s">
        <v>26</v>
      </c>
      <c r="F1208" t="s">
        <v>427</v>
      </c>
      <c r="G1208" t="s">
        <v>3294</v>
      </c>
      <c r="H1208" t="s">
        <v>1932</v>
      </c>
      <c r="I1208">
        <v>3.7</v>
      </c>
      <c r="J1208">
        <v>18</v>
      </c>
      <c r="K1208" t="s">
        <v>3295</v>
      </c>
    </row>
    <row r="1209" spans="1:11" x14ac:dyDescent="0.2">
      <c r="A1209" t="str">
        <f>HYPERLINK("https://www.tiwall.com//p/nafas.keshidan2","نفس کشیدن")</f>
        <v>نفس کشیدن</v>
      </c>
      <c r="B1209">
        <v>45</v>
      </c>
      <c r="C1209" t="s">
        <v>24</v>
      </c>
      <c r="D1209" t="s">
        <v>217</v>
      </c>
      <c r="E1209" t="s">
        <v>46</v>
      </c>
      <c r="F1209" t="s">
        <v>2641</v>
      </c>
      <c r="G1209" t="s">
        <v>3296</v>
      </c>
      <c r="H1209" t="s">
        <v>3296</v>
      </c>
      <c r="I1209">
        <v>3</v>
      </c>
      <c r="J1209">
        <v>22</v>
      </c>
      <c r="K1209" t="s">
        <v>3297</v>
      </c>
    </row>
    <row r="1210" spans="1:11" x14ac:dyDescent="0.2">
      <c r="A1210" t="str">
        <f>HYPERLINK("https://www.tiwall.com//p/good.doctor6","پزشک نازنین")</f>
        <v>پزشک نازنین</v>
      </c>
      <c r="B1210">
        <v>35</v>
      </c>
      <c r="C1210" t="s">
        <v>204</v>
      </c>
      <c r="D1210" t="s">
        <v>280</v>
      </c>
      <c r="E1210" t="s">
        <v>71</v>
      </c>
      <c r="F1210" t="s">
        <v>3298</v>
      </c>
      <c r="G1210" t="s">
        <v>3299</v>
      </c>
      <c r="H1210" t="s">
        <v>183</v>
      </c>
      <c r="I1210">
        <v>4</v>
      </c>
      <c r="J1210">
        <v>9</v>
      </c>
      <c r="K1210" t="s">
        <v>3300</v>
      </c>
    </row>
    <row r="1211" spans="1:11" x14ac:dyDescent="0.2">
      <c r="A1211" t="str">
        <f>HYPERLINK("https://www.tiwall.com//p/sousk","سوسک")</f>
        <v>سوسک</v>
      </c>
      <c r="B1211">
        <v>60</v>
      </c>
      <c r="C1211" t="s">
        <v>1834</v>
      </c>
      <c r="D1211" t="s">
        <v>45</v>
      </c>
      <c r="E1211" t="s">
        <v>46</v>
      </c>
      <c r="F1211" t="s">
        <v>363</v>
      </c>
      <c r="G1211" t="s">
        <v>3301</v>
      </c>
      <c r="H1211" t="s">
        <v>3301</v>
      </c>
      <c r="I1211">
        <v>0</v>
      </c>
      <c r="J1211">
        <v>0</v>
      </c>
      <c r="K1211" t="s">
        <v>3302</v>
      </c>
    </row>
    <row r="1212" spans="1:11" x14ac:dyDescent="0.2">
      <c r="A1212" t="str">
        <f>HYPERLINK("https://www.tiwall.com//p/festivalgharb2","فستیوال غرب")</f>
        <v>فستیوال غرب</v>
      </c>
      <c r="B1212">
        <v>80</v>
      </c>
      <c r="C1212" t="s">
        <v>18</v>
      </c>
      <c r="D1212" t="s">
        <v>12</v>
      </c>
      <c r="E1212" t="s">
        <v>26</v>
      </c>
      <c r="F1212" t="s">
        <v>3303</v>
      </c>
      <c r="G1212" t="s">
        <v>2894</v>
      </c>
      <c r="H1212" t="s">
        <v>2895</v>
      </c>
      <c r="I1212">
        <v>2.6</v>
      </c>
      <c r="J1212">
        <v>10</v>
      </c>
      <c r="K1212" t="s">
        <v>3304</v>
      </c>
    </row>
    <row r="1213" spans="1:11" x14ac:dyDescent="0.2">
      <c r="A1213" t="str">
        <f>HYPERLINK("https://www.tiwall.com//p/mardibakhodkareabi3","مردی با خودکار آبی")</f>
        <v>مردی با خودکار آبی</v>
      </c>
      <c r="B1213">
        <v>50</v>
      </c>
      <c r="C1213" t="s">
        <v>129</v>
      </c>
      <c r="D1213" t="s">
        <v>87</v>
      </c>
      <c r="E1213" t="s">
        <v>13</v>
      </c>
      <c r="F1213" t="s">
        <v>555</v>
      </c>
      <c r="G1213" t="s">
        <v>923</v>
      </c>
      <c r="H1213" t="s">
        <v>923</v>
      </c>
      <c r="I1213">
        <v>0</v>
      </c>
      <c r="J1213">
        <v>0</v>
      </c>
      <c r="K1213" t="s">
        <v>3305</v>
      </c>
    </row>
    <row r="1214" spans="1:11" x14ac:dyDescent="0.2">
      <c r="A1214" t="str">
        <f>HYPERLINK("https://www.tiwall.com//p/jahanam.sard","جهنم سرد")</f>
        <v>جهنم سرد</v>
      </c>
      <c r="B1214">
        <v>100</v>
      </c>
      <c r="C1214" t="s">
        <v>2150</v>
      </c>
      <c r="D1214" t="s">
        <v>32</v>
      </c>
      <c r="E1214" t="s">
        <v>88</v>
      </c>
      <c r="F1214" t="s">
        <v>3306</v>
      </c>
      <c r="G1214" t="s">
        <v>1648</v>
      </c>
      <c r="H1214" t="s">
        <v>1648</v>
      </c>
      <c r="I1214">
        <v>3.7</v>
      </c>
      <c r="J1214">
        <v>11</v>
      </c>
      <c r="K1214" t="s">
        <v>3307</v>
      </c>
    </row>
    <row r="1215" spans="1:11" x14ac:dyDescent="0.2">
      <c r="A1215" t="str">
        <f>HYPERLINK("https://www.tiwall.com//p/lir.bichareh2","مجلس شبیه لیر بیچاره")</f>
        <v>مجلس شبیه لیر بیچاره</v>
      </c>
      <c r="B1215">
        <v>60</v>
      </c>
      <c r="C1215" t="s">
        <v>112</v>
      </c>
      <c r="D1215" t="s">
        <v>12</v>
      </c>
      <c r="E1215" t="s">
        <v>26</v>
      </c>
      <c r="F1215" t="s">
        <v>270</v>
      </c>
      <c r="G1215" t="s">
        <v>2540</v>
      </c>
      <c r="H1215" t="s">
        <v>3308</v>
      </c>
      <c r="I1215">
        <v>3.7</v>
      </c>
      <c r="J1215">
        <v>42</v>
      </c>
      <c r="K1215" t="s">
        <v>3309</v>
      </c>
    </row>
    <row r="1216" spans="1:11" x14ac:dyDescent="0.2">
      <c r="A1216" t="str">
        <f>HYPERLINK("https://www.tiwall.com//p/cheshmha.mibinand2","چشم ها چه را می بینند؟")</f>
        <v>چشم ها چه را می بینند؟</v>
      </c>
      <c r="B1216">
        <v>45</v>
      </c>
      <c r="C1216" t="s">
        <v>224</v>
      </c>
      <c r="D1216" t="s">
        <v>65</v>
      </c>
      <c r="E1216" t="s">
        <v>26</v>
      </c>
      <c r="F1216" t="s">
        <v>596</v>
      </c>
      <c r="G1216" t="s">
        <v>523</v>
      </c>
      <c r="H1216" t="s">
        <v>523</v>
      </c>
      <c r="I1216">
        <v>0</v>
      </c>
      <c r="J1216">
        <v>0</v>
      </c>
      <c r="K1216" t="s">
        <v>3310</v>
      </c>
    </row>
    <row r="1217" spans="1:11" x14ac:dyDescent="0.2">
      <c r="A1217" t="str">
        <f>HYPERLINK("https://www.tiwall.com//p/qamzade5","غرب غم زده")</f>
        <v>غرب غم زده</v>
      </c>
      <c r="B1217">
        <v>70</v>
      </c>
      <c r="C1217" t="s">
        <v>501</v>
      </c>
      <c r="D1217" t="s">
        <v>87</v>
      </c>
      <c r="E1217" t="s">
        <v>19</v>
      </c>
      <c r="F1217" t="s">
        <v>1872</v>
      </c>
      <c r="G1217" t="s">
        <v>3311</v>
      </c>
      <c r="H1217" t="s">
        <v>755</v>
      </c>
      <c r="I1217">
        <v>3.5</v>
      </c>
      <c r="J1217">
        <v>12</v>
      </c>
      <c r="K1217" t="s">
        <v>3312</v>
      </c>
    </row>
    <row r="1218" spans="1:11" x14ac:dyDescent="0.2">
      <c r="A1218" t="str">
        <f>HYPERLINK("https://www.tiwall.com//p/american.bison3","بوفالوی آمریکایی")</f>
        <v>بوفالوی آمریکایی</v>
      </c>
      <c r="B1218">
        <v>70</v>
      </c>
      <c r="C1218" t="s">
        <v>81</v>
      </c>
      <c r="D1218" t="s">
        <v>32</v>
      </c>
      <c r="E1218" t="s">
        <v>71</v>
      </c>
      <c r="F1218" t="s">
        <v>812</v>
      </c>
      <c r="G1218" t="s">
        <v>3313</v>
      </c>
      <c r="H1218" t="s">
        <v>3314</v>
      </c>
      <c r="I1218">
        <v>0</v>
      </c>
      <c r="J1218">
        <v>0</v>
      </c>
      <c r="K1218" t="s">
        <v>3315</v>
      </c>
    </row>
    <row r="1219" spans="1:11" x14ac:dyDescent="0.2">
      <c r="A1219" t="str">
        <f>HYPERLINK("https://www.tiwall.com//p/zindegi.khardal","زندگی با طعم خردل")</f>
        <v>زندگی با طعم خردل</v>
      </c>
      <c r="B1219">
        <v>30</v>
      </c>
      <c r="C1219" t="s">
        <v>825</v>
      </c>
      <c r="D1219" t="s">
        <v>25</v>
      </c>
      <c r="E1219" t="s">
        <v>13</v>
      </c>
      <c r="F1219" t="s">
        <v>385</v>
      </c>
      <c r="G1219" t="s">
        <v>3316</v>
      </c>
      <c r="H1219" t="s">
        <v>3317</v>
      </c>
      <c r="I1219">
        <v>0</v>
      </c>
      <c r="J1219">
        <v>0</v>
      </c>
      <c r="K1219" t="s">
        <v>3318</v>
      </c>
    </row>
    <row r="1220" spans="1:11" x14ac:dyDescent="0.2">
      <c r="A1220" t="str">
        <f>HYPERLINK("https://www.tiwall.com//p/vajedsharayet","واجد شرایط")</f>
        <v>واجد شرایط</v>
      </c>
      <c r="B1220">
        <v>30</v>
      </c>
      <c r="C1220" t="s">
        <v>11</v>
      </c>
      <c r="D1220" t="s">
        <v>25</v>
      </c>
      <c r="E1220" t="s">
        <v>13</v>
      </c>
      <c r="F1220" t="s">
        <v>1583</v>
      </c>
      <c r="G1220" t="s">
        <v>3319</v>
      </c>
      <c r="H1220" t="s">
        <v>3320</v>
      </c>
      <c r="I1220">
        <v>0</v>
      </c>
      <c r="J1220">
        <v>0</v>
      </c>
      <c r="K1220" t="s">
        <v>3321</v>
      </c>
    </row>
    <row r="1221" spans="1:11" x14ac:dyDescent="0.2">
      <c r="A1221" t="str">
        <f>HYPERLINK("https://www.tiwall.com//p/karimlozhi2","کریملوژی")</f>
        <v>کریملوژی</v>
      </c>
      <c r="B1221">
        <v>40</v>
      </c>
      <c r="C1221" t="s">
        <v>1092</v>
      </c>
      <c r="D1221" t="s">
        <v>87</v>
      </c>
      <c r="E1221" t="s">
        <v>194</v>
      </c>
      <c r="F1221" t="s">
        <v>385</v>
      </c>
      <c r="G1221" t="s">
        <v>1880</v>
      </c>
      <c r="H1221" t="s">
        <v>143</v>
      </c>
      <c r="I1221">
        <v>4.2</v>
      </c>
      <c r="J1221">
        <v>112</v>
      </c>
      <c r="K1221" t="s">
        <v>3322</v>
      </c>
    </row>
    <row r="1222" spans="1:11" x14ac:dyDescent="0.2">
      <c r="A1222" t="str">
        <f>HYPERLINK("https://www.tiwall.com//p/vorod.adamha","حضور آدم ها ممنوع!")</f>
        <v>حضور آدم ها ممنوع!</v>
      </c>
      <c r="B1222">
        <v>120</v>
      </c>
      <c r="C1222" t="s">
        <v>86</v>
      </c>
      <c r="D1222" t="s">
        <v>65</v>
      </c>
      <c r="E1222" t="s">
        <v>26</v>
      </c>
      <c r="F1222" t="s">
        <v>3323</v>
      </c>
      <c r="G1222" t="s">
        <v>422</v>
      </c>
      <c r="H1222" t="s">
        <v>422</v>
      </c>
      <c r="I1222">
        <v>4.2</v>
      </c>
      <c r="J1222">
        <v>82</v>
      </c>
      <c r="K1222" t="s">
        <v>3324</v>
      </c>
    </row>
    <row r="1223" spans="1:11" x14ac:dyDescent="0.2">
      <c r="A1223" t="str">
        <f>HYPERLINK("https://www.tiwall.com//p/hamechiz8","همه چیز می گذرد تو نمی گذری")</f>
        <v>همه چیز می گذرد تو نمی گذری</v>
      </c>
      <c r="B1223">
        <v>40</v>
      </c>
      <c r="C1223" t="s">
        <v>103</v>
      </c>
      <c r="D1223" t="s">
        <v>87</v>
      </c>
      <c r="E1223" t="s">
        <v>235</v>
      </c>
      <c r="F1223" t="s">
        <v>2009</v>
      </c>
      <c r="G1223" t="s">
        <v>948</v>
      </c>
      <c r="H1223" t="s">
        <v>538</v>
      </c>
      <c r="I1223">
        <v>3.9</v>
      </c>
      <c r="J1223">
        <v>13</v>
      </c>
      <c r="K1223" t="s">
        <v>948</v>
      </c>
    </row>
    <row r="1224" spans="1:11" x14ac:dyDescent="0.2">
      <c r="A1224" t="str">
        <f>HYPERLINK("https://www.tiwall.com//p/eshghmamnou","عشق ممنوع")</f>
        <v>عشق ممنوع</v>
      </c>
      <c r="B1224">
        <v>30</v>
      </c>
      <c r="C1224" t="s">
        <v>892</v>
      </c>
      <c r="D1224" t="s">
        <v>87</v>
      </c>
      <c r="E1224" t="s">
        <v>71</v>
      </c>
      <c r="F1224" t="s">
        <v>1102</v>
      </c>
      <c r="G1224" t="s">
        <v>3325</v>
      </c>
      <c r="H1224" t="s">
        <v>3325</v>
      </c>
      <c r="I1224">
        <v>0</v>
      </c>
      <c r="J1224">
        <v>0</v>
      </c>
      <c r="K1224" t="s">
        <v>3326</v>
      </c>
    </row>
    <row r="1225" spans="1:11" x14ac:dyDescent="0.2">
      <c r="A1225" t="str">
        <f>HYPERLINK("https://www.tiwall.com//p/eteraf3","اعتراف")</f>
        <v>اعتراف</v>
      </c>
      <c r="B1225">
        <v>70</v>
      </c>
      <c r="C1225" t="s">
        <v>821</v>
      </c>
      <c r="D1225" t="s">
        <v>45</v>
      </c>
      <c r="E1225" t="s">
        <v>13</v>
      </c>
      <c r="F1225" t="s">
        <v>418</v>
      </c>
      <c r="G1225" t="s">
        <v>3327</v>
      </c>
      <c r="H1225" t="s">
        <v>3328</v>
      </c>
      <c r="I1225">
        <v>0</v>
      </c>
      <c r="J1225">
        <v>0</v>
      </c>
      <c r="K1225" t="s">
        <v>3329</v>
      </c>
    </row>
    <row r="1226" spans="1:11" x14ac:dyDescent="0.2">
      <c r="A1226" t="str">
        <f>HYPERLINK("https://www.tiwall.com//p/talimrita2","تعلیم ریتا")</f>
        <v>تعلیم ریتا</v>
      </c>
      <c r="B1226">
        <v>30</v>
      </c>
      <c r="C1226" t="s">
        <v>3330</v>
      </c>
      <c r="D1226" t="s">
        <v>146</v>
      </c>
      <c r="E1226" t="s">
        <v>303</v>
      </c>
      <c r="F1226" t="s">
        <v>3331</v>
      </c>
      <c r="G1226" t="s">
        <v>2451</v>
      </c>
      <c r="H1226" t="s">
        <v>3332</v>
      </c>
      <c r="I1226">
        <v>0</v>
      </c>
      <c r="J1226">
        <v>0</v>
      </c>
      <c r="K1226" t="s">
        <v>3333</v>
      </c>
    </row>
    <row r="1227" spans="1:11" x14ac:dyDescent="0.2">
      <c r="A1227" t="str">
        <f>HYPERLINK("https://www.tiwall.com//p/guril.pashmalu4","گوریل پشمالو")</f>
        <v>گوریل پشمالو</v>
      </c>
      <c r="B1227">
        <v>80</v>
      </c>
      <c r="C1227" t="s">
        <v>51</v>
      </c>
      <c r="D1227" t="s">
        <v>470</v>
      </c>
      <c r="E1227" t="s">
        <v>26</v>
      </c>
      <c r="F1227" t="s">
        <v>214</v>
      </c>
      <c r="G1227" t="s">
        <v>3334</v>
      </c>
      <c r="H1227" t="s">
        <v>985</v>
      </c>
      <c r="I1227">
        <v>4.4000000000000004</v>
      </c>
      <c r="J1227">
        <v>28</v>
      </c>
      <c r="K1227" t="s">
        <v>3335</v>
      </c>
    </row>
    <row r="1228" spans="1:11" x14ac:dyDescent="0.2">
      <c r="A1228" t="str">
        <f>HYPERLINK("https://www.tiwall.com//p/lost2","گم")</f>
        <v>گم</v>
      </c>
      <c r="B1228">
        <v>45</v>
      </c>
      <c r="C1228" t="s">
        <v>86</v>
      </c>
      <c r="D1228" t="s">
        <v>146</v>
      </c>
      <c r="E1228" t="s">
        <v>138</v>
      </c>
      <c r="F1228" t="s">
        <v>243</v>
      </c>
      <c r="G1228" t="s">
        <v>2304</v>
      </c>
      <c r="H1228" t="s">
        <v>2304</v>
      </c>
      <c r="I1228">
        <v>0</v>
      </c>
      <c r="J1228">
        <v>0</v>
      </c>
      <c r="K1228" t="s">
        <v>3336</v>
      </c>
    </row>
    <row r="1229" spans="1:11" x14ac:dyDescent="0.2">
      <c r="A1229" t="str">
        <f>HYPERLINK("https://www.tiwall.com//p/shahmordani","شاه مردنی هیچ کجا")</f>
        <v>شاه مردنی هیچ کجا</v>
      </c>
      <c r="B1229">
        <v>80</v>
      </c>
      <c r="C1229" t="s">
        <v>86</v>
      </c>
      <c r="D1229" t="s">
        <v>12</v>
      </c>
      <c r="E1229" t="s">
        <v>19</v>
      </c>
      <c r="F1229" t="s">
        <v>277</v>
      </c>
      <c r="G1229" t="s">
        <v>3337</v>
      </c>
      <c r="H1229" t="s">
        <v>3337</v>
      </c>
      <c r="I1229">
        <v>3.8</v>
      </c>
      <c r="J1229">
        <v>58</v>
      </c>
      <c r="K1229" t="s">
        <v>3338</v>
      </c>
    </row>
    <row r="1230" spans="1:11" x14ac:dyDescent="0.2">
      <c r="A1230" t="str">
        <f>HYPERLINK("https://www.tiwall.com//p/godofcornage7","خدای کشتار")</f>
        <v>خدای کشتار</v>
      </c>
      <c r="B1230">
        <v>40</v>
      </c>
      <c r="C1230" t="s">
        <v>121</v>
      </c>
      <c r="D1230" t="s">
        <v>45</v>
      </c>
      <c r="E1230" t="s">
        <v>71</v>
      </c>
      <c r="F1230" t="s">
        <v>433</v>
      </c>
      <c r="G1230" t="s">
        <v>1825</v>
      </c>
      <c r="H1230" t="s">
        <v>685</v>
      </c>
      <c r="I1230">
        <v>0</v>
      </c>
      <c r="J1230">
        <v>0</v>
      </c>
      <c r="K1230" t="s">
        <v>3339</v>
      </c>
    </row>
    <row r="1231" spans="1:11" x14ac:dyDescent="0.2">
      <c r="A1231" t="str">
        <f>HYPERLINK("https://www.tiwall.com//p/tirkamounshah3","تیرکمون شاه")</f>
        <v>تیرکمون شاه</v>
      </c>
      <c r="B1231">
        <v>35</v>
      </c>
      <c r="C1231" t="s">
        <v>224</v>
      </c>
      <c r="D1231" t="s">
        <v>146</v>
      </c>
      <c r="E1231" t="s">
        <v>71</v>
      </c>
      <c r="F1231" t="s">
        <v>239</v>
      </c>
      <c r="G1231" t="s">
        <v>889</v>
      </c>
      <c r="H1231" t="s">
        <v>3320</v>
      </c>
      <c r="I1231">
        <v>0</v>
      </c>
      <c r="J1231">
        <v>0</v>
      </c>
      <c r="K1231" t="s">
        <v>3340</v>
      </c>
    </row>
    <row r="1232" spans="1:11" x14ac:dyDescent="0.2">
      <c r="A1232" t="str">
        <f>HYPERLINK("https://www.tiwall.com//p/adolfkocholo","آدولف کوچولو")</f>
        <v>آدولف کوچولو</v>
      </c>
      <c r="B1232">
        <v>60</v>
      </c>
      <c r="C1232" t="s">
        <v>103</v>
      </c>
      <c r="D1232" t="s">
        <v>65</v>
      </c>
      <c r="E1232" t="s">
        <v>26</v>
      </c>
      <c r="F1232" t="s">
        <v>1928</v>
      </c>
      <c r="G1232" t="s">
        <v>3341</v>
      </c>
      <c r="H1232" t="s">
        <v>3342</v>
      </c>
      <c r="I1232">
        <v>4</v>
      </c>
      <c r="J1232">
        <v>8</v>
      </c>
      <c r="K1232" t="s">
        <v>3343</v>
      </c>
    </row>
    <row r="1233" spans="1:11" x14ac:dyDescent="0.2">
      <c r="A1233" t="str">
        <f>HYPERLINK("https://www.tiwall.com//p/toopeshenavar","توپ شناور")</f>
        <v>توپ شناور</v>
      </c>
      <c r="B1233">
        <v>70</v>
      </c>
      <c r="C1233" t="s">
        <v>132</v>
      </c>
      <c r="D1233" t="s">
        <v>65</v>
      </c>
      <c r="E1233" t="s">
        <v>138</v>
      </c>
      <c r="F1233" t="s">
        <v>1354</v>
      </c>
      <c r="G1233" t="s">
        <v>1005</v>
      </c>
      <c r="H1233" t="s">
        <v>3344</v>
      </c>
      <c r="I1233">
        <v>3.2</v>
      </c>
      <c r="J1233">
        <v>22</v>
      </c>
      <c r="K1233" t="s">
        <v>3345</v>
      </c>
    </row>
    <row r="1234" spans="1:11" x14ac:dyDescent="0.2">
      <c r="A1234" t="str">
        <f>HYPERLINK("https://www.tiwall.com//p/marg.roya","مرگ یک رویا")</f>
        <v>مرگ یک رویا</v>
      </c>
      <c r="B1234">
        <v>30</v>
      </c>
      <c r="C1234" t="s">
        <v>56</v>
      </c>
      <c r="D1234" t="s">
        <v>217</v>
      </c>
      <c r="E1234" t="s">
        <v>138</v>
      </c>
      <c r="F1234" t="s">
        <v>3346</v>
      </c>
      <c r="G1234" t="s">
        <v>58</v>
      </c>
      <c r="H1234" t="s">
        <v>3347</v>
      </c>
      <c r="I1234">
        <v>0</v>
      </c>
      <c r="J1234">
        <v>0</v>
      </c>
      <c r="K1234" t="s">
        <v>3348</v>
      </c>
    </row>
    <row r="1235" spans="1:11" x14ac:dyDescent="0.2">
      <c r="A1235" t="str">
        <f>HYPERLINK("https://www.tiwall.com//p/tashilat","تسهیلات")</f>
        <v>تسهیلات</v>
      </c>
      <c r="B1235">
        <v>30</v>
      </c>
      <c r="C1235" t="s">
        <v>383</v>
      </c>
      <c r="D1235" t="s">
        <v>25</v>
      </c>
      <c r="E1235" t="s">
        <v>138</v>
      </c>
      <c r="F1235" t="s">
        <v>257</v>
      </c>
      <c r="G1235" t="s">
        <v>837</v>
      </c>
      <c r="H1235" t="s">
        <v>837</v>
      </c>
      <c r="I1235">
        <v>0</v>
      </c>
      <c r="J1235">
        <v>0</v>
      </c>
      <c r="K1235" t="s">
        <v>3349</v>
      </c>
    </row>
    <row r="1236" spans="1:11" x14ac:dyDescent="0.2">
      <c r="A1236" t="str">
        <f>HYPERLINK("https://www.tiwall.com//p/teroma2","تروما / یک روز")</f>
        <v>تروما / یک روز</v>
      </c>
      <c r="B1236">
        <v>50</v>
      </c>
      <c r="C1236" t="s">
        <v>224</v>
      </c>
      <c r="D1236" t="s">
        <v>146</v>
      </c>
      <c r="E1236" t="s">
        <v>138</v>
      </c>
      <c r="F1236" t="s">
        <v>480</v>
      </c>
      <c r="G1236" t="s">
        <v>3350</v>
      </c>
      <c r="H1236" t="s">
        <v>3351</v>
      </c>
      <c r="I1236">
        <v>0</v>
      </c>
      <c r="J1236">
        <v>0</v>
      </c>
      <c r="K1236" t="s">
        <v>3352</v>
      </c>
    </row>
    <row r="1237" spans="1:11" x14ac:dyDescent="0.2">
      <c r="A1237" t="str">
        <f>HYPERLINK("https://www.tiwall.com//p/almani","آلم__آنی")</f>
        <v>آلم__آنی</v>
      </c>
      <c r="B1237">
        <v>35</v>
      </c>
      <c r="C1237" t="s">
        <v>103</v>
      </c>
      <c r="D1237" t="s">
        <v>217</v>
      </c>
      <c r="E1237" t="s">
        <v>13</v>
      </c>
      <c r="F1237" t="s">
        <v>66</v>
      </c>
      <c r="G1237" t="s">
        <v>972</v>
      </c>
      <c r="H1237" t="s">
        <v>972</v>
      </c>
      <c r="I1237">
        <v>0</v>
      </c>
      <c r="J1237">
        <v>0</v>
      </c>
      <c r="K1237" t="s">
        <v>3353</v>
      </c>
    </row>
    <row r="1238" spans="1:11" x14ac:dyDescent="0.2">
      <c r="A1238" t="str">
        <f>HYPERLINK("https://www.tiwall.com//p/khoroszari11","خروس زری پیرهن پری")</f>
        <v>خروس زری پیرهن پری</v>
      </c>
      <c r="B1238">
        <v>40</v>
      </c>
      <c r="C1238" t="s">
        <v>3354</v>
      </c>
      <c r="D1238" t="s">
        <v>146</v>
      </c>
      <c r="E1238" t="s">
        <v>415</v>
      </c>
      <c r="F1238" t="s">
        <v>3355</v>
      </c>
      <c r="G1238" t="s">
        <v>3356</v>
      </c>
      <c r="H1238" t="s">
        <v>3357</v>
      </c>
      <c r="I1238">
        <v>0</v>
      </c>
      <c r="J1238">
        <v>0</v>
      </c>
      <c r="K1238" t="s">
        <v>3358</v>
      </c>
    </row>
    <row r="1239" spans="1:11" x14ac:dyDescent="0.2">
      <c r="A1239" t="str">
        <f>HYPERLINK("https://www.tiwall.com//p/shayee2","شایعات")</f>
        <v>شایعات</v>
      </c>
      <c r="B1239">
        <v>70</v>
      </c>
      <c r="C1239" t="s">
        <v>11</v>
      </c>
      <c r="D1239" t="s">
        <v>70</v>
      </c>
      <c r="E1239" t="s">
        <v>71</v>
      </c>
      <c r="F1239" t="s">
        <v>27</v>
      </c>
      <c r="G1239" t="s">
        <v>889</v>
      </c>
      <c r="H1239" t="s">
        <v>183</v>
      </c>
      <c r="I1239">
        <v>3</v>
      </c>
      <c r="J1239">
        <v>10</v>
      </c>
      <c r="K1239" t="s">
        <v>3359</v>
      </c>
    </row>
    <row r="1240" spans="1:11" x14ac:dyDescent="0.2">
      <c r="A1240" t="str">
        <f>HYPERLINK("https://www.tiwall.com//p/budan","بودن")</f>
        <v>بودن</v>
      </c>
      <c r="B1240">
        <v>70</v>
      </c>
      <c r="C1240" t="s">
        <v>37</v>
      </c>
      <c r="D1240" t="s">
        <v>559</v>
      </c>
      <c r="E1240" t="s">
        <v>71</v>
      </c>
      <c r="F1240" t="s">
        <v>345</v>
      </c>
      <c r="G1240" t="s">
        <v>2431</v>
      </c>
      <c r="H1240" t="s">
        <v>3360</v>
      </c>
      <c r="I1240">
        <v>3.2</v>
      </c>
      <c r="J1240">
        <v>79</v>
      </c>
      <c r="K1240" t="s">
        <v>3361</v>
      </c>
    </row>
    <row r="1241" spans="1:11" x14ac:dyDescent="0.2">
      <c r="A1241" t="str">
        <f>HYPERLINK("https://www.tiwall.com//p/alzaymer2","آلزایمر")</f>
        <v>آلزایمر</v>
      </c>
      <c r="B1241">
        <v>140</v>
      </c>
      <c r="C1241" t="s">
        <v>86</v>
      </c>
      <c r="D1241" t="s">
        <v>470</v>
      </c>
      <c r="E1241" t="s">
        <v>19</v>
      </c>
      <c r="F1241" t="s">
        <v>592</v>
      </c>
      <c r="G1241" t="s">
        <v>3362</v>
      </c>
      <c r="H1241" t="s">
        <v>3362</v>
      </c>
      <c r="I1241">
        <v>4.2</v>
      </c>
      <c r="J1241">
        <v>76</v>
      </c>
      <c r="K1241" t="s">
        <v>3363</v>
      </c>
    </row>
    <row r="1242" spans="1:11" x14ac:dyDescent="0.2">
      <c r="A1242" t="str">
        <f>HYPERLINK("https://www.tiwall.com//p/beygholeh","بیغوله")</f>
        <v>بیغوله</v>
      </c>
      <c r="B1242">
        <v>35</v>
      </c>
      <c r="C1242" t="s">
        <v>845</v>
      </c>
      <c r="D1242" t="s">
        <v>45</v>
      </c>
      <c r="E1242" t="s">
        <v>235</v>
      </c>
      <c r="F1242" t="s">
        <v>3364</v>
      </c>
      <c r="G1242" t="s">
        <v>3365</v>
      </c>
      <c r="H1242" t="s">
        <v>3366</v>
      </c>
      <c r="I1242">
        <v>0</v>
      </c>
      <c r="J1242">
        <v>0</v>
      </c>
      <c r="K1242" t="s">
        <v>3367</v>
      </c>
    </row>
    <row r="1243" spans="1:11" x14ac:dyDescent="0.2">
      <c r="A1243" t="str">
        <f>HYPERLINK("https://www.tiwall.com//p/soetafahom14","سوءتفاهم")</f>
        <v>سوءتفاهم</v>
      </c>
      <c r="B1243">
        <v>35</v>
      </c>
      <c r="C1243" t="s">
        <v>199</v>
      </c>
      <c r="D1243" t="s">
        <v>45</v>
      </c>
      <c r="E1243" t="s">
        <v>26</v>
      </c>
      <c r="F1243" t="s">
        <v>411</v>
      </c>
      <c r="G1243" t="s">
        <v>3368</v>
      </c>
      <c r="H1243" t="s">
        <v>758</v>
      </c>
      <c r="I1243">
        <v>0</v>
      </c>
      <c r="J1243">
        <v>0</v>
      </c>
      <c r="K1243" t="s">
        <v>3369</v>
      </c>
    </row>
    <row r="1244" spans="1:11" x14ac:dyDescent="0.2">
      <c r="A1244" t="str">
        <f>HYPERLINK("https://www.tiwall.com//p/laklak","لک لک ها بر فراز کولر سه هزار")</f>
        <v>لک لک ها بر فراز کولر سه هزار</v>
      </c>
      <c r="B1244">
        <v>70</v>
      </c>
      <c r="C1244" t="s">
        <v>204</v>
      </c>
      <c r="D1244" t="s">
        <v>12</v>
      </c>
      <c r="E1244" t="s">
        <v>13</v>
      </c>
      <c r="F1244" t="s">
        <v>226</v>
      </c>
      <c r="G1244" t="s">
        <v>3370</v>
      </c>
      <c r="H1244" t="s">
        <v>3371</v>
      </c>
      <c r="I1244">
        <v>3.6</v>
      </c>
      <c r="J1244">
        <v>8</v>
      </c>
      <c r="K1244" t="s">
        <v>3372</v>
      </c>
    </row>
    <row r="1245" spans="1:11" x14ac:dyDescent="0.2">
      <c r="A1245" t="str">
        <f>HYPERLINK("https://www.tiwall.com//p/hokmdel","حکم دل")</f>
        <v>حکم دل</v>
      </c>
      <c r="B1245">
        <v>50</v>
      </c>
      <c r="C1245" t="s">
        <v>224</v>
      </c>
      <c r="D1245" t="s">
        <v>146</v>
      </c>
      <c r="E1245" t="s">
        <v>13</v>
      </c>
      <c r="F1245" t="s">
        <v>683</v>
      </c>
      <c r="G1245" t="s">
        <v>2573</v>
      </c>
      <c r="H1245" t="s">
        <v>2648</v>
      </c>
      <c r="I1245">
        <v>0</v>
      </c>
      <c r="J1245">
        <v>0</v>
      </c>
      <c r="K1245" t="s">
        <v>3373</v>
      </c>
    </row>
    <row r="1246" spans="1:11" x14ac:dyDescent="0.2">
      <c r="A1246" t="str">
        <f>HYPERLINK("https://www.tiwall.com//p/vala","والا")</f>
        <v>والا</v>
      </c>
      <c r="B1246">
        <v>55</v>
      </c>
      <c r="C1246" t="s">
        <v>1215</v>
      </c>
      <c r="D1246" t="s">
        <v>280</v>
      </c>
      <c r="E1246" t="s">
        <v>138</v>
      </c>
      <c r="F1246" t="s">
        <v>2137</v>
      </c>
      <c r="G1246" t="s">
        <v>1285</v>
      </c>
      <c r="H1246" t="s">
        <v>1285</v>
      </c>
      <c r="I1246">
        <v>3.9</v>
      </c>
      <c r="J1246">
        <v>15</v>
      </c>
      <c r="K1246" t="s">
        <v>3374</v>
      </c>
    </row>
    <row r="1247" spans="1:11" x14ac:dyDescent="0.2">
      <c r="A1247" t="str">
        <f>HYPERLINK("https://www.tiwall.com//p/chandzendegi","پاره هایی از چند زندگی")</f>
        <v>پاره هایی از چند زندگی</v>
      </c>
      <c r="B1247">
        <v>70</v>
      </c>
      <c r="C1247" t="s">
        <v>151</v>
      </c>
      <c r="D1247" t="s">
        <v>217</v>
      </c>
      <c r="E1247" t="s">
        <v>13</v>
      </c>
      <c r="F1247" t="s">
        <v>2040</v>
      </c>
      <c r="G1247" t="s">
        <v>3375</v>
      </c>
      <c r="H1247" t="s">
        <v>2045</v>
      </c>
      <c r="I1247">
        <v>0</v>
      </c>
      <c r="J1247">
        <v>0</v>
      </c>
      <c r="K1247" t="s">
        <v>3376</v>
      </c>
    </row>
    <row r="1248" spans="1:11" x14ac:dyDescent="0.2">
      <c r="A1248" t="str">
        <f>HYPERLINK("https://www.tiwall.com//p/pelakhaft","پلاک هفت")</f>
        <v>پلاک هفت</v>
      </c>
      <c r="B1248">
        <v>45</v>
      </c>
      <c r="C1248" t="s">
        <v>60</v>
      </c>
      <c r="D1248" t="s">
        <v>12</v>
      </c>
      <c r="E1248" t="s">
        <v>138</v>
      </c>
      <c r="F1248" t="s">
        <v>725</v>
      </c>
      <c r="G1248" t="s">
        <v>196</v>
      </c>
      <c r="H1248" t="s">
        <v>197</v>
      </c>
      <c r="I1248">
        <v>0</v>
      </c>
      <c r="J1248">
        <v>0</v>
      </c>
      <c r="K1248" t="s">
        <v>3377</v>
      </c>
    </row>
    <row r="1249" spans="1:11" x14ac:dyDescent="0.2">
      <c r="A1249" t="str">
        <f>HYPERLINK("https://www.tiwall.com//p/yaddasht.bipayan","یادداشت‌هایی بر بی‌پایانی")</f>
        <v>یادداشت‌هایی بر بی‌پایانی</v>
      </c>
      <c r="B1249">
        <v>60</v>
      </c>
      <c r="C1249" t="s">
        <v>204</v>
      </c>
      <c r="D1249" t="s">
        <v>12</v>
      </c>
      <c r="E1249" t="s">
        <v>71</v>
      </c>
      <c r="F1249" t="s">
        <v>191</v>
      </c>
      <c r="G1249" t="s">
        <v>3378</v>
      </c>
      <c r="H1249" t="s">
        <v>3378</v>
      </c>
      <c r="I1249">
        <v>4</v>
      </c>
      <c r="J1249">
        <v>10</v>
      </c>
      <c r="K1249" t="s">
        <v>3379</v>
      </c>
    </row>
    <row r="1250" spans="1:11" x14ac:dyDescent="0.2">
      <c r="A1250" t="str">
        <f>HYPERLINK("https://www.tiwall.com//p/kaboustehran","کابوس‌های تهران")</f>
        <v>کابوس‌های تهران</v>
      </c>
      <c r="B1250">
        <v>70</v>
      </c>
      <c r="C1250" t="s">
        <v>1215</v>
      </c>
      <c r="D1250" t="s">
        <v>25</v>
      </c>
      <c r="E1250" t="s">
        <v>13</v>
      </c>
      <c r="F1250" t="s">
        <v>1822</v>
      </c>
      <c r="G1250" t="s">
        <v>3380</v>
      </c>
      <c r="H1250" t="s">
        <v>3380</v>
      </c>
      <c r="I1250">
        <v>3.1</v>
      </c>
      <c r="J1250">
        <v>7</v>
      </c>
      <c r="K1250" t="s">
        <v>3381</v>
      </c>
    </row>
    <row r="1251" spans="1:11" x14ac:dyDescent="0.2">
      <c r="A1251" t="str">
        <f>HYPERLINK("https://www.tiwall.com//p/marsiehzhaleh4","مرثیه ای برای ژاله.م و قاتلش")</f>
        <v>مرثیه ای برای ژاله.م و قاتلش</v>
      </c>
      <c r="B1251">
        <v>45</v>
      </c>
      <c r="C1251" t="s">
        <v>37</v>
      </c>
      <c r="D1251" t="s">
        <v>217</v>
      </c>
      <c r="E1251" t="s">
        <v>26</v>
      </c>
      <c r="F1251" t="s">
        <v>3382</v>
      </c>
      <c r="G1251" t="s">
        <v>898</v>
      </c>
      <c r="H1251" t="s">
        <v>898</v>
      </c>
      <c r="I1251">
        <v>3.3</v>
      </c>
      <c r="J1251">
        <v>20</v>
      </c>
      <c r="K1251" t="s">
        <v>3383</v>
      </c>
    </row>
    <row r="1252" spans="1:11" x14ac:dyDescent="0.2">
      <c r="A1252" t="str">
        <f>HYPERLINK("https://www.tiwall.com//p/dane.kaleanjir","دانه های کال انجیر")</f>
        <v>دانه های کال انجیر</v>
      </c>
      <c r="B1252">
        <v>30</v>
      </c>
      <c r="C1252" t="s">
        <v>3384</v>
      </c>
      <c r="D1252" t="s">
        <v>25</v>
      </c>
      <c r="E1252" t="s">
        <v>138</v>
      </c>
      <c r="F1252" t="s">
        <v>1953</v>
      </c>
      <c r="G1252" t="s">
        <v>3385</v>
      </c>
      <c r="H1252" t="s">
        <v>3386</v>
      </c>
      <c r="I1252">
        <v>0</v>
      </c>
      <c r="J1252">
        <v>0</v>
      </c>
      <c r="K1252" t="s">
        <v>3387</v>
      </c>
    </row>
    <row r="1253" spans="1:11" x14ac:dyDescent="0.2">
      <c r="A1253" t="str">
        <f>HYPERLINK("https://www.tiwall.com//p/molkoshagh","مُلک عُشاق")</f>
        <v>مُلک عُشاق</v>
      </c>
      <c r="B1253">
        <v>60</v>
      </c>
      <c r="C1253" t="s">
        <v>199</v>
      </c>
      <c r="D1253" t="s">
        <v>87</v>
      </c>
      <c r="E1253" t="s">
        <v>13</v>
      </c>
      <c r="F1253" t="s">
        <v>1037</v>
      </c>
      <c r="G1253" t="s">
        <v>3388</v>
      </c>
      <c r="H1253" t="s">
        <v>2208</v>
      </c>
      <c r="I1253">
        <v>3.2</v>
      </c>
      <c r="J1253">
        <v>9</v>
      </c>
      <c r="K1253" t="s">
        <v>3389</v>
      </c>
    </row>
    <row r="1254" spans="1:11" x14ac:dyDescent="0.2">
      <c r="A1254" t="str">
        <f>HYPERLINK("https://www.tiwall.com//p/mah.aseman4","یک ماه، هزار آسمان")</f>
        <v>یک ماه، هزار آسمان</v>
      </c>
      <c r="B1254">
        <v>40</v>
      </c>
      <c r="C1254" t="s">
        <v>417</v>
      </c>
      <c r="D1254" t="s">
        <v>87</v>
      </c>
      <c r="E1254" t="s">
        <v>19</v>
      </c>
      <c r="F1254" t="s">
        <v>1108</v>
      </c>
      <c r="G1254" t="s">
        <v>2163</v>
      </c>
      <c r="H1254" t="s">
        <v>2163</v>
      </c>
      <c r="I1254">
        <v>0</v>
      </c>
      <c r="J1254">
        <v>0</v>
      </c>
      <c r="K1254" t="s">
        <v>3390</v>
      </c>
    </row>
    <row r="1255" spans="1:11" x14ac:dyDescent="0.2">
      <c r="A1255" t="str">
        <f>HYPERLINK("https://www.tiwall.com//p/siahchaleh","سیاهچاله")</f>
        <v>سیاهچاله</v>
      </c>
      <c r="B1255">
        <v>50</v>
      </c>
      <c r="C1255" t="s">
        <v>24</v>
      </c>
      <c r="D1255" t="s">
        <v>470</v>
      </c>
      <c r="E1255" t="s">
        <v>19</v>
      </c>
      <c r="F1255" t="s">
        <v>536</v>
      </c>
      <c r="G1255" t="s">
        <v>3391</v>
      </c>
      <c r="H1255" t="s">
        <v>3391</v>
      </c>
      <c r="I1255">
        <v>0</v>
      </c>
      <c r="J1255">
        <v>0</v>
      </c>
      <c r="K1255" t="s">
        <v>3392</v>
      </c>
    </row>
    <row r="1256" spans="1:11" x14ac:dyDescent="0.2">
      <c r="A1256" t="str">
        <f>HYPERLINK("https://www.tiwall.com//p/hoboot3","هبوط")</f>
        <v>هبوط</v>
      </c>
      <c r="B1256">
        <v>35</v>
      </c>
      <c r="C1256" t="s">
        <v>821</v>
      </c>
      <c r="D1256" t="s">
        <v>32</v>
      </c>
      <c r="E1256" t="s">
        <v>303</v>
      </c>
      <c r="F1256" t="s">
        <v>3393</v>
      </c>
      <c r="G1256" t="s">
        <v>3394</v>
      </c>
      <c r="H1256" t="s">
        <v>3395</v>
      </c>
      <c r="I1256">
        <v>0</v>
      </c>
      <c r="J1256">
        <v>0</v>
      </c>
      <c r="K1256" t="s">
        <v>3396</v>
      </c>
    </row>
    <row r="1257" spans="1:11" x14ac:dyDescent="0.2">
      <c r="A1257" t="str">
        <f>HYPERLINK("https://www.tiwall.com//p/aghayegil","لبخند باشکوه آقای گیل")</f>
        <v>لبخند باشکوه آقای گیل</v>
      </c>
      <c r="B1257">
        <v>30</v>
      </c>
      <c r="C1257" t="s">
        <v>145</v>
      </c>
      <c r="D1257" t="s">
        <v>87</v>
      </c>
      <c r="E1257" t="s">
        <v>71</v>
      </c>
      <c r="F1257" t="s">
        <v>3397</v>
      </c>
      <c r="G1257" t="s">
        <v>219</v>
      </c>
      <c r="H1257" t="s">
        <v>492</v>
      </c>
      <c r="I1257">
        <v>3.3</v>
      </c>
      <c r="J1257">
        <v>27</v>
      </c>
      <c r="K1257" t="s">
        <v>3398</v>
      </c>
    </row>
    <row r="1258" spans="1:11" x14ac:dyDescent="0.2">
      <c r="A1258" t="str">
        <f>HYPERLINK("https://www.tiwall.com//p/mashindoudi","ماشین دودی")</f>
        <v>ماشین دودی</v>
      </c>
      <c r="B1258">
        <v>80</v>
      </c>
      <c r="C1258" t="s">
        <v>145</v>
      </c>
      <c r="D1258" t="s">
        <v>45</v>
      </c>
      <c r="E1258" t="s">
        <v>208</v>
      </c>
      <c r="F1258" t="s">
        <v>812</v>
      </c>
      <c r="G1258" t="s">
        <v>3399</v>
      </c>
      <c r="H1258" t="s">
        <v>3399</v>
      </c>
      <c r="I1258">
        <v>4.2</v>
      </c>
      <c r="J1258">
        <v>93</v>
      </c>
      <c r="K1258" t="s">
        <v>3400</v>
      </c>
    </row>
    <row r="1259" spans="1:11" x14ac:dyDescent="0.2">
      <c r="A1259" t="str">
        <f>HYPERLINK("https://www.tiwall.com//p/biderman.atash3","بیدرمن و آتش افروزان")</f>
        <v>بیدرمن و آتش افروزان</v>
      </c>
      <c r="B1259">
        <v>30</v>
      </c>
      <c r="C1259" t="s">
        <v>354</v>
      </c>
      <c r="D1259" t="s">
        <v>32</v>
      </c>
      <c r="E1259" t="s">
        <v>303</v>
      </c>
      <c r="F1259" t="s">
        <v>345</v>
      </c>
      <c r="G1259" t="s">
        <v>3401</v>
      </c>
      <c r="H1259" t="s">
        <v>496</v>
      </c>
      <c r="I1259">
        <v>0</v>
      </c>
      <c r="J1259">
        <v>0</v>
      </c>
      <c r="K1259" t="s">
        <v>3402</v>
      </c>
    </row>
    <row r="1260" spans="1:11" x14ac:dyDescent="0.2">
      <c r="A1260" t="str">
        <f>HYPERLINK("https://www.tiwall.com//p/lekanteh","لکانطه")</f>
        <v>لکانطه</v>
      </c>
      <c r="B1260">
        <v>80</v>
      </c>
      <c r="C1260" t="s">
        <v>230</v>
      </c>
      <c r="D1260" t="s">
        <v>265</v>
      </c>
      <c r="E1260" t="s">
        <v>303</v>
      </c>
      <c r="F1260" t="s">
        <v>350</v>
      </c>
      <c r="G1260" t="s">
        <v>3403</v>
      </c>
      <c r="H1260" t="s">
        <v>973</v>
      </c>
      <c r="I1260">
        <v>3.9</v>
      </c>
      <c r="J1260">
        <v>117</v>
      </c>
      <c r="K1260" t="s">
        <v>3404</v>
      </c>
    </row>
    <row r="1261" spans="1:11" x14ac:dyDescent="0.2">
      <c r="A1261" t="str">
        <f>HYPERLINK("https://www.tiwall.com//p/hayatnatamam2","حیاط(ت) ناتمام خانه ورنوسفادرانی")</f>
        <v>حیاط(ت) ناتمام خانه ورنوسفادرانی</v>
      </c>
      <c r="B1261">
        <v>60</v>
      </c>
      <c r="C1261" t="s">
        <v>349</v>
      </c>
      <c r="D1261" t="s">
        <v>38</v>
      </c>
      <c r="E1261" t="s">
        <v>303</v>
      </c>
      <c r="F1261" t="s">
        <v>1004</v>
      </c>
      <c r="G1261" t="s">
        <v>3405</v>
      </c>
      <c r="H1261" t="s">
        <v>3405</v>
      </c>
      <c r="I1261">
        <v>3.6</v>
      </c>
      <c r="J1261">
        <v>22</v>
      </c>
      <c r="K1261" t="s">
        <v>3406</v>
      </c>
    </row>
    <row r="1262" spans="1:11" x14ac:dyDescent="0.2">
      <c r="A1262" t="str">
        <f>HYPERLINK("https://www.tiwall.com//p/mehmansaraye.dodonya17","مهمانسرای دو دنیا")</f>
        <v>مهمانسرای دو دنیا</v>
      </c>
      <c r="B1262">
        <v>45</v>
      </c>
      <c r="C1262" t="s">
        <v>24</v>
      </c>
      <c r="D1262" t="s">
        <v>45</v>
      </c>
      <c r="E1262" t="s">
        <v>1063</v>
      </c>
      <c r="F1262" t="s">
        <v>3195</v>
      </c>
      <c r="G1262" t="s">
        <v>3407</v>
      </c>
      <c r="H1262" t="s">
        <v>438</v>
      </c>
      <c r="I1262">
        <v>0</v>
      </c>
      <c r="J1262">
        <v>0</v>
      </c>
      <c r="K1262" t="s">
        <v>3408</v>
      </c>
    </row>
    <row r="1263" spans="1:11" x14ac:dyDescent="0.2">
      <c r="A1263" t="str">
        <f>HYPERLINK("https://www.tiwall.com//p/takhlieh","تخلیه")</f>
        <v>تخلیه</v>
      </c>
      <c r="B1263">
        <v>60</v>
      </c>
      <c r="C1263" t="s">
        <v>1290</v>
      </c>
      <c r="D1263" t="s">
        <v>12</v>
      </c>
      <c r="E1263" t="s">
        <v>26</v>
      </c>
      <c r="F1263" t="s">
        <v>2118</v>
      </c>
      <c r="G1263" t="s">
        <v>2083</v>
      </c>
      <c r="H1263" t="s">
        <v>2084</v>
      </c>
      <c r="I1263">
        <v>4.3</v>
      </c>
      <c r="J1263">
        <v>20</v>
      </c>
      <c r="K1263" t="s">
        <v>3409</v>
      </c>
    </row>
    <row r="1264" spans="1:11" x14ac:dyDescent="0.2">
      <c r="A1264" t="str">
        <f>HYPERLINK("https://www.tiwall.com//p/emaratghajari","عمارت قجری")</f>
        <v>عمارت قجری</v>
      </c>
      <c r="B1264">
        <v>40</v>
      </c>
      <c r="C1264" t="s">
        <v>145</v>
      </c>
      <c r="D1264" t="s">
        <v>12</v>
      </c>
      <c r="E1264" t="s">
        <v>26</v>
      </c>
      <c r="F1264" t="s">
        <v>52</v>
      </c>
      <c r="G1264" t="s">
        <v>3107</v>
      </c>
      <c r="H1264" t="s">
        <v>3108</v>
      </c>
      <c r="I1264">
        <v>4.0999999999999996</v>
      </c>
      <c r="J1264">
        <v>8</v>
      </c>
      <c r="K1264" t="s">
        <v>3410</v>
      </c>
    </row>
    <row r="1265" spans="1:11" x14ac:dyDescent="0.2">
      <c r="A1265" t="str">
        <f>HYPERLINK("https://www.tiwall.com//p/sivapanj","سی و پنج")</f>
        <v>سی و پنج</v>
      </c>
      <c r="B1265">
        <v>85</v>
      </c>
      <c r="C1265" t="s">
        <v>18</v>
      </c>
      <c r="D1265" t="s">
        <v>45</v>
      </c>
      <c r="E1265" t="s">
        <v>13</v>
      </c>
      <c r="F1265" t="s">
        <v>3411</v>
      </c>
      <c r="G1265" t="s">
        <v>3412</v>
      </c>
      <c r="H1265" t="s">
        <v>3413</v>
      </c>
      <c r="I1265">
        <v>0</v>
      </c>
      <c r="J1265">
        <v>0</v>
      </c>
      <c r="K1265" t="s">
        <v>3414</v>
      </c>
    </row>
    <row r="1266" spans="1:11" x14ac:dyDescent="0.2">
      <c r="A1266" t="str">
        <f>HYPERLINK("https://www.tiwall.com//p/kafanam.kojast","کفنم کجاست؟")</f>
        <v>کفنم کجاست؟</v>
      </c>
      <c r="B1266">
        <v>80</v>
      </c>
      <c r="C1266" t="s">
        <v>86</v>
      </c>
      <c r="D1266" t="s">
        <v>265</v>
      </c>
      <c r="E1266" t="s">
        <v>19</v>
      </c>
      <c r="F1266" t="s">
        <v>3415</v>
      </c>
      <c r="G1266" t="s">
        <v>3416</v>
      </c>
      <c r="H1266" t="s">
        <v>3416</v>
      </c>
      <c r="I1266">
        <v>4.4000000000000004</v>
      </c>
      <c r="J1266">
        <v>15</v>
      </c>
      <c r="K1266" t="s">
        <v>3417</v>
      </c>
    </row>
    <row r="1267" spans="1:11" x14ac:dyDescent="0.2">
      <c r="A1267" t="str">
        <f>HYPERLINK("https://www.tiwall.com//p/romeojuliet6","رومئو و ژولیت")</f>
        <v>رومئو و ژولیت</v>
      </c>
      <c r="B1267">
        <v>150</v>
      </c>
      <c r="C1267" t="s">
        <v>86</v>
      </c>
      <c r="D1267" t="s">
        <v>65</v>
      </c>
      <c r="E1267" t="s">
        <v>303</v>
      </c>
      <c r="F1267" t="s">
        <v>317</v>
      </c>
      <c r="G1267" t="s">
        <v>3418</v>
      </c>
      <c r="H1267" t="s">
        <v>1467</v>
      </c>
      <c r="I1267">
        <v>3.8</v>
      </c>
      <c r="J1267">
        <v>71</v>
      </c>
      <c r="K1267" t="s">
        <v>3419</v>
      </c>
    </row>
    <row r="1268" spans="1:11" x14ac:dyDescent="0.2">
      <c r="A1268" t="str">
        <f>HYPERLINK("https://www.tiwall.com//p/mabar3","معبر")</f>
        <v>معبر</v>
      </c>
      <c r="B1268">
        <v>100</v>
      </c>
      <c r="C1268" t="s">
        <v>3420</v>
      </c>
      <c r="D1268" t="s">
        <v>87</v>
      </c>
      <c r="E1268" t="s">
        <v>303</v>
      </c>
      <c r="F1268" t="s">
        <v>1956</v>
      </c>
      <c r="G1268" t="s">
        <v>3421</v>
      </c>
      <c r="H1268" t="s">
        <v>3422</v>
      </c>
      <c r="I1268">
        <v>0</v>
      </c>
      <c r="J1268">
        <v>0</v>
      </c>
      <c r="K1268" t="s">
        <v>3423</v>
      </c>
    </row>
    <row r="1269" spans="1:11" x14ac:dyDescent="0.2">
      <c r="A1269" t="str">
        <f>HYPERLINK("https://www.tiwall.com//p/chandtekeh.laghzan5","چند تکه‌ی لغزان")</f>
        <v>چند تکه‌ی لغزان</v>
      </c>
      <c r="B1269">
        <v>30</v>
      </c>
      <c r="C1269" t="s">
        <v>514</v>
      </c>
      <c r="D1269" t="s">
        <v>12</v>
      </c>
      <c r="E1269" t="s">
        <v>13</v>
      </c>
      <c r="F1269" t="s">
        <v>40</v>
      </c>
      <c r="G1269" t="s">
        <v>3424</v>
      </c>
      <c r="H1269" t="s">
        <v>904</v>
      </c>
      <c r="I1269">
        <v>2.2999999999999998</v>
      </c>
      <c r="J1269">
        <v>10</v>
      </c>
      <c r="K1269" t="s">
        <v>3425</v>
      </c>
    </row>
    <row r="1270" spans="1:11" x14ac:dyDescent="0.2">
      <c r="A1270" t="str">
        <f>HYPERLINK("https://www.tiwall.com//p/shagheyekhun2","شقه خون")</f>
        <v>شقه خون</v>
      </c>
      <c r="B1270">
        <v>90</v>
      </c>
      <c r="C1270" t="s">
        <v>3088</v>
      </c>
      <c r="D1270" t="s">
        <v>299</v>
      </c>
      <c r="E1270" t="s">
        <v>88</v>
      </c>
      <c r="F1270" t="s">
        <v>3426</v>
      </c>
      <c r="G1270" t="s">
        <v>894</v>
      </c>
      <c r="H1270" t="s">
        <v>895</v>
      </c>
      <c r="I1270">
        <v>0</v>
      </c>
      <c r="J1270">
        <v>0</v>
      </c>
      <c r="K1270" t="s">
        <v>3427</v>
      </c>
    </row>
    <row r="1271" spans="1:11" x14ac:dyDescent="0.2">
      <c r="A1271" t="str">
        <f>HYPERLINK("https://www.tiwall.com//p/khanomonline","خانم آنلاین")</f>
        <v>خانم آنلاین</v>
      </c>
      <c r="B1271">
        <v>10</v>
      </c>
      <c r="C1271" t="s">
        <v>1687</v>
      </c>
      <c r="D1271" t="s">
        <v>1816</v>
      </c>
      <c r="E1271" t="s">
        <v>235</v>
      </c>
      <c r="F1271" t="s">
        <v>3428</v>
      </c>
      <c r="G1271" t="s">
        <v>3429</v>
      </c>
      <c r="H1271" t="s">
        <v>3429</v>
      </c>
      <c r="I1271">
        <v>3.2</v>
      </c>
      <c r="J1271">
        <v>31</v>
      </c>
      <c r="K1271" t="s">
        <v>3269</v>
      </c>
    </row>
    <row r="1272" spans="1:11" x14ac:dyDescent="0.2">
      <c r="A1272" t="str">
        <f>HYPERLINK("https://www.tiwall.com//p/brave2","شجاع")</f>
        <v>شجاع</v>
      </c>
      <c r="B1272">
        <v>100</v>
      </c>
      <c r="C1272" t="s">
        <v>24</v>
      </c>
      <c r="D1272" t="s">
        <v>799</v>
      </c>
      <c r="E1272" t="s">
        <v>138</v>
      </c>
      <c r="F1272" t="s">
        <v>3430</v>
      </c>
      <c r="G1272" t="s">
        <v>1317</v>
      </c>
      <c r="H1272" t="s">
        <v>3431</v>
      </c>
      <c r="I1272">
        <v>3.8</v>
      </c>
      <c r="J1272">
        <v>29</v>
      </c>
      <c r="K1272" t="s">
        <v>3432</v>
      </c>
    </row>
    <row r="1273" spans="1:11" x14ac:dyDescent="0.2">
      <c r="A1273" t="str">
        <f>HYPERLINK("https://www.tiwall.com//p/didan.jorm.nist2","دیدن این نمایش جرم نیست!")</f>
        <v>دیدن این نمایش جرم نیست!</v>
      </c>
      <c r="B1273">
        <v>50</v>
      </c>
      <c r="C1273" t="s">
        <v>1054</v>
      </c>
      <c r="D1273" t="s">
        <v>217</v>
      </c>
      <c r="E1273" t="s">
        <v>13</v>
      </c>
      <c r="F1273" t="s">
        <v>2118</v>
      </c>
      <c r="G1273" t="s">
        <v>3433</v>
      </c>
      <c r="H1273" t="s">
        <v>1947</v>
      </c>
      <c r="I1273">
        <v>0</v>
      </c>
      <c r="J1273">
        <v>0</v>
      </c>
      <c r="K1273" t="s">
        <v>3434</v>
      </c>
    </row>
    <row r="1274" spans="1:11" x14ac:dyDescent="0.2">
      <c r="A1274" t="str">
        <f>HYPERLINK("https://www.tiwall.com//p/nesbiatekhaas4","نسبیت خاص")</f>
        <v>نسبیت خاص</v>
      </c>
      <c r="B1274">
        <v>60</v>
      </c>
      <c r="C1274" t="s">
        <v>1834</v>
      </c>
      <c r="D1274" t="s">
        <v>45</v>
      </c>
      <c r="E1274" t="s">
        <v>138</v>
      </c>
      <c r="F1274" t="s">
        <v>863</v>
      </c>
      <c r="G1274" t="s">
        <v>3435</v>
      </c>
      <c r="H1274" t="s">
        <v>95</v>
      </c>
      <c r="I1274">
        <v>0</v>
      </c>
      <c r="J1274">
        <v>0</v>
      </c>
      <c r="K1274" t="s">
        <v>3435</v>
      </c>
    </row>
    <row r="1275" spans="1:11" x14ac:dyDescent="0.2">
      <c r="A1275" t="str">
        <f>HYPERLINK("https://www.tiwall.com//p/had3","حاد")</f>
        <v>حاد</v>
      </c>
      <c r="B1275">
        <v>30</v>
      </c>
      <c r="C1275" t="s">
        <v>155</v>
      </c>
      <c r="D1275" t="s">
        <v>65</v>
      </c>
      <c r="E1275" t="s">
        <v>46</v>
      </c>
      <c r="F1275" t="s">
        <v>860</v>
      </c>
      <c r="G1275" t="s">
        <v>903</v>
      </c>
      <c r="H1275" t="s">
        <v>904</v>
      </c>
      <c r="I1275">
        <v>0</v>
      </c>
      <c r="J1275">
        <v>0</v>
      </c>
      <c r="K1275" t="s">
        <v>905</v>
      </c>
    </row>
    <row r="1276" spans="1:11" x14ac:dyDescent="0.2">
      <c r="A1276" t="str">
        <f>HYPERLINK("https://www.tiwall.com//p/tapaeezchandbaran3","تا باران چند پائیز مانده")</f>
        <v>تا باران چند پائیز مانده</v>
      </c>
      <c r="B1276">
        <v>100</v>
      </c>
      <c r="C1276" t="s">
        <v>224</v>
      </c>
      <c r="D1276" t="s">
        <v>12</v>
      </c>
      <c r="E1276" t="s">
        <v>71</v>
      </c>
      <c r="F1276" t="s">
        <v>317</v>
      </c>
      <c r="G1276" t="s">
        <v>3436</v>
      </c>
      <c r="H1276" t="s">
        <v>761</v>
      </c>
      <c r="I1276">
        <v>0</v>
      </c>
      <c r="J1276">
        <v>0</v>
      </c>
      <c r="K1276" t="s">
        <v>3437</v>
      </c>
    </row>
    <row r="1277" spans="1:11" x14ac:dyDescent="0.2">
      <c r="A1277" t="str">
        <f>HYPERLINK("https://www.tiwall.com//p/cholagheainishman9","چلاق آینیشمان")</f>
        <v>چلاق آینیشمان</v>
      </c>
      <c r="B1277">
        <v>80</v>
      </c>
      <c r="C1277" t="s">
        <v>224</v>
      </c>
      <c r="D1277" t="s">
        <v>65</v>
      </c>
      <c r="E1277" t="s">
        <v>19</v>
      </c>
      <c r="F1277" t="s">
        <v>317</v>
      </c>
      <c r="G1277" t="s">
        <v>3438</v>
      </c>
      <c r="H1277" t="s">
        <v>755</v>
      </c>
      <c r="I1277">
        <v>0</v>
      </c>
      <c r="J1277">
        <v>0</v>
      </c>
      <c r="K1277" t="s">
        <v>3439</v>
      </c>
    </row>
    <row r="1278" spans="1:11" x14ac:dyDescent="0.2">
      <c r="A1278" t="str">
        <f>HYPERLINK("https://www.tiwall.com//p/ta","ط…")</f>
        <v>ط…</v>
      </c>
      <c r="B1278">
        <v>120</v>
      </c>
      <c r="C1278" t="s">
        <v>31</v>
      </c>
      <c r="D1278" t="s">
        <v>25</v>
      </c>
      <c r="E1278" t="s">
        <v>13</v>
      </c>
      <c r="F1278" t="s">
        <v>142</v>
      </c>
      <c r="G1278" t="s">
        <v>3322</v>
      </c>
      <c r="H1278" t="s">
        <v>762</v>
      </c>
      <c r="I1278">
        <v>3.6</v>
      </c>
      <c r="J1278">
        <v>25</v>
      </c>
      <c r="K1278" t="s">
        <v>3440</v>
      </c>
    </row>
    <row r="1279" spans="1:11" x14ac:dyDescent="0.2">
      <c r="A1279" t="str">
        <f>HYPERLINK("https://www.tiwall.com//p/penguin.morghdaryei","پنگوئن، مرغ دریایی و چند پرنده دیگر")</f>
        <v>پنگوئن، مرغ دریایی و چند پرنده دیگر</v>
      </c>
      <c r="B1279">
        <v>65</v>
      </c>
      <c r="C1279" t="s">
        <v>86</v>
      </c>
      <c r="D1279" t="s">
        <v>38</v>
      </c>
      <c r="E1279" t="s">
        <v>19</v>
      </c>
      <c r="F1279" t="s">
        <v>2009</v>
      </c>
      <c r="G1279" t="s">
        <v>3441</v>
      </c>
      <c r="H1279" t="s">
        <v>3442</v>
      </c>
      <c r="I1279">
        <v>4.2</v>
      </c>
      <c r="J1279">
        <v>37</v>
      </c>
      <c r="K1279" t="s">
        <v>3443</v>
      </c>
    </row>
    <row r="1280" spans="1:11" x14ac:dyDescent="0.2">
      <c r="A1280" t="str">
        <f>HYPERLINK("https://www.tiwall.com//p/mushaye.teatreshahr","موش های تئاتر شهر")</f>
        <v>موش های تئاتر شهر</v>
      </c>
      <c r="B1280">
        <v>60</v>
      </c>
      <c r="C1280" t="s">
        <v>44</v>
      </c>
      <c r="D1280" t="s">
        <v>65</v>
      </c>
      <c r="E1280" t="s">
        <v>71</v>
      </c>
      <c r="F1280" t="s">
        <v>226</v>
      </c>
      <c r="G1280" t="s">
        <v>3121</v>
      </c>
      <c r="H1280" t="s">
        <v>886</v>
      </c>
      <c r="I1280">
        <v>4.2</v>
      </c>
      <c r="J1280">
        <v>10</v>
      </c>
      <c r="K1280" t="s">
        <v>3444</v>
      </c>
    </row>
    <row r="1281" spans="1:11" x14ac:dyDescent="0.2">
      <c r="A1281" t="str">
        <f>HYPERLINK("https://www.tiwall.com//p/voroudipanj","ورودی پنج")</f>
        <v>ورودی پنج</v>
      </c>
      <c r="B1281">
        <v>40</v>
      </c>
      <c r="C1281" t="s">
        <v>417</v>
      </c>
      <c r="D1281" t="s">
        <v>32</v>
      </c>
      <c r="E1281" t="s">
        <v>13</v>
      </c>
      <c r="F1281" t="s">
        <v>449</v>
      </c>
      <c r="G1281" t="s">
        <v>3445</v>
      </c>
      <c r="H1281" t="s">
        <v>3445</v>
      </c>
      <c r="I1281">
        <v>0</v>
      </c>
      <c r="J1281">
        <v>0</v>
      </c>
      <c r="K1281" t="s">
        <v>3446</v>
      </c>
    </row>
    <row r="1282" spans="1:11" x14ac:dyDescent="0.2">
      <c r="A1282" t="str">
        <f>HYPERLINK("https://www.tiwall.com//p/doorazdastrasatfal4","دور از دسترس اطفال نگهداری شود")</f>
        <v>دور از دسترس اطفال نگهداری شود</v>
      </c>
      <c r="B1282">
        <v>40</v>
      </c>
      <c r="C1282" t="s">
        <v>24</v>
      </c>
      <c r="D1282" t="s">
        <v>146</v>
      </c>
      <c r="E1282" t="s">
        <v>138</v>
      </c>
      <c r="F1282" t="s">
        <v>3447</v>
      </c>
      <c r="G1282" t="s">
        <v>3448</v>
      </c>
      <c r="H1282" t="s">
        <v>1450</v>
      </c>
      <c r="I1282">
        <v>0</v>
      </c>
      <c r="J1282">
        <v>0</v>
      </c>
      <c r="K1282" t="s">
        <v>3449</v>
      </c>
    </row>
    <row r="1283" spans="1:11" x14ac:dyDescent="0.2">
      <c r="A1283" t="str">
        <f>HYPERLINK("https://www.tiwall.com//p/sedayeshelik","صدای شلیک گلوله ای که به سمت هیچ نشانه رفته")</f>
        <v>صدای شلیک گلوله ای که به سمت هیچ نشانه رفته</v>
      </c>
      <c r="B1283">
        <v>50</v>
      </c>
      <c r="C1283" t="s">
        <v>86</v>
      </c>
      <c r="D1283" t="s">
        <v>146</v>
      </c>
      <c r="E1283" t="s">
        <v>138</v>
      </c>
      <c r="F1283" t="s">
        <v>3450</v>
      </c>
      <c r="G1283" t="s">
        <v>3451</v>
      </c>
      <c r="H1283" t="s">
        <v>3452</v>
      </c>
      <c r="I1283">
        <v>3.9</v>
      </c>
      <c r="J1283">
        <v>13</v>
      </c>
      <c r="K1283" t="s">
        <v>3453</v>
      </c>
    </row>
    <row r="1284" spans="1:11" x14ac:dyDescent="0.2">
      <c r="A1284" t="str">
        <f>HYPERLINK("https://www.tiwall.com//p/vamandetehran2","وامانده تهران")</f>
        <v>وامانده تهران</v>
      </c>
      <c r="B1284">
        <v>30</v>
      </c>
      <c r="C1284" t="s">
        <v>3454</v>
      </c>
      <c r="D1284" t="s">
        <v>45</v>
      </c>
      <c r="E1284" t="s">
        <v>13</v>
      </c>
      <c r="F1284" t="s">
        <v>3455</v>
      </c>
      <c r="G1284" t="s">
        <v>3362</v>
      </c>
      <c r="H1284" t="s">
        <v>3456</v>
      </c>
      <c r="I1284">
        <v>0</v>
      </c>
      <c r="J1284">
        <v>0</v>
      </c>
      <c r="K1284" t="s">
        <v>3362</v>
      </c>
    </row>
    <row r="1285" spans="1:11" x14ac:dyDescent="0.2">
      <c r="A1285" t="str">
        <f>HYPERLINK("https://www.tiwall.com//p/kandida","آقای کاندیدا")</f>
        <v>آقای کاندیدا</v>
      </c>
      <c r="B1285">
        <v>40</v>
      </c>
      <c r="C1285" t="s">
        <v>821</v>
      </c>
      <c r="D1285" t="s">
        <v>87</v>
      </c>
      <c r="E1285" t="s">
        <v>13</v>
      </c>
      <c r="F1285" t="s">
        <v>3457</v>
      </c>
      <c r="G1285" t="s">
        <v>3395</v>
      </c>
      <c r="H1285" t="s">
        <v>3395</v>
      </c>
      <c r="I1285">
        <v>0</v>
      </c>
      <c r="J1285">
        <v>0</v>
      </c>
      <c r="K1285" t="s">
        <v>3458</v>
      </c>
    </row>
    <row r="1286" spans="1:11" x14ac:dyDescent="0.2">
      <c r="A1286" t="str">
        <f>HYPERLINK("https://www.tiwall.com//p/charkhesh","چرخش")</f>
        <v>چرخش</v>
      </c>
      <c r="B1286">
        <v>50</v>
      </c>
      <c r="C1286" t="s">
        <v>103</v>
      </c>
      <c r="D1286" t="s">
        <v>285</v>
      </c>
      <c r="E1286" t="s">
        <v>26</v>
      </c>
      <c r="F1286" t="s">
        <v>3459</v>
      </c>
      <c r="G1286" t="s">
        <v>390</v>
      </c>
      <c r="H1286" t="s">
        <v>390</v>
      </c>
      <c r="I1286">
        <v>3.5</v>
      </c>
      <c r="J1286">
        <v>6</v>
      </c>
      <c r="K1286" t="s">
        <v>3460</v>
      </c>
    </row>
    <row r="1287" spans="1:11" x14ac:dyDescent="0.2">
      <c r="A1287" t="str">
        <f>HYPERLINK("https://www.tiwall.com//p/richardposhtedar","ریچارد پشت در")</f>
        <v>ریچارد پشت در</v>
      </c>
      <c r="B1287">
        <v>30</v>
      </c>
      <c r="C1287" t="s">
        <v>383</v>
      </c>
      <c r="D1287" t="s">
        <v>25</v>
      </c>
      <c r="E1287" t="s">
        <v>415</v>
      </c>
      <c r="F1287" t="s">
        <v>61</v>
      </c>
      <c r="G1287" t="s">
        <v>3461</v>
      </c>
      <c r="H1287" t="s">
        <v>3462</v>
      </c>
      <c r="I1287">
        <v>0</v>
      </c>
      <c r="J1287">
        <v>0</v>
      </c>
      <c r="K1287" t="s">
        <v>3463</v>
      </c>
    </row>
    <row r="1288" spans="1:11" x14ac:dyDescent="0.2">
      <c r="A1288" t="str">
        <f>HYPERLINK("https://www.tiwall.com//p/nist3","نیست")</f>
        <v>نیست</v>
      </c>
      <c r="B1288">
        <v>80</v>
      </c>
      <c r="C1288" t="s">
        <v>86</v>
      </c>
      <c r="D1288" t="s">
        <v>280</v>
      </c>
      <c r="E1288" t="s">
        <v>13</v>
      </c>
      <c r="F1288" t="s">
        <v>555</v>
      </c>
      <c r="G1288" t="s">
        <v>3464</v>
      </c>
      <c r="H1288" t="s">
        <v>3464</v>
      </c>
      <c r="I1288">
        <v>3.8</v>
      </c>
      <c r="J1288">
        <v>65</v>
      </c>
      <c r="K1288" t="s">
        <v>3465</v>
      </c>
    </row>
    <row r="1289" spans="1:11" x14ac:dyDescent="0.2">
      <c r="A1289" t="str">
        <f>HYPERLINK("https://www.tiwall.com//p/ghajarnameh","قاجارنامه")</f>
        <v>قاجارنامه</v>
      </c>
      <c r="B1289">
        <v>70</v>
      </c>
      <c r="C1289" t="s">
        <v>86</v>
      </c>
      <c r="D1289" t="s">
        <v>957</v>
      </c>
      <c r="E1289" t="s">
        <v>138</v>
      </c>
      <c r="F1289" t="s">
        <v>1842</v>
      </c>
      <c r="G1289" t="s">
        <v>1287</v>
      </c>
      <c r="H1289" t="s">
        <v>3466</v>
      </c>
      <c r="I1289">
        <v>0</v>
      </c>
      <c r="J1289">
        <v>0</v>
      </c>
      <c r="K1289" t="s">
        <v>3467</v>
      </c>
    </row>
    <row r="1290" spans="1:11" x14ac:dyDescent="0.2">
      <c r="A1290" t="str">
        <f>HYPERLINK("https://www.tiwall.com//p/salkhordegi3","سالخوردگی")</f>
        <v>سالخوردگی</v>
      </c>
      <c r="B1290">
        <v>50</v>
      </c>
      <c r="C1290" t="s">
        <v>324</v>
      </c>
      <c r="D1290" t="s">
        <v>45</v>
      </c>
      <c r="E1290" t="s">
        <v>19</v>
      </c>
      <c r="F1290" t="s">
        <v>27</v>
      </c>
      <c r="G1290" t="s">
        <v>3468</v>
      </c>
      <c r="H1290" t="s">
        <v>428</v>
      </c>
      <c r="I1290">
        <v>0</v>
      </c>
      <c r="J1290">
        <v>0</v>
      </c>
      <c r="K1290" t="s">
        <v>3469</v>
      </c>
    </row>
    <row r="1291" spans="1:11" x14ac:dyDescent="0.2">
      <c r="A1291" t="str">
        <f>HYPERLINK("https://www.tiwall.com//p/chehrezanane3","جنگ چهره زنانه ندارد")</f>
        <v>جنگ چهره زنانه ندارد</v>
      </c>
      <c r="B1291">
        <v>60</v>
      </c>
      <c r="C1291" t="s">
        <v>86</v>
      </c>
      <c r="D1291" t="s">
        <v>87</v>
      </c>
      <c r="E1291" t="s">
        <v>13</v>
      </c>
      <c r="F1291" t="s">
        <v>2189</v>
      </c>
      <c r="G1291" t="s">
        <v>3470</v>
      </c>
      <c r="H1291" t="s">
        <v>3471</v>
      </c>
      <c r="I1291">
        <v>3.8</v>
      </c>
      <c r="J1291">
        <v>30</v>
      </c>
      <c r="K1291" t="s">
        <v>3472</v>
      </c>
    </row>
    <row r="1292" spans="1:11" x14ac:dyDescent="0.2">
      <c r="A1292" t="str">
        <f>HYPERLINK("https://www.tiwall.com//p/khakestar.sorkh","خاکستر سرخ")</f>
        <v>خاکستر سرخ</v>
      </c>
      <c r="B1292">
        <v>30</v>
      </c>
      <c r="C1292" t="s">
        <v>3473</v>
      </c>
      <c r="D1292" t="s">
        <v>256</v>
      </c>
      <c r="E1292" t="s">
        <v>26</v>
      </c>
      <c r="F1292" t="s">
        <v>2705</v>
      </c>
      <c r="G1292" t="s">
        <v>3474</v>
      </c>
      <c r="H1292" t="s">
        <v>3475</v>
      </c>
      <c r="I1292">
        <v>0</v>
      </c>
      <c r="J1292">
        <v>0</v>
      </c>
      <c r="K1292" t="s">
        <v>3476</v>
      </c>
    </row>
    <row r="1293" spans="1:11" x14ac:dyDescent="0.2">
      <c r="A1293" t="str">
        <f>HYPERLINK("https://www.tiwall.com//p/sutiras","سوتیراس")</f>
        <v>سوتیراس</v>
      </c>
      <c r="B1293">
        <v>60</v>
      </c>
      <c r="C1293" t="s">
        <v>230</v>
      </c>
      <c r="D1293" t="s">
        <v>45</v>
      </c>
      <c r="E1293" t="s">
        <v>88</v>
      </c>
      <c r="F1293" t="s">
        <v>3477</v>
      </c>
      <c r="G1293" t="s">
        <v>3478</v>
      </c>
      <c r="H1293" t="s">
        <v>3478</v>
      </c>
      <c r="I1293">
        <v>3.1</v>
      </c>
      <c r="J1293">
        <v>7</v>
      </c>
      <c r="K1293" t="s">
        <v>3479</v>
      </c>
    </row>
    <row r="1294" spans="1:11" x14ac:dyDescent="0.2">
      <c r="A1294" t="str">
        <f>HYPERLINK("https://www.tiwall.com//p/khargush","خرگوش")</f>
        <v>خرگوش</v>
      </c>
      <c r="B1294">
        <v>70</v>
      </c>
      <c r="C1294" t="s">
        <v>1290</v>
      </c>
      <c r="D1294" t="s">
        <v>470</v>
      </c>
      <c r="E1294" t="s">
        <v>303</v>
      </c>
      <c r="F1294" t="s">
        <v>1928</v>
      </c>
      <c r="G1294" t="s">
        <v>3480</v>
      </c>
      <c r="H1294" t="s">
        <v>3481</v>
      </c>
      <c r="I1294">
        <v>3.6</v>
      </c>
      <c r="J1294">
        <v>19</v>
      </c>
      <c r="K1294" t="s">
        <v>3482</v>
      </c>
    </row>
    <row r="1295" spans="1:11" x14ac:dyDescent="0.2">
      <c r="A1295" t="str">
        <f>HYPERLINK("https://www.tiwall.com//p/mazhakehsiah2","مضحکه سیاه")</f>
        <v>مضحکه سیاه</v>
      </c>
      <c r="B1295">
        <v>80</v>
      </c>
      <c r="C1295" t="s">
        <v>324</v>
      </c>
      <c r="D1295" t="s">
        <v>12</v>
      </c>
      <c r="E1295" t="s">
        <v>19</v>
      </c>
      <c r="F1295" t="s">
        <v>176</v>
      </c>
      <c r="G1295" t="s">
        <v>3483</v>
      </c>
      <c r="H1295" t="s">
        <v>886</v>
      </c>
      <c r="I1295">
        <v>0</v>
      </c>
      <c r="J1295">
        <v>0</v>
      </c>
      <c r="K1295" t="s">
        <v>3484</v>
      </c>
    </row>
    <row r="1296" spans="1:11" x14ac:dyDescent="0.2">
      <c r="A1296" t="str">
        <f>HYPERLINK("https://www.tiwall.com//p/hesar","حصار")</f>
        <v>حصار</v>
      </c>
      <c r="B1296">
        <v>40</v>
      </c>
      <c r="C1296" t="s">
        <v>24</v>
      </c>
      <c r="D1296" t="s">
        <v>87</v>
      </c>
      <c r="E1296" t="s">
        <v>13</v>
      </c>
      <c r="F1296" t="s">
        <v>2646</v>
      </c>
      <c r="G1296" t="s">
        <v>3485</v>
      </c>
      <c r="H1296" t="s">
        <v>3485</v>
      </c>
      <c r="I1296">
        <v>3.8</v>
      </c>
      <c r="J1296">
        <v>9</v>
      </c>
      <c r="K1296" t="s">
        <v>3486</v>
      </c>
    </row>
    <row r="1297" spans="1:11" x14ac:dyDescent="0.2">
      <c r="A1297" t="str">
        <f>HYPERLINK("https://www.tiwall.com//p/motlaq","مطلق")</f>
        <v>مطلق</v>
      </c>
      <c r="B1297">
        <v>50</v>
      </c>
      <c r="C1297" t="s">
        <v>86</v>
      </c>
      <c r="D1297" t="s">
        <v>217</v>
      </c>
      <c r="E1297" t="s">
        <v>3487</v>
      </c>
      <c r="F1297" t="s">
        <v>3488</v>
      </c>
      <c r="G1297" t="s">
        <v>3489</v>
      </c>
      <c r="H1297" t="s">
        <v>3490</v>
      </c>
      <c r="I1297">
        <v>3.7</v>
      </c>
      <c r="J1297">
        <v>21</v>
      </c>
      <c r="K1297" t="s">
        <v>3491</v>
      </c>
    </row>
    <row r="1298" spans="1:11" x14ac:dyDescent="0.2">
      <c r="A1298" t="str">
        <f>HYPERLINK("https://www.tiwall.com//p/man.divaneh.nistam2","من دیوانه نیستم")</f>
        <v>من دیوانه نیستم</v>
      </c>
      <c r="B1298">
        <v>35</v>
      </c>
      <c r="C1298" t="s">
        <v>121</v>
      </c>
      <c r="D1298" t="s">
        <v>87</v>
      </c>
      <c r="E1298" t="s">
        <v>88</v>
      </c>
      <c r="F1298" t="s">
        <v>1548</v>
      </c>
      <c r="G1298" t="s">
        <v>2697</v>
      </c>
      <c r="H1298" t="s">
        <v>2697</v>
      </c>
      <c r="I1298">
        <v>0</v>
      </c>
      <c r="J1298">
        <v>0</v>
      </c>
      <c r="K1298" t="s">
        <v>3492</v>
      </c>
    </row>
    <row r="1299" spans="1:11" x14ac:dyDescent="0.2">
      <c r="A1299" t="str">
        <f>HYPERLINK("https://www.tiwall.com//p/belakhareinzendegimalekiye5","بالاخره این زندگی مال کیه؟")</f>
        <v>بالاخره این زندگی مال کیه؟</v>
      </c>
      <c r="B1299">
        <v>80</v>
      </c>
      <c r="C1299" t="s">
        <v>24</v>
      </c>
      <c r="D1299" t="s">
        <v>1353</v>
      </c>
      <c r="E1299" t="s">
        <v>71</v>
      </c>
      <c r="F1299" t="s">
        <v>506</v>
      </c>
      <c r="G1299" t="s">
        <v>1511</v>
      </c>
      <c r="H1299" t="s">
        <v>1512</v>
      </c>
      <c r="I1299">
        <v>3.5</v>
      </c>
      <c r="J1299">
        <v>41</v>
      </c>
      <c r="K1299" t="s">
        <v>3493</v>
      </c>
    </row>
    <row r="1300" spans="1:11" x14ac:dyDescent="0.2">
      <c r="A1300" t="str">
        <f>HYPERLINK("https://www.tiwall.com//p/bekhabam.shab2","بخوابم یا روایت شب پنجره ای")</f>
        <v>بخوابم یا روایت شب پنجره ای</v>
      </c>
      <c r="B1300">
        <v>30</v>
      </c>
      <c r="C1300" t="s">
        <v>514</v>
      </c>
      <c r="D1300" t="s">
        <v>146</v>
      </c>
      <c r="E1300" t="s">
        <v>46</v>
      </c>
      <c r="F1300" t="s">
        <v>243</v>
      </c>
      <c r="G1300" t="s">
        <v>3494</v>
      </c>
      <c r="H1300" t="s">
        <v>3494</v>
      </c>
      <c r="I1300">
        <v>3</v>
      </c>
      <c r="J1300">
        <v>15</v>
      </c>
      <c r="K1300" t="s">
        <v>3495</v>
      </c>
    </row>
    <row r="1301" spans="1:11" x14ac:dyDescent="0.2">
      <c r="A1301" t="str">
        <f>HYPERLINK("https://www.tiwall.com//p/youghvaparvaneh","پروانه و یوغ")</f>
        <v>پروانه و یوغ</v>
      </c>
      <c r="B1301">
        <v>100</v>
      </c>
      <c r="C1301" t="s">
        <v>344</v>
      </c>
      <c r="D1301" t="s">
        <v>25</v>
      </c>
      <c r="E1301" t="s">
        <v>13</v>
      </c>
      <c r="F1301" t="s">
        <v>270</v>
      </c>
      <c r="G1301" t="s">
        <v>3496</v>
      </c>
      <c r="H1301" t="s">
        <v>538</v>
      </c>
      <c r="I1301">
        <v>3</v>
      </c>
      <c r="J1301">
        <v>16</v>
      </c>
      <c r="K1301" t="s">
        <v>3497</v>
      </c>
    </row>
    <row r="1302" spans="1:11" x14ac:dyDescent="0.2">
      <c r="A1302" t="str">
        <f>HYPERLINK("https://www.tiwall.com//p/house.bernarda.alba11","خانه برناردا آلبا")</f>
        <v>خانه برناردا آلبا</v>
      </c>
      <c r="B1302">
        <v>150</v>
      </c>
      <c r="C1302" t="s">
        <v>2162</v>
      </c>
      <c r="D1302" t="s">
        <v>12</v>
      </c>
      <c r="E1302" t="s">
        <v>303</v>
      </c>
      <c r="F1302" t="s">
        <v>3498</v>
      </c>
      <c r="G1302" t="s">
        <v>1164</v>
      </c>
      <c r="H1302" t="s">
        <v>447</v>
      </c>
      <c r="I1302">
        <v>4.3</v>
      </c>
      <c r="J1302">
        <v>53</v>
      </c>
      <c r="K1302" t="s">
        <v>3499</v>
      </c>
    </row>
    <row r="1303" spans="1:11" x14ac:dyDescent="0.2">
      <c r="A1303" t="str">
        <f>HYPERLINK("https://www.tiwall.com//p/dasthayatkou","دستهایت کو مم حسن")</f>
        <v>دستهایت کو مم حسن</v>
      </c>
      <c r="B1303">
        <v>30</v>
      </c>
      <c r="C1303" t="s">
        <v>825</v>
      </c>
      <c r="D1303" t="s">
        <v>217</v>
      </c>
      <c r="E1303" t="s">
        <v>13</v>
      </c>
      <c r="F1303" t="s">
        <v>3188</v>
      </c>
      <c r="G1303" t="s">
        <v>3500</v>
      </c>
      <c r="H1303" t="s">
        <v>330</v>
      </c>
      <c r="I1303">
        <v>0</v>
      </c>
      <c r="J1303">
        <v>0</v>
      </c>
      <c r="K1303" t="s">
        <v>3501</v>
      </c>
    </row>
    <row r="1304" spans="1:11" x14ac:dyDescent="0.2">
      <c r="A1304" t="str">
        <f>HYPERLINK("https://www.tiwall.com//p/hotelpormajara","هتل پرماجرا")</f>
        <v>هتل پرماجرا</v>
      </c>
      <c r="B1304">
        <v>100</v>
      </c>
      <c r="C1304" t="s">
        <v>3502</v>
      </c>
      <c r="D1304" t="s">
        <v>3503</v>
      </c>
      <c r="E1304" t="s">
        <v>328</v>
      </c>
      <c r="F1304" t="s">
        <v>812</v>
      </c>
      <c r="G1304" t="s">
        <v>3504</v>
      </c>
      <c r="H1304" t="s">
        <v>3504</v>
      </c>
      <c r="I1304">
        <v>0</v>
      </c>
      <c r="J1304">
        <v>0</v>
      </c>
      <c r="K1304" t="s">
        <v>3505</v>
      </c>
    </row>
    <row r="1305" spans="1:11" x14ac:dyDescent="0.2">
      <c r="A1305" t="str">
        <f>HYPERLINK("https://www.tiwall.com//p/sayehroshan5","سایه روشن")</f>
        <v>سایه روشن</v>
      </c>
      <c r="B1305">
        <v>100</v>
      </c>
      <c r="C1305" t="s">
        <v>344</v>
      </c>
      <c r="D1305" t="s">
        <v>87</v>
      </c>
      <c r="E1305" t="s">
        <v>13</v>
      </c>
      <c r="F1305" t="s">
        <v>1227</v>
      </c>
      <c r="G1305" t="s">
        <v>3506</v>
      </c>
      <c r="H1305" t="s">
        <v>3506</v>
      </c>
      <c r="I1305">
        <v>0</v>
      </c>
      <c r="J1305">
        <v>0</v>
      </c>
      <c r="K1305" t="s">
        <v>3507</v>
      </c>
    </row>
    <row r="1306" spans="1:11" x14ac:dyDescent="0.2">
      <c r="A1306" t="str">
        <f>HYPERLINK("https://www.tiwall.com//p/torearous3","تور عروس")</f>
        <v>تور عروس</v>
      </c>
      <c r="B1306">
        <v>80</v>
      </c>
      <c r="C1306" t="s">
        <v>324</v>
      </c>
      <c r="D1306" t="s">
        <v>87</v>
      </c>
      <c r="E1306" t="s">
        <v>71</v>
      </c>
      <c r="F1306" t="s">
        <v>3508</v>
      </c>
      <c r="G1306" t="s">
        <v>3509</v>
      </c>
      <c r="H1306" t="s">
        <v>3510</v>
      </c>
      <c r="I1306">
        <v>0</v>
      </c>
      <c r="J1306">
        <v>0</v>
      </c>
      <c r="K1306" t="s">
        <v>3511</v>
      </c>
    </row>
    <row r="1307" spans="1:11" x14ac:dyDescent="0.2">
      <c r="A1307" t="str">
        <f>HYPERLINK("https://www.tiwall.com//p/nakhnama","نخ نما خانم")</f>
        <v>نخ نما خانم</v>
      </c>
      <c r="B1307">
        <v>30</v>
      </c>
      <c r="C1307" t="s">
        <v>522</v>
      </c>
      <c r="D1307" t="s">
        <v>45</v>
      </c>
      <c r="E1307" t="s">
        <v>46</v>
      </c>
      <c r="F1307" t="s">
        <v>2009</v>
      </c>
      <c r="G1307" t="s">
        <v>3512</v>
      </c>
      <c r="H1307" t="s">
        <v>3513</v>
      </c>
      <c r="I1307">
        <v>0</v>
      </c>
      <c r="J1307">
        <v>0</v>
      </c>
      <c r="K1307" t="s">
        <v>3514</v>
      </c>
    </row>
    <row r="1308" spans="1:11" x14ac:dyDescent="0.2">
      <c r="A1308" t="str">
        <f>HYPERLINK("https://www.tiwall.com//p/artist","آرتیست")</f>
        <v>آرتیست</v>
      </c>
      <c r="B1308">
        <v>100</v>
      </c>
      <c r="C1308" t="s">
        <v>11</v>
      </c>
      <c r="D1308" t="s">
        <v>12</v>
      </c>
      <c r="E1308" t="s">
        <v>13</v>
      </c>
      <c r="F1308" t="s">
        <v>906</v>
      </c>
      <c r="G1308" t="s">
        <v>3515</v>
      </c>
      <c r="H1308" t="s">
        <v>3515</v>
      </c>
      <c r="I1308">
        <v>4.2</v>
      </c>
      <c r="J1308">
        <v>28</v>
      </c>
      <c r="K1308" t="s">
        <v>3516</v>
      </c>
    </row>
    <row r="1309" spans="1:11" x14ac:dyDescent="0.2">
      <c r="A1309" t="str">
        <f>HYPERLINK("https://www.tiwall.com//p/bahram2","بهرام به روایت هفت پیکر")</f>
        <v>بهرام به روایت هفت پیکر</v>
      </c>
      <c r="B1309">
        <v>70</v>
      </c>
      <c r="C1309" t="s">
        <v>358</v>
      </c>
      <c r="D1309" t="s">
        <v>87</v>
      </c>
      <c r="E1309" t="s">
        <v>13</v>
      </c>
      <c r="F1309" t="s">
        <v>445</v>
      </c>
      <c r="G1309" t="s">
        <v>236</v>
      </c>
      <c r="H1309" t="s">
        <v>236</v>
      </c>
      <c r="I1309">
        <v>4.0999999999999996</v>
      </c>
      <c r="J1309">
        <v>16</v>
      </c>
      <c r="K1309" t="s">
        <v>3517</v>
      </c>
    </row>
    <row r="1310" spans="1:11" x14ac:dyDescent="0.2">
      <c r="A1310" t="str">
        <f>HYPERLINK("https://www.tiwall.com//p/diruz.emruz.farda2","دیروز، امروز، فردا")</f>
        <v>دیروز، امروز، فردا</v>
      </c>
      <c r="B1310">
        <v>60</v>
      </c>
      <c r="C1310" t="s">
        <v>417</v>
      </c>
      <c r="D1310" t="s">
        <v>32</v>
      </c>
      <c r="E1310" t="s">
        <v>13</v>
      </c>
      <c r="F1310" t="s">
        <v>2137</v>
      </c>
      <c r="G1310" t="s">
        <v>1478</v>
      </c>
      <c r="H1310" t="s">
        <v>1648</v>
      </c>
      <c r="I1310">
        <v>0</v>
      </c>
      <c r="J1310">
        <v>0</v>
      </c>
      <c r="K1310" t="s">
        <v>3518</v>
      </c>
    </row>
    <row r="1311" spans="1:11" x14ac:dyDescent="0.2">
      <c r="A1311" t="str">
        <f>HYPERLINK("https://www.tiwall.com//p/kheirnabinisaeedeh2","خیر نبینی سعیده")</f>
        <v>خیر نبینی سعیده</v>
      </c>
      <c r="B1311">
        <v>35</v>
      </c>
      <c r="C1311" t="s">
        <v>24</v>
      </c>
      <c r="D1311" t="s">
        <v>32</v>
      </c>
      <c r="E1311" t="s">
        <v>194</v>
      </c>
      <c r="F1311" t="s">
        <v>2409</v>
      </c>
      <c r="G1311" t="s">
        <v>2576</v>
      </c>
      <c r="H1311" t="s">
        <v>1738</v>
      </c>
      <c r="I1311">
        <v>4.0999999999999996</v>
      </c>
      <c r="J1311">
        <v>10</v>
      </c>
      <c r="K1311" t="s">
        <v>2577</v>
      </c>
    </row>
    <row r="1312" spans="1:11" x14ac:dyDescent="0.2">
      <c r="A1312" t="str">
        <f>HYPERLINK("https://www.tiwall.com//p/didaretefaghi","دیدار کاملا اتفاقی")</f>
        <v>دیدار کاملا اتفاقی</v>
      </c>
      <c r="B1312">
        <v>70</v>
      </c>
      <c r="C1312" t="s">
        <v>132</v>
      </c>
      <c r="D1312" t="s">
        <v>12</v>
      </c>
      <c r="E1312" t="s">
        <v>13</v>
      </c>
      <c r="F1312" t="s">
        <v>623</v>
      </c>
      <c r="G1312" t="s">
        <v>3519</v>
      </c>
      <c r="H1312" t="s">
        <v>3519</v>
      </c>
      <c r="I1312">
        <v>4.3</v>
      </c>
      <c r="J1312">
        <v>14</v>
      </c>
      <c r="K1312" t="s">
        <v>3520</v>
      </c>
    </row>
    <row r="1313" spans="1:11" x14ac:dyDescent="0.2">
      <c r="A1313" t="str">
        <f>HYPERLINK("https://www.tiwall.com//p/barayepedar","مادرانه ای برای پدر")</f>
        <v>مادرانه ای برای پدر</v>
      </c>
      <c r="B1313">
        <v>100</v>
      </c>
      <c r="C1313" t="s">
        <v>117</v>
      </c>
      <c r="D1313" t="s">
        <v>32</v>
      </c>
      <c r="E1313" t="s">
        <v>46</v>
      </c>
      <c r="F1313" t="s">
        <v>2770</v>
      </c>
      <c r="G1313" t="s">
        <v>3521</v>
      </c>
      <c r="H1313" t="s">
        <v>3522</v>
      </c>
      <c r="I1313">
        <v>0</v>
      </c>
      <c r="J1313">
        <v>0</v>
      </c>
      <c r="K1313" t="s">
        <v>3523</v>
      </c>
    </row>
    <row r="1314" spans="1:11" x14ac:dyDescent="0.2">
      <c r="A1314" t="str">
        <f>HYPERLINK("https://www.tiwall.com//p/virjiniawolf4","چه کسی از ویرجینیا وولف میترسد؟")</f>
        <v>چه کسی از ویرجینیا وولف میترسد؟</v>
      </c>
      <c r="B1314">
        <v>60</v>
      </c>
      <c r="C1314" t="s">
        <v>11</v>
      </c>
      <c r="D1314" t="s">
        <v>32</v>
      </c>
      <c r="E1314" t="s">
        <v>71</v>
      </c>
      <c r="F1314" t="s">
        <v>2453</v>
      </c>
      <c r="G1314" t="s">
        <v>2725</v>
      </c>
      <c r="H1314" t="s">
        <v>334</v>
      </c>
      <c r="I1314">
        <v>0</v>
      </c>
      <c r="J1314">
        <v>0</v>
      </c>
      <c r="K1314" t="s">
        <v>3524</v>
      </c>
    </row>
    <row r="1315" spans="1:11" x14ac:dyDescent="0.2">
      <c r="A1315" t="str">
        <f>HYPERLINK("https://www.tiwall.com//p/smithivanof","آقای اسمیت، آقای ایوانف و یک خانواده کم اهمیت آفریقایی")</f>
        <v>آقای اسمیت، آقای ایوانف و یک خانواده کم اهمیت آفریقایی</v>
      </c>
      <c r="B1315">
        <v>40</v>
      </c>
      <c r="C1315" t="s">
        <v>262</v>
      </c>
      <c r="D1315" t="s">
        <v>87</v>
      </c>
      <c r="E1315" t="s">
        <v>208</v>
      </c>
      <c r="F1315" t="s">
        <v>427</v>
      </c>
      <c r="G1315" t="s">
        <v>3337</v>
      </c>
      <c r="H1315" t="s">
        <v>3337</v>
      </c>
      <c r="I1315">
        <v>3</v>
      </c>
      <c r="J1315">
        <v>11</v>
      </c>
      <c r="K1315" t="s">
        <v>3525</v>
      </c>
    </row>
    <row r="1316" spans="1:11" x14ac:dyDescent="0.2">
      <c r="A1316" t="str">
        <f>HYPERLINK("https://www.tiwall.com//p/pishazkoshtan","پیش از کشتن")</f>
        <v>پیش از کشتن</v>
      </c>
      <c r="B1316">
        <v>70</v>
      </c>
      <c r="C1316" t="s">
        <v>230</v>
      </c>
      <c r="D1316" t="s">
        <v>299</v>
      </c>
      <c r="E1316" t="s">
        <v>71</v>
      </c>
      <c r="F1316" t="s">
        <v>3163</v>
      </c>
      <c r="G1316" t="s">
        <v>2159</v>
      </c>
      <c r="H1316" t="s">
        <v>895</v>
      </c>
      <c r="I1316">
        <v>3.8</v>
      </c>
      <c r="J1316">
        <v>80</v>
      </c>
      <c r="K1316" t="s">
        <v>3526</v>
      </c>
    </row>
    <row r="1317" spans="1:11" x14ac:dyDescent="0.2">
      <c r="A1317" t="str">
        <f>HYPERLINK("https://www.tiwall.com//p/min","مین")</f>
        <v>مین</v>
      </c>
      <c r="B1317">
        <v>40</v>
      </c>
      <c r="C1317" t="s">
        <v>3527</v>
      </c>
      <c r="D1317" t="s">
        <v>32</v>
      </c>
      <c r="E1317" t="s">
        <v>138</v>
      </c>
      <c r="F1317" t="s">
        <v>2098</v>
      </c>
      <c r="G1317" t="s">
        <v>3528</v>
      </c>
      <c r="H1317" t="s">
        <v>3528</v>
      </c>
      <c r="I1317">
        <v>0</v>
      </c>
      <c r="J1317">
        <v>0</v>
      </c>
      <c r="K1317" t="s">
        <v>3529</v>
      </c>
    </row>
    <row r="1318" spans="1:11" x14ac:dyDescent="0.2">
      <c r="A1318" t="str">
        <f>HYPERLINK("https://www.tiwall.com//p/tandadeh","تن داده")</f>
        <v>تن داده</v>
      </c>
      <c r="B1318">
        <v>80</v>
      </c>
      <c r="C1318" t="s">
        <v>204</v>
      </c>
      <c r="D1318" t="s">
        <v>65</v>
      </c>
      <c r="E1318" t="s">
        <v>26</v>
      </c>
      <c r="F1318" t="s">
        <v>3530</v>
      </c>
      <c r="G1318" t="s">
        <v>2518</v>
      </c>
      <c r="H1318" t="s">
        <v>2518</v>
      </c>
      <c r="I1318">
        <v>4</v>
      </c>
      <c r="J1318">
        <v>23</v>
      </c>
      <c r="K1318" t="s">
        <v>3531</v>
      </c>
    </row>
    <row r="1319" spans="1:11" x14ac:dyDescent="0.2">
      <c r="A1319" t="str">
        <f>HYPERLINK("https://www.tiwall.com//p/mard3","مرد")</f>
        <v>مرد</v>
      </c>
      <c r="B1319">
        <v>80</v>
      </c>
      <c r="C1319" t="s">
        <v>151</v>
      </c>
      <c r="D1319" t="s">
        <v>559</v>
      </c>
      <c r="E1319" t="s">
        <v>13</v>
      </c>
      <c r="F1319" t="s">
        <v>944</v>
      </c>
      <c r="G1319" t="s">
        <v>3532</v>
      </c>
      <c r="H1319" t="s">
        <v>3533</v>
      </c>
      <c r="I1319">
        <v>0</v>
      </c>
      <c r="J1319">
        <v>0</v>
      </c>
      <c r="K1319" t="s">
        <v>3534</v>
      </c>
    </row>
    <row r="1320" spans="1:11" x14ac:dyDescent="0.2">
      <c r="A1320" t="str">
        <f>HYPERLINK("https://www.tiwall.com//p/mahramane","محرمانه")</f>
        <v>محرمانه</v>
      </c>
      <c r="B1320">
        <v>25</v>
      </c>
      <c r="C1320" t="s">
        <v>121</v>
      </c>
      <c r="D1320" t="s">
        <v>146</v>
      </c>
      <c r="E1320" t="s">
        <v>13</v>
      </c>
      <c r="F1320" t="s">
        <v>1920</v>
      </c>
      <c r="G1320" t="s">
        <v>3535</v>
      </c>
      <c r="H1320" t="s">
        <v>3535</v>
      </c>
      <c r="I1320">
        <v>0</v>
      </c>
      <c r="J1320">
        <v>0</v>
      </c>
      <c r="K1320" t="s">
        <v>3536</v>
      </c>
    </row>
    <row r="1321" spans="1:11" x14ac:dyDescent="0.2">
      <c r="A1321" t="str">
        <f>HYPERLINK("https://www.tiwall.com//p/leonardo3","لئوناردو داوودنژاد")</f>
        <v>لئوناردو داوودنژاد</v>
      </c>
      <c r="B1321">
        <v>70</v>
      </c>
      <c r="C1321" t="s">
        <v>180</v>
      </c>
      <c r="D1321" t="s">
        <v>25</v>
      </c>
      <c r="E1321" t="s">
        <v>194</v>
      </c>
      <c r="F1321" t="s">
        <v>373</v>
      </c>
      <c r="G1321" t="s">
        <v>2060</v>
      </c>
      <c r="H1321" t="s">
        <v>2978</v>
      </c>
      <c r="I1321">
        <v>4.2</v>
      </c>
      <c r="J1321">
        <v>31</v>
      </c>
      <c r="K1321" t="s">
        <v>3537</v>
      </c>
    </row>
    <row r="1322" spans="1:11" x14ac:dyDescent="0.2">
      <c r="A1322" t="str">
        <f>HYPERLINK("https://www.tiwall.com//p/boote.azmayesh","بوته آزمایش")</f>
        <v>بوته آزمایش</v>
      </c>
      <c r="B1322">
        <v>60</v>
      </c>
      <c r="C1322" t="s">
        <v>204</v>
      </c>
      <c r="D1322" t="s">
        <v>12</v>
      </c>
      <c r="E1322" t="s">
        <v>71</v>
      </c>
      <c r="F1322" t="s">
        <v>359</v>
      </c>
      <c r="G1322" t="s">
        <v>3538</v>
      </c>
      <c r="H1322" t="s">
        <v>1932</v>
      </c>
      <c r="I1322">
        <v>3.4</v>
      </c>
      <c r="J1322">
        <v>5</v>
      </c>
      <c r="K1322" t="s">
        <v>3539</v>
      </c>
    </row>
    <row r="1323" spans="1:11" x14ac:dyDescent="0.2">
      <c r="A1323" t="str">
        <f>HYPERLINK("https://www.tiwall.com//p/don.quixote4","دن کیشوت")</f>
        <v>دن کیشوت</v>
      </c>
      <c r="B1323">
        <v>50</v>
      </c>
      <c r="C1323" t="s">
        <v>31</v>
      </c>
      <c r="D1323" t="s">
        <v>87</v>
      </c>
      <c r="E1323" t="s">
        <v>39</v>
      </c>
      <c r="F1323" t="s">
        <v>1032</v>
      </c>
      <c r="G1323" t="s">
        <v>1099</v>
      </c>
      <c r="H1323" t="s">
        <v>1099</v>
      </c>
      <c r="I1323">
        <v>3.5</v>
      </c>
      <c r="J1323">
        <v>22</v>
      </c>
      <c r="K1323" t="s">
        <v>3540</v>
      </c>
    </row>
    <row r="1324" spans="1:11" x14ac:dyDescent="0.2">
      <c r="A1324" t="str">
        <f>HYPERLINK("https://www.tiwall.com//p/farda.chi.mishe4","نمی دونم فردا چی میشه")</f>
        <v>نمی دونم فردا چی میشه</v>
      </c>
      <c r="B1324">
        <v>25</v>
      </c>
      <c r="C1324" t="s">
        <v>103</v>
      </c>
      <c r="D1324" t="s">
        <v>384</v>
      </c>
      <c r="E1324" t="s">
        <v>415</v>
      </c>
      <c r="F1324" t="s">
        <v>3541</v>
      </c>
      <c r="G1324" t="s">
        <v>3542</v>
      </c>
      <c r="H1324" t="s">
        <v>1496</v>
      </c>
      <c r="I1324">
        <v>0</v>
      </c>
      <c r="J1324">
        <v>0</v>
      </c>
      <c r="K1324" t="s">
        <v>3543</v>
      </c>
    </row>
    <row r="1325" spans="1:11" x14ac:dyDescent="0.2">
      <c r="A1325" t="str">
        <f>HYPERLINK("https://www.tiwall.com//p/katlin","کاتلین")</f>
        <v>کاتلین</v>
      </c>
      <c r="B1325">
        <v>65</v>
      </c>
      <c r="C1325" t="s">
        <v>230</v>
      </c>
      <c r="D1325" t="s">
        <v>65</v>
      </c>
      <c r="E1325" t="s">
        <v>13</v>
      </c>
      <c r="F1325" t="s">
        <v>480</v>
      </c>
      <c r="G1325" t="s">
        <v>3544</v>
      </c>
      <c r="H1325" t="s">
        <v>3544</v>
      </c>
      <c r="I1325">
        <v>3.4</v>
      </c>
      <c r="J1325">
        <v>16</v>
      </c>
      <c r="K1325" t="s">
        <v>3545</v>
      </c>
    </row>
    <row r="1326" spans="1:11" x14ac:dyDescent="0.2">
      <c r="A1326" t="str">
        <f>HYPERLINK("https://www.tiwall.com//p/pezeshkenazanin18","پزشک نازنین")</f>
        <v>پزشک نازنین</v>
      </c>
      <c r="B1326">
        <v>70</v>
      </c>
      <c r="C1326" t="s">
        <v>129</v>
      </c>
      <c r="D1326" t="s">
        <v>12</v>
      </c>
      <c r="E1326" t="s">
        <v>13</v>
      </c>
      <c r="F1326" t="s">
        <v>2597</v>
      </c>
      <c r="G1326" t="s">
        <v>3546</v>
      </c>
      <c r="H1326" t="s">
        <v>183</v>
      </c>
      <c r="I1326">
        <v>0</v>
      </c>
      <c r="J1326">
        <v>0</v>
      </c>
      <c r="K1326" t="s">
        <v>3547</v>
      </c>
    </row>
    <row r="1327" spans="1:11" x14ac:dyDescent="0.2">
      <c r="A1327" t="str">
        <f>HYPERLINK("https://www.tiwall.com//p/adam.hava","آدم و حوا")</f>
        <v>آدم و حوا</v>
      </c>
      <c r="B1327">
        <v>100</v>
      </c>
      <c r="C1327" t="s">
        <v>928</v>
      </c>
      <c r="D1327" t="s">
        <v>65</v>
      </c>
      <c r="E1327" t="s">
        <v>138</v>
      </c>
      <c r="F1327" t="s">
        <v>188</v>
      </c>
      <c r="G1327" t="s">
        <v>3548</v>
      </c>
      <c r="H1327" t="s">
        <v>3548</v>
      </c>
      <c r="I1327">
        <v>2.9</v>
      </c>
      <c r="J1327">
        <v>9</v>
      </c>
      <c r="K1327" t="s">
        <v>3549</v>
      </c>
    </row>
    <row r="1328" spans="1:11" x14ac:dyDescent="0.2">
      <c r="A1328" t="str">
        <f>HYPERLINK("https://www.tiwall.com//p/tanakora2","تاناکورا")</f>
        <v>تاناکورا</v>
      </c>
      <c r="B1328">
        <v>75</v>
      </c>
      <c r="C1328" t="s">
        <v>31</v>
      </c>
      <c r="D1328" t="s">
        <v>217</v>
      </c>
      <c r="E1328" t="s">
        <v>26</v>
      </c>
      <c r="F1328" t="s">
        <v>944</v>
      </c>
      <c r="G1328" t="s">
        <v>1880</v>
      </c>
      <c r="H1328" t="s">
        <v>762</v>
      </c>
      <c r="I1328">
        <v>3.7</v>
      </c>
      <c r="J1328">
        <v>46</v>
      </c>
      <c r="K1328" t="s">
        <v>3550</v>
      </c>
    </row>
    <row r="1329" spans="1:11" x14ac:dyDescent="0.2">
      <c r="A1329" t="str">
        <f>HYPERLINK("https://www.tiwall.com//p/dash.akol5","داش آکل به روایت نوچه کاکارستم")</f>
        <v>داش آکل به روایت نوچه کاکارستم</v>
      </c>
      <c r="B1329">
        <v>80</v>
      </c>
      <c r="C1329" t="s">
        <v>928</v>
      </c>
      <c r="D1329" t="s">
        <v>87</v>
      </c>
      <c r="E1329" t="s">
        <v>194</v>
      </c>
      <c r="F1329" t="s">
        <v>350</v>
      </c>
      <c r="G1329" t="s">
        <v>236</v>
      </c>
      <c r="H1329" t="s">
        <v>236</v>
      </c>
      <c r="I1329">
        <v>4.4000000000000004</v>
      </c>
      <c r="J1329">
        <v>8</v>
      </c>
      <c r="K1329" t="s">
        <v>3551</v>
      </c>
    </row>
    <row r="1330" spans="1:11" x14ac:dyDescent="0.2">
      <c r="A1330" t="str">
        <f>HYPERLINK("https://www.tiwall.com//p/madaar","مدار")</f>
        <v>مدار</v>
      </c>
      <c r="B1330">
        <v>30</v>
      </c>
      <c r="C1330" t="s">
        <v>821</v>
      </c>
      <c r="D1330" t="s">
        <v>12</v>
      </c>
      <c r="E1330" t="s">
        <v>26</v>
      </c>
      <c r="F1330" t="s">
        <v>1043</v>
      </c>
      <c r="G1330" t="s">
        <v>1225</v>
      </c>
      <c r="H1330" t="s">
        <v>1225</v>
      </c>
      <c r="I1330">
        <v>0</v>
      </c>
      <c r="J1330">
        <v>0</v>
      </c>
      <c r="K1330" t="s">
        <v>3552</v>
      </c>
    </row>
    <row r="1331" spans="1:11" x14ac:dyDescent="0.2">
      <c r="A1331" t="str">
        <f>HYPERLINK("https://www.tiwall.com//p/khonaka.khatereh7","خنکای ختم خاطره")</f>
        <v>خنکای ختم خاطره</v>
      </c>
      <c r="B1331">
        <v>35</v>
      </c>
      <c r="C1331" t="s">
        <v>204</v>
      </c>
      <c r="D1331" t="s">
        <v>146</v>
      </c>
      <c r="E1331" t="s">
        <v>13</v>
      </c>
      <c r="F1331" t="s">
        <v>3553</v>
      </c>
      <c r="G1331" t="s">
        <v>2006</v>
      </c>
      <c r="H1331" t="s">
        <v>1378</v>
      </c>
      <c r="I1331">
        <v>3</v>
      </c>
      <c r="J1331">
        <v>7</v>
      </c>
      <c r="K1331" t="s">
        <v>3554</v>
      </c>
    </row>
    <row r="1332" spans="1:11" x14ac:dyDescent="0.2">
      <c r="A1332" t="str">
        <f>HYPERLINK("https://www.tiwall.com//p/mahramaneh","محرمانه")</f>
        <v>محرمانه</v>
      </c>
      <c r="B1332">
        <v>50</v>
      </c>
      <c r="C1332" t="s">
        <v>132</v>
      </c>
      <c r="D1332" t="s">
        <v>957</v>
      </c>
      <c r="E1332" t="s">
        <v>13</v>
      </c>
      <c r="F1332" t="s">
        <v>2920</v>
      </c>
      <c r="G1332" t="s">
        <v>3555</v>
      </c>
      <c r="H1332" t="s">
        <v>3555</v>
      </c>
      <c r="I1332">
        <v>0</v>
      </c>
      <c r="J1332">
        <v>0</v>
      </c>
      <c r="K1332" t="s">
        <v>3556</v>
      </c>
    </row>
    <row r="1333" spans="1:11" x14ac:dyDescent="0.2">
      <c r="A1333" t="str">
        <f>HYPERLINK("https://www.tiwall.com//p/davatnameh3","دعوتنامه")</f>
        <v>دعوتنامه</v>
      </c>
      <c r="B1333">
        <v>40</v>
      </c>
      <c r="C1333" t="s">
        <v>369</v>
      </c>
      <c r="D1333" t="s">
        <v>87</v>
      </c>
      <c r="E1333" t="s">
        <v>46</v>
      </c>
      <c r="F1333" t="s">
        <v>1941</v>
      </c>
      <c r="G1333" t="s">
        <v>3557</v>
      </c>
      <c r="H1333" t="s">
        <v>3558</v>
      </c>
      <c r="I1333">
        <v>3.2</v>
      </c>
      <c r="J1333">
        <v>11</v>
      </c>
      <c r="K1333" t="s">
        <v>3559</v>
      </c>
    </row>
    <row r="1334" spans="1:11" x14ac:dyDescent="0.2">
      <c r="A1334" t="str">
        <f>HYPERLINK("https://www.tiwall.com//p/ghavitar8","قویتر")</f>
        <v>قویتر</v>
      </c>
      <c r="B1334">
        <v>80</v>
      </c>
      <c r="C1334" t="s">
        <v>344</v>
      </c>
      <c r="D1334" t="s">
        <v>32</v>
      </c>
      <c r="E1334" t="s">
        <v>235</v>
      </c>
      <c r="F1334" t="s">
        <v>57</v>
      </c>
      <c r="G1334" t="s">
        <v>3560</v>
      </c>
      <c r="H1334" t="s">
        <v>2270</v>
      </c>
      <c r="I1334">
        <v>3.3</v>
      </c>
      <c r="J1334">
        <v>6</v>
      </c>
      <c r="K1334" t="s">
        <v>3561</v>
      </c>
    </row>
    <row r="1335" spans="1:11" x14ac:dyDescent="0.2">
      <c r="A1335" t="str">
        <f>HYPERLINK("https://www.tiwall.com//p/silver","نقره‌ای")</f>
        <v>نقره‌ای</v>
      </c>
      <c r="B1335">
        <v>40</v>
      </c>
      <c r="C1335" t="s">
        <v>24</v>
      </c>
      <c r="D1335" t="s">
        <v>12</v>
      </c>
      <c r="E1335" t="s">
        <v>235</v>
      </c>
      <c r="F1335" t="s">
        <v>1531</v>
      </c>
      <c r="G1335" t="s">
        <v>3562</v>
      </c>
      <c r="H1335" t="s">
        <v>3563</v>
      </c>
      <c r="I1335">
        <v>0</v>
      </c>
      <c r="J1335">
        <v>0</v>
      </c>
      <c r="K1335" t="s">
        <v>3564</v>
      </c>
    </row>
    <row r="1336" spans="1:11" x14ac:dyDescent="0.2">
      <c r="A1336" t="str">
        <f>HYPERLINK("https://www.tiwall.com//p/tobeh","توبه")</f>
        <v>توبه</v>
      </c>
      <c r="B1336">
        <v>35</v>
      </c>
      <c r="C1336" t="s">
        <v>121</v>
      </c>
      <c r="D1336" t="s">
        <v>87</v>
      </c>
      <c r="E1336" t="s">
        <v>88</v>
      </c>
      <c r="F1336" t="s">
        <v>3565</v>
      </c>
      <c r="G1336" t="s">
        <v>1127</v>
      </c>
      <c r="H1336" t="s">
        <v>1127</v>
      </c>
      <c r="I1336">
        <v>0</v>
      </c>
      <c r="J1336">
        <v>0</v>
      </c>
      <c r="K1336" t="s">
        <v>3566</v>
      </c>
    </row>
    <row r="1337" spans="1:11" x14ac:dyDescent="0.2">
      <c r="A1337" t="str">
        <f>HYPERLINK("https://www.tiwall.com//p/cinema.sahneh","سینما صحنه")</f>
        <v>سینما صحنه</v>
      </c>
      <c r="B1337">
        <v>80</v>
      </c>
      <c r="C1337" t="s">
        <v>60</v>
      </c>
      <c r="D1337" t="s">
        <v>45</v>
      </c>
      <c r="E1337" t="s">
        <v>71</v>
      </c>
      <c r="F1337" t="s">
        <v>760</v>
      </c>
      <c r="G1337" t="s">
        <v>3567</v>
      </c>
      <c r="H1337" t="s">
        <v>3567</v>
      </c>
      <c r="I1337">
        <v>4.0999999999999996</v>
      </c>
      <c r="J1337">
        <v>35</v>
      </c>
      <c r="K1337" t="s">
        <v>3568</v>
      </c>
    </row>
    <row r="1338" spans="1:11" x14ac:dyDescent="0.2">
      <c r="A1338" t="str">
        <f>HYPERLINK("https://www.tiwall.com//p/swshanbebahman","سه شنبه، ۱۶ بهمن، ساعت ۲ نیمه شب")</f>
        <v>سه شنبه، ۱۶ بهمن، ساعت ۲ نیمه شب</v>
      </c>
      <c r="B1338">
        <v>30</v>
      </c>
      <c r="C1338" t="s">
        <v>3569</v>
      </c>
      <c r="D1338" t="s">
        <v>45</v>
      </c>
      <c r="E1338" t="s">
        <v>194</v>
      </c>
      <c r="F1338" t="s">
        <v>1920</v>
      </c>
      <c r="G1338" t="s">
        <v>419</v>
      </c>
      <c r="H1338" t="s">
        <v>1041</v>
      </c>
      <c r="I1338">
        <v>0</v>
      </c>
      <c r="J1338">
        <v>0</v>
      </c>
      <c r="K1338" t="s">
        <v>3570</v>
      </c>
    </row>
    <row r="1339" spans="1:11" x14ac:dyDescent="0.2">
      <c r="A1339" t="str">
        <f>HYPERLINK("https://www.tiwall.com//p/zendegidoganehandrou","زندگی دو‌گانه اندرو")</f>
        <v>زندگی دو‌گانه اندرو</v>
      </c>
      <c r="B1339">
        <v>35</v>
      </c>
      <c r="C1339" t="s">
        <v>44</v>
      </c>
      <c r="D1339" t="s">
        <v>12</v>
      </c>
      <c r="E1339" t="s">
        <v>13</v>
      </c>
      <c r="F1339" t="s">
        <v>2251</v>
      </c>
      <c r="G1339" t="s">
        <v>3571</v>
      </c>
      <c r="H1339" t="s">
        <v>3571</v>
      </c>
      <c r="I1339">
        <v>3.7</v>
      </c>
      <c r="J1339">
        <v>7</v>
      </c>
      <c r="K1339" t="s">
        <v>3572</v>
      </c>
    </row>
    <row r="1340" spans="1:11" x14ac:dyDescent="0.2">
      <c r="A1340" t="str">
        <f>HYPERLINK("https://www.tiwall.com//p/yerma9","یرما")</f>
        <v>یرما</v>
      </c>
      <c r="B1340">
        <v>50</v>
      </c>
      <c r="C1340" t="s">
        <v>204</v>
      </c>
      <c r="D1340" t="s">
        <v>65</v>
      </c>
      <c r="E1340" t="s">
        <v>138</v>
      </c>
      <c r="F1340" t="s">
        <v>200</v>
      </c>
      <c r="G1340" t="s">
        <v>3573</v>
      </c>
      <c r="H1340" t="s">
        <v>447</v>
      </c>
      <c r="I1340">
        <v>4.5999999999999996</v>
      </c>
      <c r="J1340">
        <v>8</v>
      </c>
      <c r="K1340" t="s">
        <v>3574</v>
      </c>
    </row>
    <row r="1341" spans="1:11" x14ac:dyDescent="0.2">
      <c r="A1341" t="str">
        <f>HYPERLINK("https://www.tiwall.com//p/derakoola","دراکولا")</f>
        <v>دراکولا</v>
      </c>
      <c r="B1341">
        <v>50</v>
      </c>
      <c r="C1341" t="s">
        <v>132</v>
      </c>
      <c r="D1341" t="s">
        <v>12</v>
      </c>
      <c r="E1341" t="s">
        <v>13</v>
      </c>
      <c r="F1341" t="s">
        <v>3575</v>
      </c>
      <c r="G1341" t="s">
        <v>3576</v>
      </c>
      <c r="H1341" t="s">
        <v>135</v>
      </c>
      <c r="I1341">
        <v>0</v>
      </c>
      <c r="J1341">
        <v>0</v>
      </c>
      <c r="K1341" t="s">
        <v>3577</v>
      </c>
    </row>
    <row r="1342" spans="1:11" x14ac:dyDescent="0.2">
      <c r="A1342" t="str">
        <f>HYPERLINK("https://www.tiwall.com//p/moamaye.parishan3","معمای مطربان پریشان")</f>
        <v>معمای مطربان پریشان</v>
      </c>
      <c r="B1342">
        <v>25</v>
      </c>
      <c r="C1342" t="s">
        <v>3578</v>
      </c>
      <c r="D1342" t="s">
        <v>87</v>
      </c>
      <c r="E1342" t="s">
        <v>303</v>
      </c>
      <c r="F1342" t="s">
        <v>614</v>
      </c>
      <c r="G1342" t="s">
        <v>3579</v>
      </c>
      <c r="H1342" t="s">
        <v>3580</v>
      </c>
      <c r="I1342">
        <v>0</v>
      </c>
      <c r="J1342">
        <v>0</v>
      </c>
      <c r="K1342" t="s">
        <v>3581</v>
      </c>
    </row>
    <row r="1343" spans="1:11" x14ac:dyDescent="0.2">
      <c r="A1343" t="str">
        <f>HYPERLINK("https://www.tiwall.com//p/white2","سفید")</f>
        <v>سفید</v>
      </c>
      <c r="B1343">
        <v>80</v>
      </c>
      <c r="C1343" t="s">
        <v>31</v>
      </c>
      <c r="D1343" t="s">
        <v>65</v>
      </c>
      <c r="E1343" t="s">
        <v>71</v>
      </c>
      <c r="F1343" t="s">
        <v>760</v>
      </c>
      <c r="G1343" t="s">
        <v>3582</v>
      </c>
      <c r="H1343" t="s">
        <v>1499</v>
      </c>
      <c r="I1343">
        <v>4</v>
      </c>
      <c r="J1343">
        <v>137</v>
      </c>
      <c r="K1343" t="s">
        <v>3583</v>
      </c>
    </row>
    <row r="1344" spans="1:11" x14ac:dyDescent="0.2">
      <c r="A1344" t="str">
        <f>HYPERLINK("https://www.tiwall.com//p/dramaturge2","دراماتورژ")</f>
        <v>دراماتورژ</v>
      </c>
      <c r="B1344">
        <v>45</v>
      </c>
      <c r="C1344" t="s">
        <v>180</v>
      </c>
      <c r="D1344" t="s">
        <v>12</v>
      </c>
      <c r="E1344" t="s">
        <v>138</v>
      </c>
      <c r="F1344" t="s">
        <v>200</v>
      </c>
      <c r="G1344" t="s">
        <v>3584</v>
      </c>
      <c r="H1344" t="s">
        <v>1452</v>
      </c>
      <c r="I1344">
        <v>3.5</v>
      </c>
      <c r="J1344">
        <v>19</v>
      </c>
      <c r="K1344" t="s">
        <v>3585</v>
      </c>
    </row>
    <row r="1345" spans="1:11" x14ac:dyDescent="0.2">
      <c r="A1345" t="str">
        <f>HYPERLINK("https://www.tiwall.com//p/medea18","مده‌آ در قندهار")</f>
        <v>مده‌آ در قندهار</v>
      </c>
      <c r="B1345">
        <v>60</v>
      </c>
      <c r="C1345" t="s">
        <v>180</v>
      </c>
      <c r="D1345" t="s">
        <v>65</v>
      </c>
      <c r="E1345" t="s">
        <v>138</v>
      </c>
      <c r="F1345" t="s">
        <v>1040</v>
      </c>
      <c r="G1345" t="s">
        <v>3094</v>
      </c>
      <c r="H1345" t="s">
        <v>3094</v>
      </c>
      <c r="I1345">
        <v>3.6</v>
      </c>
      <c r="J1345">
        <v>15</v>
      </c>
      <c r="K1345" t="s">
        <v>3586</v>
      </c>
    </row>
    <row r="1346" spans="1:11" x14ac:dyDescent="0.2">
      <c r="A1346" t="str">
        <f>HYPERLINK("https://www.tiwall.com//p/faslefaramushi2","فصل فراموشی")</f>
        <v>فصل فراموشی</v>
      </c>
      <c r="B1346">
        <v>80</v>
      </c>
      <c r="C1346" t="s">
        <v>24</v>
      </c>
      <c r="D1346" t="s">
        <v>3587</v>
      </c>
      <c r="E1346" t="s">
        <v>46</v>
      </c>
      <c r="F1346" t="s">
        <v>2315</v>
      </c>
      <c r="G1346" t="s">
        <v>3588</v>
      </c>
      <c r="H1346" t="s">
        <v>3588</v>
      </c>
      <c r="I1346">
        <v>0</v>
      </c>
      <c r="J1346">
        <v>0</v>
      </c>
      <c r="K1346" t="s">
        <v>3588</v>
      </c>
    </row>
    <row r="1347" spans="1:11" x14ac:dyDescent="0.2">
      <c r="A1347" t="str">
        <f>HYPERLINK("https://www.tiwall.com//p/stranger6","کاملا غریبه")</f>
        <v>کاملا غریبه</v>
      </c>
      <c r="B1347">
        <v>70</v>
      </c>
      <c r="C1347" t="s">
        <v>18</v>
      </c>
      <c r="D1347" t="s">
        <v>384</v>
      </c>
      <c r="E1347" t="s">
        <v>13</v>
      </c>
      <c r="F1347" t="s">
        <v>418</v>
      </c>
      <c r="G1347" t="s">
        <v>3589</v>
      </c>
      <c r="H1347" t="s">
        <v>3590</v>
      </c>
      <c r="I1347">
        <v>0</v>
      </c>
      <c r="J1347">
        <v>0</v>
      </c>
      <c r="K1347" t="s">
        <v>3591</v>
      </c>
    </row>
    <row r="1348" spans="1:11" x14ac:dyDescent="0.2">
      <c r="A1348" t="str">
        <f>HYPERLINK("https://www.tiwall.com//p/gojeberezili","گوجه برزیلی")</f>
        <v>گوجه برزیلی</v>
      </c>
      <c r="B1348">
        <v>30</v>
      </c>
      <c r="C1348" t="s">
        <v>180</v>
      </c>
      <c r="D1348" t="s">
        <v>32</v>
      </c>
      <c r="E1348" t="s">
        <v>46</v>
      </c>
      <c r="F1348" t="s">
        <v>1394</v>
      </c>
      <c r="G1348" t="s">
        <v>3592</v>
      </c>
      <c r="H1348" t="s">
        <v>3592</v>
      </c>
      <c r="I1348">
        <v>0</v>
      </c>
      <c r="J1348">
        <v>0</v>
      </c>
      <c r="K1348" t="s">
        <v>3593</v>
      </c>
    </row>
    <row r="1349" spans="1:11" x14ac:dyDescent="0.2">
      <c r="A1349" t="str">
        <f>HYPERLINK("https://www.tiwall.com//p/coffee.shop3","کافی شاپی ها")</f>
        <v>کافی شاپی ها</v>
      </c>
      <c r="B1349">
        <v>100</v>
      </c>
      <c r="C1349" t="s">
        <v>24</v>
      </c>
      <c r="D1349" t="s">
        <v>280</v>
      </c>
      <c r="E1349" t="s">
        <v>13</v>
      </c>
      <c r="F1349" t="s">
        <v>3594</v>
      </c>
      <c r="G1349" t="s">
        <v>3595</v>
      </c>
      <c r="H1349" t="s">
        <v>3596</v>
      </c>
      <c r="I1349">
        <v>2.9</v>
      </c>
      <c r="J1349">
        <v>7</v>
      </c>
      <c r="K1349" t="s">
        <v>3597</v>
      </c>
    </row>
    <row r="1350" spans="1:11" x14ac:dyDescent="0.2">
      <c r="A1350" t="str">
        <f>HYPERLINK("https://www.tiwall.com//p/mandab","مانداب")</f>
        <v>مانداب</v>
      </c>
      <c r="B1350">
        <v>35</v>
      </c>
      <c r="C1350" t="s">
        <v>155</v>
      </c>
      <c r="D1350" t="s">
        <v>470</v>
      </c>
      <c r="E1350" t="s">
        <v>26</v>
      </c>
      <c r="F1350" t="s">
        <v>427</v>
      </c>
      <c r="G1350" t="s">
        <v>3598</v>
      </c>
      <c r="H1350" t="s">
        <v>3599</v>
      </c>
      <c r="I1350">
        <v>0</v>
      </c>
      <c r="J1350">
        <v>0</v>
      </c>
      <c r="K1350" t="s">
        <v>3600</v>
      </c>
    </row>
    <row r="1351" spans="1:11" x14ac:dyDescent="0.2">
      <c r="A1351" t="str">
        <f>HYPERLINK("https://www.tiwall.com//p/hotelplaza2","اتاقی در هتل پلازا")</f>
        <v>اتاقی در هتل پلازا</v>
      </c>
      <c r="B1351">
        <v>60</v>
      </c>
      <c r="C1351" t="s">
        <v>1834</v>
      </c>
      <c r="D1351" t="s">
        <v>45</v>
      </c>
      <c r="E1351" t="s">
        <v>46</v>
      </c>
      <c r="F1351" t="s">
        <v>3601</v>
      </c>
      <c r="G1351" t="s">
        <v>3602</v>
      </c>
      <c r="H1351" t="s">
        <v>183</v>
      </c>
      <c r="I1351">
        <v>0</v>
      </c>
      <c r="J1351">
        <v>0</v>
      </c>
      <c r="K1351" t="s">
        <v>3603</v>
      </c>
    </row>
    <row r="1352" spans="1:11" x14ac:dyDescent="0.2">
      <c r="A1352" t="str">
        <f>HYPERLINK("https://www.tiwall.com//p/raealismmasnouei","رئالیسم مصنوعی")</f>
        <v>رئالیسم مصنوعی</v>
      </c>
      <c r="B1352">
        <v>120</v>
      </c>
      <c r="C1352" t="s">
        <v>31</v>
      </c>
      <c r="D1352" t="s">
        <v>87</v>
      </c>
      <c r="E1352" t="s">
        <v>328</v>
      </c>
      <c r="F1352" t="s">
        <v>2977</v>
      </c>
      <c r="G1352" t="s">
        <v>3604</v>
      </c>
      <c r="H1352" t="s">
        <v>3605</v>
      </c>
      <c r="I1352">
        <v>3.8</v>
      </c>
      <c r="J1352">
        <v>121</v>
      </c>
      <c r="K1352" t="s">
        <v>3606</v>
      </c>
    </row>
    <row r="1353" spans="1:11" x14ac:dyDescent="0.2">
      <c r="A1353" t="str">
        <f>HYPERLINK("https://www.tiwall.com//p/bimar.shomare2","بیمار شماره دو")</f>
        <v>بیمار شماره دو</v>
      </c>
      <c r="B1353">
        <v>80</v>
      </c>
      <c r="C1353" t="s">
        <v>60</v>
      </c>
      <c r="D1353" t="s">
        <v>45</v>
      </c>
      <c r="E1353" t="s">
        <v>71</v>
      </c>
      <c r="F1353" t="s">
        <v>3183</v>
      </c>
      <c r="G1353" t="s">
        <v>3607</v>
      </c>
      <c r="H1353" t="s">
        <v>3607</v>
      </c>
      <c r="I1353">
        <v>4.2</v>
      </c>
      <c r="J1353">
        <v>17</v>
      </c>
      <c r="K1353" t="s">
        <v>3608</v>
      </c>
    </row>
    <row r="1354" spans="1:11" x14ac:dyDescent="0.2">
      <c r="A1354" t="str">
        <f>HYPERLINK("https://www.tiwall.com//p/gheitarihe3","قیطریه")</f>
        <v>قیطریه</v>
      </c>
      <c r="B1354">
        <v>45</v>
      </c>
      <c r="C1354" t="s">
        <v>56</v>
      </c>
      <c r="D1354" t="s">
        <v>45</v>
      </c>
      <c r="E1354" t="s">
        <v>19</v>
      </c>
      <c r="F1354" t="s">
        <v>200</v>
      </c>
      <c r="G1354" t="s">
        <v>3609</v>
      </c>
      <c r="H1354" t="s">
        <v>3610</v>
      </c>
      <c r="I1354">
        <v>3.4</v>
      </c>
      <c r="J1354">
        <v>5</v>
      </c>
      <c r="K1354" t="s">
        <v>3611</v>
      </c>
    </row>
    <row r="1355" spans="1:11" x14ac:dyDescent="0.2">
      <c r="A1355" t="str">
        <f>HYPERLINK("https://www.tiwall.com//p/mahhramaneh","محرمانه های گفتنی")</f>
        <v>محرمانه های گفتنی</v>
      </c>
      <c r="B1355">
        <v>150</v>
      </c>
      <c r="C1355" t="s">
        <v>1646</v>
      </c>
      <c r="D1355" t="s">
        <v>45</v>
      </c>
      <c r="E1355" t="s">
        <v>303</v>
      </c>
      <c r="F1355" t="s">
        <v>363</v>
      </c>
      <c r="G1355" t="s">
        <v>1648</v>
      </c>
      <c r="H1355" t="s">
        <v>1648</v>
      </c>
      <c r="I1355">
        <v>0</v>
      </c>
      <c r="J1355">
        <v>0</v>
      </c>
      <c r="K1355" t="s">
        <v>3612</v>
      </c>
    </row>
    <row r="1356" spans="1:11" x14ac:dyDescent="0.2">
      <c r="A1356" t="str">
        <f>HYPERLINK("https://www.tiwall.com//p/tailor","خیاط")</f>
        <v>خیاط</v>
      </c>
      <c r="B1356">
        <v>40</v>
      </c>
      <c r="C1356" t="s">
        <v>44</v>
      </c>
      <c r="D1356" t="s">
        <v>3613</v>
      </c>
      <c r="E1356" t="s">
        <v>26</v>
      </c>
      <c r="F1356" t="s">
        <v>603</v>
      </c>
      <c r="G1356" t="s">
        <v>3614</v>
      </c>
      <c r="H1356" t="s">
        <v>2703</v>
      </c>
      <c r="I1356">
        <v>2</v>
      </c>
      <c r="J1356">
        <v>7</v>
      </c>
      <c r="K1356" t="s">
        <v>3615</v>
      </c>
    </row>
    <row r="1357" spans="1:11" x14ac:dyDescent="0.2">
      <c r="A1357" t="str">
        <f>HYPERLINK("https://www.tiwall.com//p/shabe366","شب سیصد و شصت و ششم")</f>
        <v>شب سیصد و شصت و ششم</v>
      </c>
      <c r="B1357">
        <v>50</v>
      </c>
      <c r="C1357" t="s">
        <v>129</v>
      </c>
      <c r="D1357" t="s">
        <v>25</v>
      </c>
      <c r="E1357" t="s">
        <v>13</v>
      </c>
      <c r="F1357" t="s">
        <v>3616</v>
      </c>
      <c r="G1357" t="s">
        <v>1223</v>
      </c>
      <c r="H1357" t="s">
        <v>1223</v>
      </c>
      <c r="I1357">
        <v>0</v>
      </c>
      <c r="J1357">
        <v>0</v>
      </c>
      <c r="K1357" t="s">
        <v>3617</v>
      </c>
    </row>
    <row r="1358" spans="1:11" x14ac:dyDescent="0.2">
      <c r="A1358" t="str">
        <f>HYPERLINK("https://www.tiwall.com//p/eterafatidarbarezanan10","اعترافاتی درباره زنان")</f>
        <v>اعترافاتی درباره زنان</v>
      </c>
      <c r="B1358">
        <v>70</v>
      </c>
      <c r="C1358" t="s">
        <v>224</v>
      </c>
      <c r="D1358" t="s">
        <v>65</v>
      </c>
      <c r="E1358" t="s">
        <v>303</v>
      </c>
      <c r="F1358" t="s">
        <v>3618</v>
      </c>
      <c r="G1358" t="s">
        <v>2589</v>
      </c>
      <c r="H1358" t="s">
        <v>3619</v>
      </c>
      <c r="I1358">
        <v>0</v>
      </c>
      <c r="J1358">
        <v>0</v>
      </c>
      <c r="K1358" t="s">
        <v>3620</v>
      </c>
    </row>
    <row r="1359" spans="1:11" x14ac:dyDescent="0.2">
      <c r="A1359" t="str">
        <f>HYPERLINK("https://www.tiwall.com//p/nevisandegan.mordeh","انجمن نویسندگان مرده")</f>
        <v>انجمن نویسندگان مرده</v>
      </c>
      <c r="B1359">
        <v>60</v>
      </c>
      <c r="C1359" t="s">
        <v>230</v>
      </c>
      <c r="D1359" t="s">
        <v>146</v>
      </c>
      <c r="E1359" t="s">
        <v>13</v>
      </c>
      <c r="F1359" t="s">
        <v>1235</v>
      </c>
      <c r="G1359" t="s">
        <v>546</v>
      </c>
      <c r="H1359" t="s">
        <v>546</v>
      </c>
      <c r="I1359">
        <v>4.4000000000000004</v>
      </c>
      <c r="J1359">
        <v>5</v>
      </c>
      <c r="K1359" t="s">
        <v>3621</v>
      </c>
    </row>
    <row r="1360" spans="1:11" x14ac:dyDescent="0.2">
      <c r="A1360" t="str">
        <f>HYPERLINK("https://www.tiwall.com//p/honar.theatre","کمدی هنر تئاتر")</f>
        <v>کمدی هنر تئاتر</v>
      </c>
      <c r="B1360">
        <v>50</v>
      </c>
      <c r="C1360" t="s">
        <v>224</v>
      </c>
      <c r="D1360" t="s">
        <v>12</v>
      </c>
      <c r="E1360" t="s">
        <v>208</v>
      </c>
      <c r="F1360" t="s">
        <v>3622</v>
      </c>
      <c r="G1360" t="s">
        <v>3623</v>
      </c>
      <c r="H1360" t="s">
        <v>3624</v>
      </c>
      <c r="I1360">
        <v>0</v>
      </c>
      <c r="J1360">
        <v>0</v>
      </c>
      <c r="K1360" t="s">
        <v>3625</v>
      </c>
    </row>
    <row r="1361" spans="1:11" x14ac:dyDescent="0.2">
      <c r="A1361" t="str">
        <f>HYPERLINK("https://www.tiwall.com//p/thethirdofmay","سوم ماه می")</f>
        <v>سوم ماه می</v>
      </c>
      <c r="B1361">
        <v>100</v>
      </c>
      <c r="C1361" t="s">
        <v>37</v>
      </c>
      <c r="D1361" t="s">
        <v>25</v>
      </c>
      <c r="E1361" t="s">
        <v>1063</v>
      </c>
      <c r="F1361" t="s">
        <v>778</v>
      </c>
      <c r="G1361" t="s">
        <v>3626</v>
      </c>
      <c r="H1361" t="s">
        <v>3627</v>
      </c>
      <c r="I1361">
        <v>3.9</v>
      </c>
      <c r="J1361">
        <v>39</v>
      </c>
      <c r="K1361" t="s">
        <v>3628</v>
      </c>
    </row>
    <row r="1362" spans="1:11" x14ac:dyDescent="0.2">
      <c r="A1362" t="str">
        <f>HYPERLINK("https://www.tiwall.com//p/mehraneh","میکرو تئاتر مهرانه")</f>
        <v>میکرو تئاتر مهرانه</v>
      </c>
      <c r="B1362">
        <v>40</v>
      </c>
      <c r="C1362" t="s">
        <v>44</v>
      </c>
      <c r="D1362" t="s">
        <v>45</v>
      </c>
      <c r="E1362" t="s">
        <v>138</v>
      </c>
      <c r="F1362" t="s">
        <v>1235</v>
      </c>
      <c r="G1362" t="s">
        <v>3629</v>
      </c>
      <c r="H1362" t="s">
        <v>3630</v>
      </c>
      <c r="I1362">
        <v>0</v>
      </c>
      <c r="J1362">
        <v>0</v>
      </c>
      <c r="K1362" t="s">
        <v>3631</v>
      </c>
    </row>
    <row r="1363" spans="1:11" x14ac:dyDescent="0.2">
      <c r="A1363" t="str">
        <f>HYPERLINK("https://www.tiwall.com//p/zendegi.donafar2","زندگی ما دو نفر")</f>
        <v>زندگی ما دو نفر</v>
      </c>
      <c r="B1363">
        <v>30</v>
      </c>
      <c r="C1363" t="s">
        <v>213</v>
      </c>
      <c r="D1363" t="s">
        <v>87</v>
      </c>
      <c r="E1363" t="s">
        <v>13</v>
      </c>
      <c r="F1363" t="s">
        <v>2967</v>
      </c>
      <c r="G1363" t="s">
        <v>215</v>
      </c>
      <c r="H1363" t="s">
        <v>215</v>
      </c>
      <c r="I1363">
        <v>0</v>
      </c>
      <c r="J1363">
        <v>0</v>
      </c>
      <c r="K1363" t="s">
        <v>216</v>
      </c>
    </row>
    <row r="1364" spans="1:11" x14ac:dyDescent="0.2">
      <c r="A1364" t="str">
        <f>HYPERLINK("https://www.tiwall.com//p/etefaqesadeh3","یک اتفاق ساده در یک زندگی بینهایت معمولی")</f>
        <v>یک اتفاق ساده در یک زندگی بینهایت معمولی</v>
      </c>
      <c r="B1364">
        <v>50</v>
      </c>
      <c r="C1364" t="s">
        <v>125</v>
      </c>
      <c r="D1364" t="s">
        <v>384</v>
      </c>
      <c r="E1364" t="s">
        <v>138</v>
      </c>
      <c r="F1364" t="s">
        <v>2009</v>
      </c>
      <c r="G1364" t="s">
        <v>3632</v>
      </c>
      <c r="H1364" t="s">
        <v>3632</v>
      </c>
      <c r="I1364">
        <v>0</v>
      </c>
      <c r="J1364">
        <v>0</v>
      </c>
      <c r="K1364" t="s">
        <v>3633</v>
      </c>
    </row>
    <row r="1365" spans="1:11" x14ac:dyDescent="0.2">
      <c r="A1365" t="str">
        <f>HYPERLINK("https://www.tiwall.com//p/endlesslesson2","درس بی‌پایان (چندپرتره‌از‌آموزش‌کاسپار)")</f>
        <v>درس بی‌پایان (چندپرتره‌از‌آموزش‌کاسپار)</v>
      </c>
      <c r="B1365">
        <v>80</v>
      </c>
      <c r="C1365" t="s">
        <v>86</v>
      </c>
      <c r="D1365" t="s">
        <v>65</v>
      </c>
      <c r="E1365" t="s">
        <v>303</v>
      </c>
      <c r="F1365" t="s">
        <v>188</v>
      </c>
      <c r="G1365" t="s">
        <v>3634</v>
      </c>
      <c r="H1365" t="s">
        <v>3635</v>
      </c>
      <c r="I1365">
        <v>3.4</v>
      </c>
      <c r="J1365">
        <v>51</v>
      </c>
      <c r="K1365" t="s">
        <v>3636</v>
      </c>
    </row>
    <row r="1366" spans="1:11" x14ac:dyDescent="0.2">
      <c r="A1366" t="str">
        <f>HYPERLINK("https://www.tiwall.com//p/pirezan.khaneh","پیرزنی که در زمین خانه داشت")</f>
        <v>پیرزنی که در زمین خانه داشت</v>
      </c>
      <c r="B1366">
        <v>40</v>
      </c>
      <c r="C1366" t="s">
        <v>417</v>
      </c>
      <c r="D1366" t="s">
        <v>87</v>
      </c>
      <c r="E1366" t="s">
        <v>71</v>
      </c>
      <c r="F1366" t="s">
        <v>1197</v>
      </c>
      <c r="G1366" t="s">
        <v>3637</v>
      </c>
      <c r="H1366" t="s">
        <v>404</v>
      </c>
      <c r="I1366">
        <v>0</v>
      </c>
      <c r="J1366">
        <v>0</v>
      </c>
      <c r="K1366" t="s">
        <v>3638</v>
      </c>
    </row>
    <row r="1367" spans="1:11" x14ac:dyDescent="0.2">
      <c r="A1367" t="str">
        <f>HYPERLINK("https://www.tiwall.com//p/chekhov.bear","خرس")</f>
        <v>خرس</v>
      </c>
      <c r="B1367">
        <v>35</v>
      </c>
      <c r="C1367" t="s">
        <v>199</v>
      </c>
      <c r="D1367" t="s">
        <v>65</v>
      </c>
      <c r="E1367" t="s">
        <v>26</v>
      </c>
      <c r="F1367" t="s">
        <v>2766</v>
      </c>
      <c r="G1367" t="s">
        <v>2598</v>
      </c>
      <c r="H1367" t="s">
        <v>352</v>
      </c>
      <c r="I1367">
        <v>0</v>
      </c>
      <c r="J1367">
        <v>0</v>
      </c>
      <c r="K1367" t="s">
        <v>3639</v>
      </c>
    </row>
    <row r="1368" spans="1:11" x14ac:dyDescent="0.2">
      <c r="A1368" t="str">
        <f>HYPERLINK("https://www.tiwall.com//p/darbedar","در به در")</f>
        <v>در به در</v>
      </c>
      <c r="B1368">
        <v>70</v>
      </c>
      <c r="C1368" t="s">
        <v>51</v>
      </c>
      <c r="D1368" t="s">
        <v>12</v>
      </c>
      <c r="E1368" t="s">
        <v>13</v>
      </c>
      <c r="F1368" t="s">
        <v>2840</v>
      </c>
      <c r="G1368" t="s">
        <v>2513</v>
      </c>
      <c r="H1368" t="s">
        <v>2513</v>
      </c>
      <c r="I1368">
        <v>3.3</v>
      </c>
      <c r="J1368">
        <v>8</v>
      </c>
      <c r="K1368" t="s">
        <v>3640</v>
      </c>
    </row>
    <row r="1369" spans="1:11" x14ac:dyDescent="0.2">
      <c r="A1369" t="str">
        <f>HYPERLINK("https://www.tiwall.com//p/sindokht","سین دخت")</f>
        <v>سین دخت</v>
      </c>
      <c r="B1369">
        <v>150</v>
      </c>
      <c r="C1369" t="s">
        <v>3641</v>
      </c>
      <c r="D1369" t="s">
        <v>559</v>
      </c>
      <c r="E1369" t="s">
        <v>13</v>
      </c>
      <c r="F1369" t="s">
        <v>27</v>
      </c>
      <c r="G1369" t="s">
        <v>3642</v>
      </c>
      <c r="H1369" t="s">
        <v>3642</v>
      </c>
      <c r="I1369">
        <v>0</v>
      </c>
      <c r="J1369">
        <v>0</v>
      </c>
      <c r="K1369" t="s">
        <v>3643</v>
      </c>
    </row>
    <row r="1370" spans="1:11" x14ac:dyDescent="0.2">
      <c r="A1370" t="str">
        <f>HYPERLINK("https://www.tiwall.com//p/bikhabi2","بی خوابی")</f>
        <v>بی خوابی</v>
      </c>
      <c r="B1370">
        <v>40</v>
      </c>
      <c r="C1370" t="s">
        <v>344</v>
      </c>
      <c r="D1370" t="s">
        <v>32</v>
      </c>
      <c r="E1370" t="s">
        <v>19</v>
      </c>
      <c r="F1370" t="s">
        <v>1681</v>
      </c>
      <c r="G1370" t="s">
        <v>3644</v>
      </c>
      <c r="H1370" t="s">
        <v>3644</v>
      </c>
      <c r="I1370">
        <v>2</v>
      </c>
      <c r="J1370">
        <v>11</v>
      </c>
      <c r="K1370" t="s">
        <v>3645</v>
      </c>
    </row>
    <row r="1371" spans="1:11" x14ac:dyDescent="0.2">
      <c r="A1371" t="str">
        <f>HYPERLINK("https://www.tiwall.com//p/arusidokhtarrostam4","عروسی دختر رستم، بانو گشسب")</f>
        <v>عروسی دختر رستم، بانو گشسب</v>
      </c>
      <c r="B1371">
        <v>50</v>
      </c>
      <c r="C1371" t="s">
        <v>145</v>
      </c>
      <c r="D1371" t="s">
        <v>12</v>
      </c>
      <c r="E1371" t="s">
        <v>13</v>
      </c>
      <c r="F1371" t="s">
        <v>118</v>
      </c>
      <c r="G1371" t="s">
        <v>3646</v>
      </c>
      <c r="H1371" t="s">
        <v>3180</v>
      </c>
      <c r="I1371">
        <v>4</v>
      </c>
      <c r="J1371">
        <v>10</v>
      </c>
      <c r="K1371" t="s">
        <v>3647</v>
      </c>
    </row>
    <row r="1372" spans="1:11" x14ac:dyDescent="0.2">
      <c r="A1372" t="str">
        <f>HYPERLINK("https://www.tiwall.com//p/zaman.makan.zaban","ظمان مکان ذبان")</f>
        <v>ظمان مکان ذبان</v>
      </c>
      <c r="B1372">
        <v>30</v>
      </c>
      <c r="C1372" t="s">
        <v>64</v>
      </c>
      <c r="D1372" t="s">
        <v>12</v>
      </c>
      <c r="E1372" t="s">
        <v>13</v>
      </c>
      <c r="F1372" t="s">
        <v>1086</v>
      </c>
      <c r="G1372" t="s">
        <v>2651</v>
      </c>
      <c r="H1372" t="s">
        <v>2651</v>
      </c>
      <c r="I1372">
        <v>0</v>
      </c>
      <c r="J1372">
        <v>0</v>
      </c>
      <c r="K1372" t="s">
        <v>3648</v>
      </c>
    </row>
    <row r="1373" spans="1:11" x14ac:dyDescent="0.2">
      <c r="A1373" t="str">
        <f>HYPERLINK("https://www.tiwall.com//p/exam2","آزمون")</f>
        <v>آزمون</v>
      </c>
      <c r="B1373">
        <v>30</v>
      </c>
      <c r="C1373" t="s">
        <v>64</v>
      </c>
      <c r="D1373" t="s">
        <v>45</v>
      </c>
      <c r="E1373" t="s">
        <v>26</v>
      </c>
      <c r="F1373" t="s">
        <v>3649</v>
      </c>
      <c r="G1373" t="s">
        <v>3650</v>
      </c>
      <c r="H1373" t="s">
        <v>3650</v>
      </c>
      <c r="I1373">
        <v>0</v>
      </c>
      <c r="J1373">
        <v>0</v>
      </c>
      <c r="K1373" t="s">
        <v>3651</v>
      </c>
    </row>
    <row r="1374" spans="1:11" x14ac:dyDescent="0.2">
      <c r="A1374" t="str">
        <f>HYPERLINK("https://www.tiwall.com//p/anke.nemimirad","کابوس های آنکه نمی‌میرد")</f>
        <v>کابوس های آنکه نمی‌میرد</v>
      </c>
      <c r="B1374">
        <v>80</v>
      </c>
      <c r="C1374" t="s">
        <v>369</v>
      </c>
      <c r="D1374" t="s">
        <v>217</v>
      </c>
      <c r="E1374" t="s">
        <v>39</v>
      </c>
      <c r="F1374" t="s">
        <v>270</v>
      </c>
      <c r="G1374" t="s">
        <v>2841</v>
      </c>
      <c r="H1374" t="s">
        <v>3652</v>
      </c>
      <c r="I1374">
        <v>4.2</v>
      </c>
      <c r="J1374">
        <v>189</v>
      </c>
      <c r="K1374" t="s">
        <v>3653</v>
      </c>
    </row>
    <row r="1375" spans="1:11" x14ac:dyDescent="0.2">
      <c r="A1375" t="str">
        <f>HYPERLINK("https://www.tiwall.com//p/bedonbalebakht","به دنبال بخت")</f>
        <v>به دنبال بخت</v>
      </c>
      <c r="B1375">
        <v>30</v>
      </c>
      <c r="C1375" t="s">
        <v>69</v>
      </c>
      <c r="D1375" t="s">
        <v>217</v>
      </c>
      <c r="E1375" t="s">
        <v>13</v>
      </c>
      <c r="F1375" t="s">
        <v>1344</v>
      </c>
      <c r="G1375" t="s">
        <v>3654</v>
      </c>
      <c r="H1375" t="s">
        <v>283</v>
      </c>
      <c r="I1375">
        <v>0</v>
      </c>
      <c r="J1375">
        <v>0</v>
      </c>
      <c r="K1375" t="s">
        <v>3655</v>
      </c>
    </row>
    <row r="1376" spans="1:11" x14ac:dyDescent="0.2">
      <c r="A1376" t="str">
        <f>HYPERLINK("https://www.tiwall.com//p/pok3","پُک")</f>
        <v>پُک</v>
      </c>
      <c r="B1376">
        <v>50</v>
      </c>
      <c r="C1376" t="s">
        <v>713</v>
      </c>
      <c r="D1376" t="s">
        <v>12</v>
      </c>
      <c r="E1376" t="s">
        <v>138</v>
      </c>
      <c r="F1376" t="s">
        <v>751</v>
      </c>
      <c r="G1376" t="s">
        <v>1307</v>
      </c>
      <c r="H1376" t="s">
        <v>1308</v>
      </c>
      <c r="I1376">
        <v>0</v>
      </c>
      <c r="J1376">
        <v>0</v>
      </c>
      <c r="K1376" t="s">
        <v>1309</v>
      </c>
    </row>
    <row r="1377" spans="1:11" x14ac:dyDescent="0.2">
      <c r="A1377" t="str">
        <f>HYPERLINK("https://www.tiwall.com//p/rahaie3","رهایی")</f>
        <v>رهایی</v>
      </c>
      <c r="B1377">
        <v>150</v>
      </c>
      <c r="C1377" t="s">
        <v>1646</v>
      </c>
      <c r="D1377" t="s">
        <v>299</v>
      </c>
      <c r="E1377" t="s">
        <v>71</v>
      </c>
      <c r="F1377" t="s">
        <v>3073</v>
      </c>
      <c r="G1377" t="s">
        <v>1648</v>
      </c>
      <c r="H1377" t="s">
        <v>1648</v>
      </c>
      <c r="I1377">
        <v>4</v>
      </c>
      <c r="J1377">
        <v>11</v>
      </c>
      <c r="K1377" t="s">
        <v>3656</v>
      </c>
    </row>
    <row r="1378" spans="1:11" x14ac:dyDescent="0.2">
      <c r="A1378" t="str">
        <f>HYPERLINK("https://www.tiwall.com//p/sokhan","روی سخنم با شماست!")</f>
        <v>روی سخنم با شماست!</v>
      </c>
      <c r="B1378">
        <v>35</v>
      </c>
      <c r="C1378" t="s">
        <v>383</v>
      </c>
      <c r="D1378" t="s">
        <v>217</v>
      </c>
      <c r="E1378" t="s">
        <v>475</v>
      </c>
      <c r="F1378" t="s">
        <v>2406</v>
      </c>
      <c r="G1378" t="s">
        <v>3657</v>
      </c>
      <c r="H1378" t="s">
        <v>3657</v>
      </c>
      <c r="I1378">
        <v>0</v>
      </c>
      <c r="J1378">
        <v>0</v>
      </c>
      <c r="K1378" t="s">
        <v>3658</v>
      </c>
    </row>
    <row r="1379" spans="1:11" x14ac:dyDescent="0.2">
      <c r="A1379" t="str">
        <f>HYPERLINK("https://www.tiwall.com//p/augustosagecounty2","آگوست در اسیج کانتی")</f>
        <v>آگوست در اسیج کانتی</v>
      </c>
      <c r="B1379">
        <v>40</v>
      </c>
      <c r="C1379" t="s">
        <v>199</v>
      </c>
      <c r="D1379" t="s">
        <v>217</v>
      </c>
      <c r="E1379" t="s">
        <v>71</v>
      </c>
      <c r="F1379" t="s">
        <v>802</v>
      </c>
      <c r="G1379" t="s">
        <v>219</v>
      </c>
      <c r="H1379" t="s">
        <v>220</v>
      </c>
      <c r="I1379">
        <v>3.9</v>
      </c>
      <c r="J1379">
        <v>14</v>
      </c>
      <c r="K1379" t="s">
        <v>221</v>
      </c>
    </row>
    <row r="1380" spans="1:11" x14ac:dyDescent="0.2">
      <c r="A1380" t="str">
        <f>HYPERLINK("https://www.tiwall.com//p/sag.zendegi","سگ زندگی")</f>
        <v>سگ زندگی</v>
      </c>
      <c r="B1380">
        <v>40</v>
      </c>
      <c r="C1380" t="s">
        <v>24</v>
      </c>
      <c r="D1380" t="s">
        <v>12</v>
      </c>
      <c r="E1380" t="s">
        <v>13</v>
      </c>
      <c r="F1380" t="s">
        <v>1548</v>
      </c>
      <c r="G1380" t="s">
        <v>3659</v>
      </c>
      <c r="H1380" t="s">
        <v>3659</v>
      </c>
      <c r="I1380">
        <v>0</v>
      </c>
      <c r="J1380">
        <v>0</v>
      </c>
      <c r="K1380" t="s">
        <v>3660</v>
      </c>
    </row>
    <row r="1381" spans="1:11" x14ac:dyDescent="0.2">
      <c r="A1381" t="str">
        <f>HYPERLINK("https://www.tiwall.com//p/bolough","بلوغ")</f>
        <v>بلوغ</v>
      </c>
      <c r="B1381">
        <v>30</v>
      </c>
      <c r="C1381" t="s">
        <v>180</v>
      </c>
      <c r="D1381" t="s">
        <v>146</v>
      </c>
      <c r="E1381" t="s">
        <v>88</v>
      </c>
      <c r="F1381" t="s">
        <v>787</v>
      </c>
      <c r="G1381" t="s">
        <v>3661</v>
      </c>
      <c r="H1381" t="s">
        <v>3662</v>
      </c>
      <c r="I1381">
        <v>0</v>
      </c>
      <c r="J1381">
        <v>0</v>
      </c>
      <c r="K1381" t="s">
        <v>3663</v>
      </c>
    </row>
    <row r="1382" spans="1:11" x14ac:dyDescent="0.2">
      <c r="A1382" t="str">
        <f>HYPERLINK("https://www.tiwall.com//p/shirekhoshk","شیر خشک")</f>
        <v>شیر خشک</v>
      </c>
      <c r="B1382">
        <v>50</v>
      </c>
      <c r="C1382" t="s">
        <v>37</v>
      </c>
      <c r="D1382" t="s">
        <v>65</v>
      </c>
      <c r="E1382" t="s">
        <v>303</v>
      </c>
      <c r="F1382" t="s">
        <v>3664</v>
      </c>
      <c r="G1382" t="s">
        <v>3665</v>
      </c>
      <c r="H1382" t="s">
        <v>3665</v>
      </c>
      <c r="I1382">
        <v>2.4</v>
      </c>
      <c r="J1382">
        <v>45</v>
      </c>
      <c r="K1382" t="s">
        <v>3666</v>
      </c>
    </row>
    <row r="1383" spans="1:11" x14ac:dyDescent="0.2">
      <c r="A1383" t="str">
        <f>HYPERLINK("https://www.tiwall.com//p/gourekhar","گورخر")</f>
        <v>گورخر</v>
      </c>
      <c r="B1383">
        <v>70</v>
      </c>
      <c r="C1383" t="s">
        <v>956</v>
      </c>
      <c r="D1383" t="s">
        <v>87</v>
      </c>
      <c r="E1383" t="s">
        <v>13</v>
      </c>
      <c r="F1383" t="s">
        <v>20</v>
      </c>
      <c r="G1383" t="s">
        <v>3217</v>
      </c>
      <c r="H1383" t="s">
        <v>3667</v>
      </c>
      <c r="I1383">
        <v>0</v>
      </c>
      <c r="J1383">
        <v>0</v>
      </c>
      <c r="K1383" t="s">
        <v>3668</v>
      </c>
    </row>
    <row r="1384" spans="1:11" x14ac:dyDescent="0.2">
      <c r="A1384" t="str">
        <f>HYPERLINK("https://www.tiwall.com//p/divantheatral8","دیوان تئاترال")</f>
        <v>دیوان تئاترال</v>
      </c>
      <c r="B1384">
        <v>50</v>
      </c>
      <c r="C1384" t="s">
        <v>132</v>
      </c>
      <c r="D1384" t="s">
        <v>45</v>
      </c>
      <c r="E1384" t="s">
        <v>26</v>
      </c>
      <c r="F1384" t="s">
        <v>3669</v>
      </c>
      <c r="G1384" t="s">
        <v>2901</v>
      </c>
      <c r="H1384" t="s">
        <v>1695</v>
      </c>
      <c r="I1384">
        <v>0</v>
      </c>
      <c r="J1384">
        <v>0</v>
      </c>
      <c r="K1384" t="s">
        <v>3670</v>
      </c>
    </row>
    <row r="1385" spans="1:11" x14ac:dyDescent="0.2">
      <c r="A1385" t="str">
        <f>HYPERLINK("https://www.tiwall.com//p/norouzepinehdouz2","اوستاد نوروز پینه دوز")</f>
        <v>اوستاد نوروز پینه دوز</v>
      </c>
      <c r="B1385">
        <v>40</v>
      </c>
      <c r="C1385" t="s">
        <v>145</v>
      </c>
      <c r="D1385" t="s">
        <v>12</v>
      </c>
      <c r="E1385" t="s">
        <v>71</v>
      </c>
      <c r="F1385" t="s">
        <v>592</v>
      </c>
      <c r="G1385" t="s">
        <v>3671</v>
      </c>
      <c r="H1385" t="s">
        <v>3672</v>
      </c>
      <c r="I1385">
        <v>4</v>
      </c>
      <c r="J1385">
        <v>7</v>
      </c>
      <c r="K1385" t="s">
        <v>3673</v>
      </c>
    </row>
    <row r="1386" spans="1:11" x14ac:dyDescent="0.2">
      <c r="A1386" t="str">
        <f>HYPERLINK("https://www.tiwall.com//p/blueberry2","بلوبری")</f>
        <v>بلوبری</v>
      </c>
      <c r="B1386">
        <v>60</v>
      </c>
      <c r="C1386" t="s">
        <v>86</v>
      </c>
      <c r="D1386" t="s">
        <v>217</v>
      </c>
      <c r="E1386" t="s">
        <v>235</v>
      </c>
      <c r="F1386" t="s">
        <v>1243</v>
      </c>
      <c r="G1386" t="s">
        <v>886</v>
      </c>
      <c r="H1386" t="s">
        <v>886</v>
      </c>
      <c r="I1386">
        <v>3.5</v>
      </c>
      <c r="J1386">
        <v>30</v>
      </c>
      <c r="K1386" t="s">
        <v>3674</v>
      </c>
    </row>
    <row r="1387" spans="1:11" x14ac:dyDescent="0.2">
      <c r="A1387" t="str">
        <f>HYPERLINK("https://www.tiwall.com//p/macbeth14","تراژدی مکبث")</f>
        <v>تراژدی مکبث</v>
      </c>
      <c r="B1387">
        <v>90</v>
      </c>
      <c r="C1387" t="s">
        <v>24</v>
      </c>
      <c r="D1387" t="s">
        <v>217</v>
      </c>
      <c r="E1387" t="s">
        <v>194</v>
      </c>
      <c r="F1387" t="s">
        <v>3675</v>
      </c>
      <c r="G1387" t="s">
        <v>1495</v>
      </c>
      <c r="H1387" t="s">
        <v>1034</v>
      </c>
      <c r="I1387">
        <v>3.1</v>
      </c>
      <c r="J1387">
        <v>17</v>
      </c>
      <c r="K1387" t="s">
        <v>3676</v>
      </c>
    </row>
    <row r="1388" spans="1:11" x14ac:dyDescent="0.2">
      <c r="A1388" t="str">
        <f>HYPERLINK("https://www.tiwall.com//p/shab.yalda3","شب طولانی یلدا")</f>
        <v>شب طولانی یلدا</v>
      </c>
      <c r="B1388">
        <v>40</v>
      </c>
      <c r="C1388" t="s">
        <v>417</v>
      </c>
      <c r="D1388" t="s">
        <v>87</v>
      </c>
      <c r="E1388" t="s">
        <v>13</v>
      </c>
      <c r="F1388" t="s">
        <v>1007</v>
      </c>
      <c r="G1388" t="s">
        <v>1160</v>
      </c>
      <c r="H1388" t="s">
        <v>1161</v>
      </c>
      <c r="I1388">
        <v>0</v>
      </c>
      <c r="J1388">
        <v>0</v>
      </c>
      <c r="K1388" t="s">
        <v>1162</v>
      </c>
    </row>
    <row r="1389" spans="1:11" x14ac:dyDescent="0.2">
      <c r="A1389" t="str">
        <f>HYPERLINK("https://www.tiwall.com//p/asb.anbari","اسب‌های انباری")</f>
        <v>اسب‌های انباری</v>
      </c>
      <c r="B1389">
        <v>60</v>
      </c>
      <c r="C1389" t="s">
        <v>358</v>
      </c>
      <c r="D1389" t="s">
        <v>299</v>
      </c>
      <c r="E1389" t="s">
        <v>13</v>
      </c>
      <c r="F1389" t="s">
        <v>1660</v>
      </c>
      <c r="G1389" t="s">
        <v>3500</v>
      </c>
      <c r="H1389" t="s">
        <v>330</v>
      </c>
      <c r="I1389">
        <v>3.6</v>
      </c>
      <c r="J1389">
        <v>90</v>
      </c>
      <c r="K1389" t="s">
        <v>3677</v>
      </c>
    </row>
    <row r="1390" spans="1:11" x14ac:dyDescent="0.2">
      <c r="A1390" t="str">
        <f>HYPERLINK("https://www.tiwall.com//p/takhti23","تختی در اتاق ۲۳ هتل آتلانتیک")</f>
        <v>تختی در اتاق ۲۳ هتل آتلانتیک</v>
      </c>
      <c r="B1390">
        <v>40</v>
      </c>
      <c r="C1390" t="s">
        <v>151</v>
      </c>
      <c r="D1390" t="s">
        <v>32</v>
      </c>
      <c r="E1390" t="s">
        <v>13</v>
      </c>
      <c r="F1390" t="s">
        <v>1197</v>
      </c>
      <c r="G1390" t="s">
        <v>965</v>
      </c>
      <c r="H1390" t="s">
        <v>965</v>
      </c>
      <c r="I1390">
        <v>3.6</v>
      </c>
      <c r="J1390">
        <v>45</v>
      </c>
      <c r="K1390" t="s">
        <v>3678</v>
      </c>
    </row>
    <row r="1391" spans="1:11" x14ac:dyDescent="0.2">
      <c r="A1391" t="str">
        <f>HYPERLINK("https://www.tiwall.com//p/molaghatbano5","ملاقات بانوی سالخورده")</f>
        <v>ملاقات بانوی سالخورده</v>
      </c>
      <c r="B1391">
        <v>100</v>
      </c>
      <c r="C1391" t="s">
        <v>790</v>
      </c>
      <c r="D1391" t="s">
        <v>217</v>
      </c>
      <c r="E1391" t="s">
        <v>19</v>
      </c>
      <c r="F1391" t="s">
        <v>555</v>
      </c>
      <c r="G1391" t="s">
        <v>640</v>
      </c>
      <c r="H1391" t="s">
        <v>101</v>
      </c>
      <c r="I1391">
        <v>3.6</v>
      </c>
      <c r="J1391">
        <v>45</v>
      </c>
      <c r="K1391" t="s">
        <v>3679</v>
      </c>
    </row>
    <row r="1392" spans="1:11" x14ac:dyDescent="0.2">
      <c r="A1392" t="str">
        <f>HYPERLINK("https://www.tiwall.com//p/shomareshmakous","شمارش معکوس")</f>
        <v>شمارش معکوس</v>
      </c>
      <c r="B1392">
        <v>25</v>
      </c>
      <c r="C1392" t="s">
        <v>417</v>
      </c>
      <c r="D1392" t="s">
        <v>87</v>
      </c>
      <c r="E1392" t="s">
        <v>46</v>
      </c>
      <c r="F1392" t="s">
        <v>732</v>
      </c>
      <c r="G1392" t="s">
        <v>1444</v>
      </c>
      <c r="H1392" t="s">
        <v>3445</v>
      </c>
      <c r="I1392">
        <v>0</v>
      </c>
      <c r="J1392">
        <v>0</v>
      </c>
      <c r="K1392" t="s">
        <v>3680</v>
      </c>
    </row>
    <row r="1393" spans="1:11" x14ac:dyDescent="0.2">
      <c r="A1393" t="str">
        <f>HYPERLINK("https://www.tiwall.com//p/adamadame","آدم آدمه")</f>
        <v>آدم آدمه</v>
      </c>
      <c r="B1393">
        <v>50</v>
      </c>
      <c r="C1393" t="s">
        <v>3681</v>
      </c>
      <c r="D1393" t="s">
        <v>32</v>
      </c>
      <c r="E1393" t="s">
        <v>1788</v>
      </c>
      <c r="F1393" t="s">
        <v>3682</v>
      </c>
      <c r="G1393" t="s">
        <v>3683</v>
      </c>
      <c r="H1393" t="s">
        <v>202</v>
      </c>
      <c r="I1393">
        <v>0</v>
      </c>
      <c r="J1393">
        <v>0</v>
      </c>
      <c r="K1393" t="s">
        <v>3684</v>
      </c>
    </row>
    <row r="1394" spans="1:11" x14ac:dyDescent="0.2">
      <c r="A1394" t="str">
        <f>HYPERLINK("https://www.tiwall.com//p/sarshakh4","سرشاخ")</f>
        <v>سرشاخ</v>
      </c>
      <c r="B1394">
        <v>60</v>
      </c>
      <c r="C1394" t="s">
        <v>86</v>
      </c>
      <c r="D1394" t="s">
        <v>87</v>
      </c>
      <c r="E1394" t="s">
        <v>13</v>
      </c>
      <c r="F1394" t="s">
        <v>1145</v>
      </c>
      <c r="G1394" t="s">
        <v>3685</v>
      </c>
      <c r="H1394" t="s">
        <v>2583</v>
      </c>
      <c r="I1394">
        <v>0</v>
      </c>
      <c r="J1394">
        <v>0</v>
      </c>
      <c r="K1394" t="s">
        <v>3686</v>
      </c>
    </row>
    <row r="1395" spans="1:11" x14ac:dyDescent="0.2">
      <c r="A1395" t="str">
        <f>HYPERLINK("https://www.tiwall.com//p/jastan","ژَستَن")</f>
        <v>ژَستَن</v>
      </c>
      <c r="B1395">
        <v>60</v>
      </c>
      <c r="C1395" t="s">
        <v>349</v>
      </c>
      <c r="D1395" t="s">
        <v>32</v>
      </c>
      <c r="E1395" t="s">
        <v>26</v>
      </c>
      <c r="F1395" t="s">
        <v>502</v>
      </c>
      <c r="G1395" t="s">
        <v>2462</v>
      </c>
      <c r="H1395" t="s">
        <v>3687</v>
      </c>
      <c r="I1395">
        <v>3.5</v>
      </c>
      <c r="J1395">
        <v>37</v>
      </c>
      <c r="K1395" t="s">
        <v>3688</v>
      </c>
    </row>
    <row r="1396" spans="1:11" x14ac:dyDescent="0.2">
      <c r="A1396" t="str">
        <f>HYPERLINK("https://www.tiwall.com//p/gandom.gorg2","گندم و گرگ ناقلا")</f>
        <v>گندم و گرگ ناقلا</v>
      </c>
      <c r="B1396">
        <v>35</v>
      </c>
      <c r="C1396" t="s">
        <v>56</v>
      </c>
      <c r="D1396" t="s">
        <v>87</v>
      </c>
      <c r="E1396" t="s">
        <v>415</v>
      </c>
      <c r="F1396" t="s">
        <v>1291</v>
      </c>
      <c r="G1396" t="s">
        <v>3234</v>
      </c>
      <c r="H1396" t="s">
        <v>3235</v>
      </c>
      <c r="I1396">
        <v>0</v>
      </c>
      <c r="J1396">
        <v>0</v>
      </c>
      <c r="K1396" t="s">
        <v>3689</v>
      </c>
    </row>
    <row r="1397" spans="1:11" x14ac:dyDescent="0.2">
      <c r="A1397" t="str">
        <f>HYPERLINK("https://www.tiwall.com//p/sharh.rozaneh","شرح یک روزنه")</f>
        <v>شرح یک روزنه</v>
      </c>
      <c r="B1397">
        <v>35</v>
      </c>
      <c r="C1397" t="s">
        <v>242</v>
      </c>
      <c r="D1397" t="s">
        <v>87</v>
      </c>
      <c r="E1397" t="s">
        <v>138</v>
      </c>
      <c r="F1397" t="s">
        <v>1456</v>
      </c>
      <c r="G1397" t="s">
        <v>2576</v>
      </c>
      <c r="H1397" t="s">
        <v>2576</v>
      </c>
      <c r="I1397">
        <v>0</v>
      </c>
      <c r="J1397">
        <v>0</v>
      </c>
      <c r="K1397" t="s">
        <v>3690</v>
      </c>
    </row>
    <row r="1398" spans="1:11" x14ac:dyDescent="0.2">
      <c r="A1398" t="str">
        <f>HYPERLINK("https://www.tiwall.com//p/abozeydabad","ابوزیدآباد رزیدنسی")</f>
        <v>ابوزیدآباد رزیدنسی</v>
      </c>
      <c r="B1398">
        <v>80</v>
      </c>
      <c r="C1398" t="s">
        <v>11</v>
      </c>
      <c r="D1398" t="s">
        <v>146</v>
      </c>
      <c r="E1398" t="s">
        <v>19</v>
      </c>
      <c r="F1398" t="s">
        <v>764</v>
      </c>
      <c r="G1398" t="s">
        <v>1726</v>
      </c>
      <c r="H1398" t="s">
        <v>1726</v>
      </c>
      <c r="I1398">
        <v>0</v>
      </c>
      <c r="J1398">
        <v>0</v>
      </c>
      <c r="K1398" t="s">
        <v>3691</v>
      </c>
    </row>
    <row r="1399" spans="1:11" x14ac:dyDescent="0.2">
      <c r="A1399" t="str">
        <f>HYPERLINK("https://www.tiwall.com//p/murphy","مِرفی")</f>
        <v>مِرفی</v>
      </c>
      <c r="B1399">
        <v>30</v>
      </c>
      <c r="C1399" t="s">
        <v>344</v>
      </c>
      <c r="D1399" t="s">
        <v>45</v>
      </c>
      <c r="E1399" t="s">
        <v>13</v>
      </c>
      <c r="F1399" t="s">
        <v>239</v>
      </c>
      <c r="G1399" t="s">
        <v>3692</v>
      </c>
      <c r="H1399" t="s">
        <v>3693</v>
      </c>
      <c r="I1399">
        <v>3.5</v>
      </c>
      <c r="J1399">
        <v>22</v>
      </c>
      <c r="K1399" t="s">
        <v>3694</v>
      </c>
    </row>
    <row r="1400" spans="1:11" x14ac:dyDescent="0.2">
      <c r="A1400" t="str">
        <f>HYPERLINK("https://www.tiwall.com//p/anke.nemimirad2","کابوس‌های آنکه نمی‌میرد")</f>
        <v>کابوس‌های آنکه نمی‌میرد</v>
      </c>
      <c r="B1400">
        <v>80</v>
      </c>
      <c r="C1400" t="s">
        <v>410</v>
      </c>
      <c r="D1400" t="s">
        <v>217</v>
      </c>
      <c r="E1400" t="s">
        <v>303</v>
      </c>
      <c r="F1400" t="s">
        <v>3695</v>
      </c>
      <c r="G1400" t="s">
        <v>2841</v>
      </c>
      <c r="H1400" t="s">
        <v>3652</v>
      </c>
      <c r="I1400">
        <v>0</v>
      </c>
      <c r="J1400">
        <v>0</v>
      </c>
      <c r="K1400" t="s">
        <v>3696</v>
      </c>
    </row>
    <row r="1401" spans="1:11" x14ac:dyDescent="0.2">
      <c r="A1401" t="str">
        <f>HYPERLINK("https://www.tiwall.com//p/soghout5","سقوط")</f>
        <v>سقوط</v>
      </c>
      <c r="B1401">
        <v>60</v>
      </c>
      <c r="C1401" t="s">
        <v>928</v>
      </c>
      <c r="D1401" t="s">
        <v>280</v>
      </c>
      <c r="E1401" t="s">
        <v>13</v>
      </c>
      <c r="F1401" t="s">
        <v>1928</v>
      </c>
      <c r="G1401" t="s">
        <v>3697</v>
      </c>
      <c r="H1401" t="s">
        <v>3698</v>
      </c>
      <c r="I1401">
        <v>4.0999999999999996</v>
      </c>
      <c r="J1401">
        <v>14</v>
      </c>
      <c r="K1401" t="s">
        <v>3699</v>
      </c>
    </row>
    <row r="1402" spans="1:11" x14ac:dyDescent="0.2">
      <c r="A1402" t="str">
        <f>HYPERLINK("https://www.tiwall.com//p/endlesslesson","درس بی پایان (چندپرتره از آموزش کاسپار)")</f>
        <v>درس بی پایان (چندپرتره از آموزش کاسپار)</v>
      </c>
      <c r="B1402">
        <v>60</v>
      </c>
      <c r="C1402" t="s">
        <v>31</v>
      </c>
      <c r="D1402" t="s">
        <v>45</v>
      </c>
      <c r="E1402" t="s">
        <v>303</v>
      </c>
      <c r="F1402" t="s">
        <v>1741</v>
      </c>
      <c r="G1402" t="s">
        <v>3634</v>
      </c>
      <c r="H1402" t="s">
        <v>3635</v>
      </c>
      <c r="I1402">
        <v>3.4</v>
      </c>
      <c r="J1402">
        <v>54</v>
      </c>
      <c r="K1402" t="s">
        <v>3700</v>
      </c>
    </row>
    <row r="1403" spans="1:11" x14ac:dyDescent="0.2">
      <c r="A1403" t="str">
        <f>HYPERLINK("https://www.tiwall.com//p/raazbita","راز بیتا")</f>
        <v>راز بیتا</v>
      </c>
      <c r="B1403">
        <v>60</v>
      </c>
      <c r="C1403" t="s">
        <v>224</v>
      </c>
      <c r="D1403" t="s">
        <v>65</v>
      </c>
      <c r="E1403" t="s">
        <v>235</v>
      </c>
      <c r="F1403" t="s">
        <v>688</v>
      </c>
      <c r="G1403" t="s">
        <v>3701</v>
      </c>
      <c r="H1403" t="s">
        <v>3702</v>
      </c>
      <c r="I1403">
        <v>3.8</v>
      </c>
      <c r="J1403">
        <v>5</v>
      </c>
      <c r="K1403" t="s">
        <v>3703</v>
      </c>
    </row>
    <row r="1404" spans="1:11" x14ac:dyDescent="0.2">
      <c r="A1404" t="str">
        <f>HYPERLINK("https://www.tiwall.com//p/margemashkouk","مرگ مشکوک")</f>
        <v>مرگ مشکوک</v>
      </c>
      <c r="B1404">
        <v>40</v>
      </c>
      <c r="C1404" t="s">
        <v>204</v>
      </c>
      <c r="D1404" t="s">
        <v>45</v>
      </c>
      <c r="E1404" t="s">
        <v>71</v>
      </c>
      <c r="F1404" t="s">
        <v>3704</v>
      </c>
      <c r="G1404" t="s">
        <v>1917</v>
      </c>
      <c r="H1404" t="s">
        <v>886</v>
      </c>
      <c r="I1404">
        <v>2.6</v>
      </c>
      <c r="J1404">
        <v>5</v>
      </c>
      <c r="K1404" t="s">
        <v>3705</v>
      </c>
    </row>
    <row r="1405" spans="1:11" x14ac:dyDescent="0.2">
      <c r="A1405" t="str">
        <f>HYPERLINK("https://www.tiwall.com//p/sooresrafil3","صور اسرافیل")</f>
        <v>صور اسرافیل</v>
      </c>
      <c r="B1405">
        <v>50</v>
      </c>
      <c r="C1405" t="s">
        <v>51</v>
      </c>
      <c r="D1405" t="s">
        <v>87</v>
      </c>
      <c r="E1405" t="s">
        <v>208</v>
      </c>
      <c r="F1405" t="s">
        <v>3706</v>
      </c>
      <c r="G1405" t="s">
        <v>3707</v>
      </c>
      <c r="H1405" t="s">
        <v>1069</v>
      </c>
      <c r="I1405">
        <v>2.8</v>
      </c>
      <c r="J1405">
        <v>10</v>
      </c>
      <c r="K1405" t="s">
        <v>3708</v>
      </c>
    </row>
    <row r="1406" spans="1:11" x14ac:dyDescent="0.2">
      <c r="A1406" t="str">
        <f>HYPERLINK("https://www.tiwall.com//p/ghatlgheireamd2","قتل غیرعمد")</f>
        <v>قتل غیرعمد</v>
      </c>
      <c r="B1406">
        <v>50</v>
      </c>
      <c r="C1406" t="s">
        <v>44</v>
      </c>
      <c r="D1406" t="s">
        <v>12</v>
      </c>
      <c r="E1406" t="s">
        <v>303</v>
      </c>
      <c r="F1406" t="s">
        <v>869</v>
      </c>
      <c r="G1406" t="s">
        <v>2129</v>
      </c>
      <c r="H1406" t="s">
        <v>1724</v>
      </c>
      <c r="I1406">
        <v>0</v>
      </c>
      <c r="J1406">
        <v>0</v>
      </c>
      <c r="K1406" t="s">
        <v>3709</v>
      </c>
    </row>
    <row r="1407" spans="1:11" x14ac:dyDescent="0.2">
      <c r="A1407" t="str">
        <f>HYPERLINK("https://www.tiwall.com//p/rooziroozegari","روزی روزگاری جوشن")</f>
        <v>روزی روزگاری جوشن</v>
      </c>
      <c r="B1407">
        <v>30</v>
      </c>
      <c r="C1407" t="s">
        <v>3710</v>
      </c>
      <c r="D1407" t="s">
        <v>38</v>
      </c>
      <c r="E1407" t="s">
        <v>1063</v>
      </c>
      <c r="F1407" t="s">
        <v>3675</v>
      </c>
      <c r="G1407" t="s">
        <v>3711</v>
      </c>
      <c r="H1407" t="s">
        <v>3580</v>
      </c>
      <c r="I1407">
        <v>0</v>
      </c>
      <c r="J1407">
        <v>0</v>
      </c>
      <c r="K1407" t="s">
        <v>3712</v>
      </c>
    </row>
    <row r="1408" spans="1:11" x14ac:dyDescent="0.2">
      <c r="A1408" t="str">
        <f>HYPERLINK("https://www.tiwall.com//p/soudavi","سودآوی: چرخش")</f>
        <v>سودآوی: چرخش</v>
      </c>
      <c r="B1408">
        <v>45</v>
      </c>
      <c r="C1408" t="s">
        <v>103</v>
      </c>
      <c r="D1408" t="s">
        <v>559</v>
      </c>
      <c r="E1408" t="s">
        <v>13</v>
      </c>
      <c r="F1408" t="s">
        <v>89</v>
      </c>
      <c r="G1408" t="s">
        <v>3713</v>
      </c>
      <c r="H1408" t="s">
        <v>3713</v>
      </c>
      <c r="I1408">
        <v>3.5</v>
      </c>
      <c r="J1408">
        <v>6</v>
      </c>
      <c r="K1408" t="s">
        <v>3714</v>
      </c>
    </row>
    <row r="1409" spans="1:11" x14ac:dyDescent="0.2">
      <c r="A1409" t="str">
        <f>HYPERLINK("https://www.tiwall.com//p/naneshahrzad2","ننه شهرزاد در سرزمین عجایب")</f>
        <v>ننه شهرزاد در سرزمین عجایب</v>
      </c>
      <c r="B1409">
        <v>10</v>
      </c>
      <c r="C1409" t="s">
        <v>1687</v>
      </c>
      <c r="D1409" t="s">
        <v>12</v>
      </c>
      <c r="E1409" t="s">
        <v>13</v>
      </c>
      <c r="F1409" t="s">
        <v>3715</v>
      </c>
      <c r="G1409" t="s">
        <v>3227</v>
      </c>
      <c r="H1409" t="s">
        <v>3227</v>
      </c>
      <c r="I1409">
        <v>0</v>
      </c>
      <c r="J1409">
        <v>0</v>
      </c>
      <c r="K1409" t="s">
        <v>3228</v>
      </c>
    </row>
    <row r="1410" spans="1:11" x14ac:dyDescent="0.2">
      <c r="A1410" t="str">
        <f>HYPERLINK("https://www.tiwall.com//p/love3","دلاو")</f>
        <v>دلاو</v>
      </c>
      <c r="B1410">
        <v>50</v>
      </c>
      <c r="C1410" t="s">
        <v>86</v>
      </c>
      <c r="D1410" t="s">
        <v>470</v>
      </c>
      <c r="E1410" t="s">
        <v>235</v>
      </c>
      <c r="F1410" t="s">
        <v>822</v>
      </c>
      <c r="G1410" t="s">
        <v>3716</v>
      </c>
      <c r="H1410" t="s">
        <v>3716</v>
      </c>
      <c r="I1410">
        <v>4.4000000000000004</v>
      </c>
      <c r="J1410">
        <v>17</v>
      </c>
      <c r="K1410" t="s">
        <v>3717</v>
      </c>
    </row>
    <row r="1411" spans="1:11" x14ac:dyDescent="0.2">
      <c r="A1411" t="str">
        <f>HYPERLINK("https://www.tiwall.com//p/macbeth16","مکبث زار")</f>
        <v>مکبث زار</v>
      </c>
      <c r="B1411">
        <v>150</v>
      </c>
      <c r="C1411" t="s">
        <v>362</v>
      </c>
      <c r="D1411" t="s">
        <v>45</v>
      </c>
      <c r="E1411" t="s">
        <v>303</v>
      </c>
      <c r="F1411" t="s">
        <v>812</v>
      </c>
      <c r="G1411" t="s">
        <v>1784</v>
      </c>
      <c r="H1411" t="s">
        <v>1784</v>
      </c>
      <c r="I1411">
        <v>3.9</v>
      </c>
      <c r="J1411">
        <v>143</v>
      </c>
      <c r="K1411" t="s">
        <v>3718</v>
      </c>
    </row>
    <row r="1412" spans="1:11" x14ac:dyDescent="0.2">
      <c r="A1412" t="str">
        <f>HYPERLINK("https://www.tiwall.com//p/avazekhanetas6","آوازه خوان طاس")</f>
        <v>آوازه خوان طاس</v>
      </c>
      <c r="B1412">
        <v>100</v>
      </c>
      <c r="C1412" t="s">
        <v>170</v>
      </c>
      <c r="D1412" t="s">
        <v>65</v>
      </c>
      <c r="E1412" t="s">
        <v>13</v>
      </c>
      <c r="F1412" t="s">
        <v>2777</v>
      </c>
      <c r="G1412" t="s">
        <v>282</v>
      </c>
      <c r="H1412" t="s">
        <v>1384</v>
      </c>
      <c r="I1412">
        <v>3.6</v>
      </c>
      <c r="J1412">
        <v>16</v>
      </c>
      <c r="K1412" t="s">
        <v>3719</v>
      </c>
    </row>
    <row r="1413" spans="1:11" x14ac:dyDescent="0.2">
      <c r="A1413" t="str">
        <f>HYPERLINK("https://www.tiwall.com//p/dar.eskele3","در اسکله")</f>
        <v>در اسکله</v>
      </c>
      <c r="B1413">
        <v>35</v>
      </c>
      <c r="C1413" t="s">
        <v>129</v>
      </c>
      <c r="D1413" t="s">
        <v>3720</v>
      </c>
      <c r="E1413" t="s">
        <v>13</v>
      </c>
      <c r="F1413" t="s">
        <v>3397</v>
      </c>
      <c r="G1413" t="s">
        <v>3721</v>
      </c>
      <c r="H1413" t="s">
        <v>2629</v>
      </c>
      <c r="I1413">
        <v>0</v>
      </c>
      <c r="J1413">
        <v>0</v>
      </c>
      <c r="K1413" t="s">
        <v>3722</v>
      </c>
    </row>
    <row r="1414" spans="1:11" x14ac:dyDescent="0.2">
      <c r="A1414" t="str">
        <f>HYPERLINK("https://www.tiwall.com//p/jik","ژیک")</f>
        <v>ژیک</v>
      </c>
      <c r="B1414">
        <v>50</v>
      </c>
      <c r="C1414" t="s">
        <v>145</v>
      </c>
      <c r="D1414" t="s">
        <v>32</v>
      </c>
      <c r="E1414" t="s">
        <v>138</v>
      </c>
      <c r="F1414" t="s">
        <v>445</v>
      </c>
      <c r="G1414" t="s">
        <v>3723</v>
      </c>
      <c r="H1414" t="s">
        <v>3723</v>
      </c>
      <c r="I1414">
        <v>0</v>
      </c>
      <c r="J1414">
        <v>0</v>
      </c>
      <c r="K1414" t="s">
        <v>3724</v>
      </c>
    </row>
    <row r="1415" spans="1:11" x14ac:dyDescent="0.2">
      <c r="A1415" t="str">
        <f>HYPERLINK("https://www.tiwall.com//p/monster","مانستر")</f>
        <v>مانستر</v>
      </c>
      <c r="B1415">
        <v>35</v>
      </c>
      <c r="C1415" t="s">
        <v>24</v>
      </c>
      <c r="D1415" t="s">
        <v>384</v>
      </c>
      <c r="E1415" t="s">
        <v>26</v>
      </c>
      <c r="F1415" t="s">
        <v>938</v>
      </c>
      <c r="G1415" t="s">
        <v>2953</v>
      </c>
      <c r="H1415" t="s">
        <v>2954</v>
      </c>
      <c r="I1415">
        <v>3.6</v>
      </c>
      <c r="J1415">
        <v>129</v>
      </c>
      <c r="K1415" t="s">
        <v>3725</v>
      </c>
    </row>
    <row r="1416" spans="1:11" x14ac:dyDescent="0.2">
      <c r="A1416" t="str">
        <f>HYPERLINK("https://www.tiwall.com//p/derakhtshishei","درخت شیشه‌ای آلما")</f>
        <v>درخت شیشه‌ای آلما</v>
      </c>
      <c r="B1416">
        <v>60</v>
      </c>
      <c r="C1416" t="s">
        <v>86</v>
      </c>
      <c r="D1416" t="s">
        <v>217</v>
      </c>
      <c r="E1416" t="s">
        <v>71</v>
      </c>
      <c r="F1416" t="s">
        <v>89</v>
      </c>
      <c r="G1416" t="s">
        <v>2520</v>
      </c>
      <c r="H1416" t="s">
        <v>2520</v>
      </c>
      <c r="I1416">
        <v>3.7</v>
      </c>
      <c r="J1416">
        <v>86</v>
      </c>
      <c r="K1416" t="s">
        <v>3726</v>
      </c>
    </row>
    <row r="1417" spans="1:11" x14ac:dyDescent="0.2">
      <c r="A1417" t="str">
        <f>HYPERLINK("https://www.tiwall.com//p/zirepelkemah","زیر پلک ماه")</f>
        <v>زیر پلک ماه</v>
      </c>
      <c r="B1417">
        <v>30</v>
      </c>
      <c r="C1417" t="s">
        <v>69</v>
      </c>
      <c r="D1417" t="s">
        <v>87</v>
      </c>
      <c r="E1417" t="s">
        <v>138</v>
      </c>
      <c r="F1417" t="s">
        <v>961</v>
      </c>
      <c r="G1417" t="s">
        <v>3727</v>
      </c>
      <c r="H1417" t="s">
        <v>3728</v>
      </c>
      <c r="I1417">
        <v>0</v>
      </c>
      <c r="J1417">
        <v>0</v>
      </c>
      <c r="K1417" t="s">
        <v>3729</v>
      </c>
    </row>
    <row r="1418" spans="1:11" x14ac:dyDescent="0.2">
      <c r="A1418" t="str">
        <f>HYPERLINK("https://www.tiwall.com//p/motasaviosaghei5","متساوی الساقین")</f>
        <v>متساوی الساقین</v>
      </c>
      <c r="B1418">
        <v>100</v>
      </c>
      <c r="C1418" t="s">
        <v>86</v>
      </c>
      <c r="D1418" t="s">
        <v>45</v>
      </c>
      <c r="E1418" t="s">
        <v>13</v>
      </c>
      <c r="F1418" t="s">
        <v>676</v>
      </c>
      <c r="G1418" t="s">
        <v>3730</v>
      </c>
      <c r="H1418" t="s">
        <v>3731</v>
      </c>
      <c r="I1418">
        <v>0</v>
      </c>
      <c r="J1418">
        <v>0</v>
      </c>
      <c r="K1418" t="s">
        <v>3732</v>
      </c>
    </row>
    <row r="1419" spans="1:11" x14ac:dyDescent="0.2">
      <c r="A1419" t="str">
        <f>HYPERLINK("https://www.tiwall.com//p/gardan4","گردن")</f>
        <v>گردن</v>
      </c>
      <c r="B1419">
        <v>40</v>
      </c>
      <c r="C1419" t="s">
        <v>369</v>
      </c>
      <c r="D1419" t="s">
        <v>87</v>
      </c>
      <c r="E1419" t="s">
        <v>13</v>
      </c>
      <c r="F1419" t="s">
        <v>2591</v>
      </c>
      <c r="G1419" t="s">
        <v>3733</v>
      </c>
      <c r="H1419" t="s">
        <v>3733</v>
      </c>
      <c r="I1419">
        <v>4</v>
      </c>
      <c r="J1419">
        <v>96</v>
      </c>
      <c r="K1419" t="s">
        <v>3734</v>
      </c>
    </row>
    <row r="1420" spans="1:11" x14ac:dyDescent="0.2">
      <c r="A1420" t="str">
        <f>HYPERLINK("https://www.tiwall.com//p/hachal","هچل")</f>
        <v>هچل</v>
      </c>
      <c r="B1420">
        <v>12</v>
      </c>
      <c r="C1420" t="s">
        <v>3735</v>
      </c>
      <c r="D1420" t="s">
        <v>87</v>
      </c>
      <c r="E1420" t="s">
        <v>26</v>
      </c>
      <c r="F1420" t="s">
        <v>2920</v>
      </c>
      <c r="G1420" t="s">
        <v>3736</v>
      </c>
      <c r="H1420" t="s">
        <v>3737</v>
      </c>
      <c r="I1420">
        <v>0</v>
      </c>
      <c r="J1420">
        <v>0</v>
      </c>
      <c r="K1420" t="s">
        <v>3738</v>
      </c>
    </row>
    <row r="1421" spans="1:11" x14ac:dyDescent="0.2">
      <c r="A1421" t="str">
        <f>HYPERLINK("https://www.tiwall.com//p/abi.narenji","آبی نارنجی")</f>
        <v>آبی نارنجی</v>
      </c>
      <c r="B1421">
        <v>50</v>
      </c>
      <c r="C1421" t="s">
        <v>591</v>
      </c>
      <c r="D1421" t="s">
        <v>146</v>
      </c>
      <c r="E1421" t="s">
        <v>19</v>
      </c>
      <c r="F1421" t="s">
        <v>3739</v>
      </c>
      <c r="G1421" t="s">
        <v>3740</v>
      </c>
      <c r="H1421" t="s">
        <v>3741</v>
      </c>
      <c r="I1421">
        <v>0</v>
      </c>
      <c r="J1421">
        <v>0</v>
      </c>
      <c r="K1421" t="s">
        <v>3742</v>
      </c>
    </row>
    <row r="1422" spans="1:11" x14ac:dyDescent="0.2">
      <c r="A1422" t="str">
        <f>HYPERLINK("https://www.tiwall.com//p/sakhtemanrose","ساختمان رُز")</f>
        <v>ساختمان رُز</v>
      </c>
      <c r="B1422">
        <v>60</v>
      </c>
      <c r="C1422" t="s">
        <v>2730</v>
      </c>
      <c r="D1422" t="s">
        <v>45</v>
      </c>
      <c r="E1422" t="s">
        <v>71</v>
      </c>
      <c r="F1422" t="s">
        <v>1502</v>
      </c>
      <c r="G1422" t="s">
        <v>3743</v>
      </c>
      <c r="H1422" t="s">
        <v>3743</v>
      </c>
      <c r="I1422">
        <v>0</v>
      </c>
      <c r="J1422">
        <v>0</v>
      </c>
      <c r="K1422" t="s">
        <v>3744</v>
      </c>
    </row>
    <row r="1423" spans="1:11" x14ac:dyDescent="0.2">
      <c r="A1423" t="str">
        <f>HYPERLINK("https://www.tiwall.com//p/eisenhower2","آیزنهاور ۴:۵۷")</f>
        <v>آیزنهاور ۴:۵۷</v>
      </c>
      <c r="B1423">
        <v>75</v>
      </c>
      <c r="C1423" t="s">
        <v>11</v>
      </c>
      <c r="D1423" t="s">
        <v>146</v>
      </c>
      <c r="E1423" t="s">
        <v>88</v>
      </c>
      <c r="F1423" t="s">
        <v>1822</v>
      </c>
      <c r="G1423" t="s">
        <v>1018</v>
      </c>
      <c r="H1423" t="s">
        <v>1018</v>
      </c>
      <c r="I1423">
        <v>3.9</v>
      </c>
      <c r="J1423">
        <v>15</v>
      </c>
      <c r="K1423" t="s">
        <v>3745</v>
      </c>
    </row>
    <row r="1424" spans="1:11" x14ac:dyDescent="0.2">
      <c r="A1424" t="str">
        <f>HYPERLINK("https://www.tiwall.com//p/cytotec","دو دوز سایتوتک")</f>
        <v>دو دوز سایتوتک</v>
      </c>
      <c r="B1424">
        <v>80</v>
      </c>
      <c r="C1424" t="s">
        <v>262</v>
      </c>
      <c r="D1424" t="s">
        <v>12</v>
      </c>
      <c r="E1424" t="s">
        <v>71</v>
      </c>
      <c r="F1424" t="s">
        <v>3746</v>
      </c>
      <c r="G1424" t="s">
        <v>3747</v>
      </c>
      <c r="H1424" t="s">
        <v>3747</v>
      </c>
      <c r="I1424">
        <v>4.2</v>
      </c>
      <c r="J1424">
        <v>18</v>
      </c>
      <c r="K1424" t="s">
        <v>3748</v>
      </c>
    </row>
    <row r="1425" spans="1:11" x14ac:dyDescent="0.2">
      <c r="A1425" t="str">
        <f>HYPERLINK("https://www.tiwall.com//p/lebasepadeshah3","لباس جدید پادشاه")</f>
        <v>لباس جدید پادشاه</v>
      </c>
      <c r="B1425">
        <v>40</v>
      </c>
      <c r="C1425" t="s">
        <v>145</v>
      </c>
      <c r="D1425" t="s">
        <v>12</v>
      </c>
      <c r="E1425" t="s">
        <v>19</v>
      </c>
      <c r="F1425" t="s">
        <v>200</v>
      </c>
      <c r="G1425" t="s">
        <v>2108</v>
      </c>
      <c r="H1425" t="s">
        <v>2109</v>
      </c>
      <c r="I1425">
        <v>4.2</v>
      </c>
      <c r="J1425">
        <v>40</v>
      </c>
      <c r="K1425" t="s">
        <v>3749</v>
      </c>
    </row>
    <row r="1426" spans="1:11" x14ac:dyDescent="0.2">
      <c r="A1426" t="str">
        <f>HYPERLINK("https://www.tiwall.com//p/mcmurdo2","مک موردو")</f>
        <v>مک موردو</v>
      </c>
      <c r="B1426">
        <v>50</v>
      </c>
      <c r="C1426" t="s">
        <v>44</v>
      </c>
      <c r="D1426" t="s">
        <v>65</v>
      </c>
      <c r="E1426" t="s">
        <v>138</v>
      </c>
      <c r="F1426" t="s">
        <v>2406</v>
      </c>
      <c r="G1426" t="s">
        <v>434</v>
      </c>
      <c r="H1426" t="s">
        <v>434</v>
      </c>
      <c r="I1426">
        <v>4.4000000000000004</v>
      </c>
      <c r="J1426">
        <v>12</v>
      </c>
      <c r="K1426" t="s">
        <v>3750</v>
      </c>
    </row>
    <row r="1427" spans="1:11" x14ac:dyDescent="0.2">
      <c r="A1427" t="str">
        <f>HYPERLINK("https://www.tiwall.com//p/agha.zabih10","آقا ذبیح")</f>
        <v>آقا ذبیح</v>
      </c>
      <c r="B1427">
        <v>60</v>
      </c>
      <c r="C1427" t="s">
        <v>51</v>
      </c>
      <c r="D1427" t="s">
        <v>65</v>
      </c>
      <c r="E1427" t="s">
        <v>138</v>
      </c>
      <c r="F1427" t="s">
        <v>1325</v>
      </c>
      <c r="G1427" t="s">
        <v>3751</v>
      </c>
      <c r="H1427" t="s">
        <v>886</v>
      </c>
      <c r="I1427">
        <v>3.9</v>
      </c>
      <c r="J1427">
        <v>28</v>
      </c>
      <c r="K1427" t="s">
        <v>3752</v>
      </c>
    </row>
    <row r="1428" spans="1:11" x14ac:dyDescent="0.2">
      <c r="A1428" t="str">
        <f>HYPERLINK("https://www.tiwall.com//p/betrayal2","خیانت")</f>
        <v>خیانت</v>
      </c>
      <c r="B1428">
        <v>75</v>
      </c>
      <c r="C1428" t="s">
        <v>1846</v>
      </c>
      <c r="D1428" t="s">
        <v>32</v>
      </c>
      <c r="E1428" t="s">
        <v>175</v>
      </c>
      <c r="F1428" t="s">
        <v>3753</v>
      </c>
      <c r="G1428" t="s">
        <v>3754</v>
      </c>
      <c r="H1428" t="s">
        <v>1989</v>
      </c>
      <c r="I1428">
        <v>0</v>
      </c>
      <c r="J1428">
        <v>0</v>
      </c>
      <c r="K1428" t="s">
        <v>3755</v>
      </c>
    </row>
    <row r="1429" spans="1:11" x14ac:dyDescent="0.2">
      <c r="A1429" t="str">
        <f>HYPERLINK("https://www.tiwall.com//p/doustan","دوستان")</f>
        <v>دوستان</v>
      </c>
      <c r="B1429">
        <v>40</v>
      </c>
      <c r="C1429" t="s">
        <v>224</v>
      </c>
      <c r="D1429" t="s">
        <v>65</v>
      </c>
      <c r="E1429" t="s">
        <v>13</v>
      </c>
      <c r="F1429" t="s">
        <v>3280</v>
      </c>
      <c r="G1429" t="s">
        <v>640</v>
      </c>
      <c r="H1429" t="s">
        <v>1724</v>
      </c>
      <c r="I1429">
        <v>0</v>
      </c>
      <c r="J1429">
        <v>0</v>
      </c>
      <c r="K1429" t="s">
        <v>3756</v>
      </c>
    </row>
    <row r="1430" spans="1:11" x14ac:dyDescent="0.2">
      <c r="A1430" t="str">
        <f>HYPERLINK("https://www.tiwall.com//p/bouyegousht","بوی گوشت آدمیزاد")</f>
        <v>بوی گوشت آدمیزاد</v>
      </c>
      <c r="B1430">
        <v>50</v>
      </c>
      <c r="C1430" t="s">
        <v>204</v>
      </c>
      <c r="D1430" t="s">
        <v>384</v>
      </c>
      <c r="E1430" t="s">
        <v>46</v>
      </c>
      <c r="F1430" t="s">
        <v>2018</v>
      </c>
      <c r="G1430" t="s">
        <v>3538</v>
      </c>
      <c r="H1430" t="s">
        <v>3757</v>
      </c>
      <c r="I1430">
        <v>0</v>
      </c>
      <c r="J1430">
        <v>0</v>
      </c>
      <c r="K1430" t="s">
        <v>3758</v>
      </c>
    </row>
    <row r="1431" spans="1:11" x14ac:dyDescent="0.2">
      <c r="A1431" t="str">
        <f>HYPERLINK("https://www.tiwall.com//p/doostankomodi3","دوستان کُمُدی")</f>
        <v>دوستان کُمُدی</v>
      </c>
      <c r="B1431">
        <v>90</v>
      </c>
      <c r="C1431" t="s">
        <v>230</v>
      </c>
      <c r="D1431" t="s">
        <v>280</v>
      </c>
      <c r="E1431" t="s">
        <v>26</v>
      </c>
      <c r="F1431" t="s">
        <v>2597</v>
      </c>
      <c r="G1431" t="s">
        <v>3759</v>
      </c>
      <c r="H1431" t="s">
        <v>2690</v>
      </c>
      <c r="I1431">
        <v>3.8</v>
      </c>
      <c r="J1431">
        <v>38</v>
      </c>
      <c r="K1431" t="s">
        <v>3760</v>
      </c>
    </row>
    <row r="1432" spans="1:11" x14ac:dyDescent="0.2">
      <c r="A1432" t="str">
        <f>HYPERLINK("https://www.tiwall.com//p/otaghidarhotel2","اتاقی در هتل کالیفرنیا")</f>
        <v>اتاقی در هتل کالیفرنیا</v>
      </c>
      <c r="B1432">
        <v>60</v>
      </c>
      <c r="C1432" t="s">
        <v>1834</v>
      </c>
      <c r="D1432" t="s">
        <v>45</v>
      </c>
      <c r="E1432" t="s">
        <v>13</v>
      </c>
      <c r="F1432" t="s">
        <v>195</v>
      </c>
      <c r="G1432" t="s">
        <v>3761</v>
      </c>
      <c r="H1432" t="s">
        <v>183</v>
      </c>
      <c r="I1432">
        <v>0</v>
      </c>
      <c r="J1432">
        <v>0</v>
      </c>
      <c r="K1432" t="s">
        <v>3762</v>
      </c>
    </row>
    <row r="1433" spans="1:11" x14ac:dyDescent="0.2">
      <c r="A1433" t="str">
        <f>HYPERLINK("https://www.tiwall.com//p/entezar.barzakh","انتظار در برزخ")</f>
        <v>انتظار در برزخ</v>
      </c>
      <c r="B1433">
        <v>80</v>
      </c>
      <c r="C1433" t="s">
        <v>11</v>
      </c>
      <c r="D1433" t="s">
        <v>12</v>
      </c>
      <c r="E1433" t="s">
        <v>13</v>
      </c>
      <c r="F1433" t="s">
        <v>370</v>
      </c>
      <c r="G1433" t="s">
        <v>2569</v>
      </c>
      <c r="H1433" t="s">
        <v>3763</v>
      </c>
      <c r="I1433">
        <v>0</v>
      </c>
      <c r="J1433">
        <v>0</v>
      </c>
      <c r="K1433" t="s">
        <v>3764</v>
      </c>
    </row>
    <row r="1434" spans="1:11" x14ac:dyDescent="0.2">
      <c r="A1434" t="str">
        <f>HYPERLINK("https://www.tiwall.com//p/yaldayekutah","کاش یلدای کوتاهی باشد..")</f>
        <v>کاش یلدای کوتاهی باشد..</v>
      </c>
      <c r="B1434">
        <v>30</v>
      </c>
      <c r="C1434" t="s">
        <v>64</v>
      </c>
      <c r="D1434" t="s">
        <v>299</v>
      </c>
      <c r="E1434" t="s">
        <v>26</v>
      </c>
      <c r="F1434" t="s">
        <v>3765</v>
      </c>
      <c r="G1434" t="s">
        <v>765</v>
      </c>
      <c r="H1434" t="s">
        <v>765</v>
      </c>
      <c r="I1434">
        <v>0</v>
      </c>
      <c r="J1434">
        <v>0</v>
      </c>
      <c r="K1434" t="s">
        <v>3766</v>
      </c>
    </row>
    <row r="1435" spans="1:11" x14ac:dyDescent="0.2">
      <c r="A1435" t="str">
        <f>HYPERLINK("https://www.tiwall.com//p/neorealism2","نئورئالیسم")</f>
        <v>نئورئالیسم</v>
      </c>
      <c r="B1435">
        <v>120</v>
      </c>
      <c r="C1435" t="s">
        <v>170</v>
      </c>
      <c r="D1435" t="s">
        <v>45</v>
      </c>
      <c r="E1435" t="s">
        <v>26</v>
      </c>
      <c r="F1435" t="s">
        <v>1702</v>
      </c>
      <c r="G1435" t="s">
        <v>523</v>
      </c>
      <c r="H1435" t="s">
        <v>523</v>
      </c>
      <c r="I1435">
        <v>3.9</v>
      </c>
      <c r="J1435">
        <v>23</v>
      </c>
      <c r="K1435" t="s">
        <v>3767</v>
      </c>
    </row>
    <row r="1436" spans="1:11" x14ac:dyDescent="0.2">
      <c r="A1436" t="str">
        <f>HYPERLINK("https://www.tiwall.com//p/nashenas","ناشناس شماره ۱۲")</f>
        <v>ناشناس شماره ۱۲</v>
      </c>
      <c r="B1436">
        <v>50</v>
      </c>
      <c r="C1436" t="s">
        <v>125</v>
      </c>
      <c r="D1436" t="s">
        <v>87</v>
      </c>
      <c r="E1436" t="s">
        <v>13</v>
      </c>
      <c r="F1436" t="s">
        <v>575</v>
      </c>
      <c r="G1436" t="s">
        <v>3768</v>
      </c>
      <c r="H1436" t="s">
        <v>3769</v>
      </c>
      <c r="I1436">
        <v>0</v>
      </c>
      <c r="J1436">
        <v>0</v>
      </c>
      <c r="K1436" t="s">
        <v>3770</v>
      </c>
    </row>
    <row r="1437" spans="1:11" x14ac:dyDescent="0.2">
      <c r="A1437" t="str">
        <f>HYPERLINK("https://www.tiwall.com//p/motasaviosaghein","متساوی الساقین")</f>
        <v>متساوی الساقین</v>
      </c>
      <c r="B1437">
        <v>20</v>
      </c>
      <c r="C1437" t="s">
        <v>112</v>
      </c>
      <c r="D1437" t="s">
        <v>87</v>
      </c>
      <c r="E1437" t="s">
        <v>13</v>
      </c>
      <c r="F1437" t="s">
        <v>427</v>
      </c>
      <c r="G1437" t="s">
        <v>3731</v>
      </c>
      <c r="H1437" t="s">
        <v>3731</v>
      </c>
      <c r="I1437">
        <v>3.4</v>
      </c>
      <c r="J1437">
        <v>7</v>
      </c>
      <c r="K1437" t="s">
        <v>3771</v>
      </c>
    </row>
    <row r="1438" spans="1:11" x14ac:dyDescent="0.2">
      <c r="A1438" t="str">
        <f>HYPERLINK("https://www.tiwall.com//p/yekdaghigheh2","فقط یک دقیقه طول می کشه...")</f>
        <v>فقط یک دقیقه طول می کشه...</v>
      </c>
      <c r="B1438">
        <v>70</v>
      </c>
      <c r="C1438" t="s">
        <v>151</v>
      </c>
      <c r="D1438" t="s">
        <v>32</v>
      </c>
      <c r="E1438" t="s">
        <v>138</v>
      </c>
      <c r="F1438" t="s">
        <v>1173</v>
      </c>
      <c r="G1438" t="s">
        <v>3772</v>
      </c>
      <c r="H1438" t="s">
        <v>3773</v>
      </c>
      <c r="I1438">
        <v>3</v>
      </c>
      <c r="J1438">
        <v>9</v>
      </c>
      <c r="K1438" t="s">
        <v>3774</v>
      </c>
    </row>
    <row r="1439" spans="1:11" x14ac:dyDescent="0.2">
      <c r="A1439" t="str">
        <f>HYPERLINK("https://www.tiwall.com//p/khers12","خرس")</f>
        <v>خرس</v>
      </c>
      <c r="B1439">
        <v>40</v>
      </c>
      <c r="C1439" t="s">
        <v>64</v>
      </c>
      <c r="D1439" t="s">
        <v>12</v>
      </c>
      <c r="E1439" t="s">
        <v>88</v>
      </c>
      <c r="F1439" t="s">
        <v>2194</v>
      </c>
      <c r="G1439" t="s">
        <v>3775</v>
      </c>
      <c r="H1439" t="s">
        <v>3776</v>
      </c>
      <c r="I1439">
        <v>0</v>
      </c>
      <c r="J1439">
        <v>0</v>
      </c>
      <c r="K1439" t="s">
        <v>3777</v>
      </c>
    </row>
    <row r="1440" spans="1:11" x14ac:dyDescent="0.2">
      <c r="A1440" t="str">
        <f>HYPERLINK("https://www.tiwall.com//p/hotelhiston","هتل هیستون")</f>
        <v>هتل هیستون</v>
      </c>
      <c r="B1440">
        <v>70</v>
      </c>
      <c r="C1440" t="s">
        <v>224</v>
      </c>
      <c r="D1440" t="s">
        <v>65</v>
      </c>
      <c r="E1440" t="s">
        <v>13</v>
      </c>
      <c r="F1440" t="s">
        <v>3778</v>
      </c>
      <c r="G1440" t="s">
        <v>3779</v>
      </c>
      <c r="H1440" t="s">
        <v>3779</v>
      </c>
      <c r="I1440">
        <v>3.3</v>
      </c>
      <c r="J1440">
        <v>8</v>
      </c>
      <c r="K1440" t="s">
        <v>3780</v>
      </c>
    </row>
    <row r="1441" spans="1:11" x14ac:dyDescent="0.2">
      <c r="A1441" t="str">
        <f>HYPERLINK("https://www.tiwall.com//p/soup.boughalamoun3","سوپ بوقلمون")</f>
        <v>سوپ بوقلمون</v>
      </c>
      <c r="B1441">
        <v>65</v>
      </c>
      <c r="C1441" t="s">
        <v>44</v>
      </c>
      <c r="D1441" t="s">
        <v>146</v>
      </c>
      <c r="E1441" t="s">
        <v>13</v>
      </c>
      <c r="F1441" t="s">
        <v>1051</v>
      </c>
      <c r="G1441" t="s">
        <v>3781</v>
      </c>
      <c r="H1441" t="s">
        <v>3782</v>
      </c>
      <c r="I1441">
        <v>0</v>
      </c>
      <c r="J1441">
        <v>0</v>
      </c>
      <c r="K1441" t="s">
        <v>3783</v>
      </c>
    </row>
    <row r="1442" spans="1:11" x14ac:dyDescent="0.2">
      <c r="A1442" t="str">
        <f>HYPERLINK("https://www.tiwall.com//p/nanedelavar7","ننه دلاور به روایت دلاور سی ساله")</f>
        <v>ننه دلاور به روایت دلاور سی ساله</v>
      </c>
      <c r="B1442">
        <v>30</v>
      </c>
      <c r="C1442" t="s">
        <v>3784</v>
      </c>
      <c r="D1442" t="s">
        <v>146</v>
      </c>
      <c r="E1442" t="s">
        <v>138</v>
      </c>
      <c r="F1442" t="s">
        <v>89</v>
      </c>
      <c r="G1442" t="s">
        <v>3785</v>
      </c>
      <c r="H1442" t="s">
        <v>3785</v>
      </c>
      <c r="I1442">
        <v>0</v>
      </c>
      <c r="J1442">
        <v>0</v>
      </c>
      <c r="K1442" t="s">
        <v>3786</v>
      </c>
    </row>
    <row r="1443" spans="1:11" x14ac:dyDescent="0.2">
      <c r="A1443" t="str">
        <f>HYPERLINK("https://www.tiwall.com//p/sonatjahannami","سونات جهنمی")</f>
        <v>سونات جهنمی</v>
      </c>
      <c r="B1443">
        <v>80</v>
      </c>
      <c r="C1443" t="s">
        <v>132</v>
      </c>
      <c r="D1443" t="s">
        <v>32</v>
      </c>
      <c r="E1443" t="s">
        <v>303</v>
      </c>
      <c r="F1443" t="s">
        <v>1075</v>
      </c>
      <c r="G1443" t="s">
        <v>3787</v>
      </c>
      <c r="H1443" t="s">
        <v>3788</v>
      </c>
      <c r="I1443">
        <v>4.0999999999999996</v>
      </c>
      <c r="J1443">
        <v>30</v>
      </c>
      <c r="K1443" t="s">
        <v>3789</v>
      </c>
    </row>
    <row r="1444" spans="1:11" x14ac:dyDescent="0.2">
      <c r="A1444" t="str">
        <f>HYPERLINK("https://www.tiwall.com//p/agha.zabih12","آقا ذبیح")</f>
        <v>آقا ذبیح</v>
      </c>
      <c r="B1444">
        <v>100</v>
      </c>
      <c r="C1444" t="s">
        <v>224</v>
      </c>
      <c r="D1444" t="s">
        <v>65</v>
      </c>
      <c r="E1444" t="s">
        <v>26</v>
      </c>
      <c r="F1444" t="s">
        <v>1502</v>
      </c>
      <c r="G1444" t="s">
        <v>3790</v>
      </c>
      <c r="H1444" t="s">
        <v>886</v>
      </c>
      <c r="I1444">
        <v>4.5999999999999996</v>
      </c>
      <c r="J1444">
        <v>7</v>
      </c>
      <c r="K1444" t="s">
        <v>3791</v>
      </c>
    </row>
    <row r="1445" spans="1:11" x14ac:dyDescent="0.2">
      <c r="A1445" t="str">
        <f>HYPERLINK("https://www.tiwall.com//p/shabbekheirmadar5","شب بخیر، مادر")</f>
        <v>شب بخیر، مادر</v>
      </c>
      <c r="B1445">
        <v>70</v>
      </c>
      <c r="C1445" t="s">
        <v>1290</v>
      </c>
      <c r="D1445" t="s">
        <v>470</v>
      </c>
      <c r="E1445" t="s">
        <v>303</v>
      </c>
      <c r="F1445" t="s">
        <v>893</v>
      </c>
      <c r="G1445" t="s">
        <v>3792</v>
      </c>
      <c r="H1445" t="s">
        <v>3793</v>
      </c>
      <c r="I1445">
        <v>3.9</v>
      </c>
      <c r="J1445">
        <v>29</v>
      </c>
      <c r="K1445" t="s">
        <v>3794</v>
      </c>
    </row>
    <row r="1446" spans="1:11" x14ac:dyDescent="0.2">
      <c r="A1446" t="str">
        <f>HYPERLINK("https://www.tiwall.com//p/artesh.farman","ارتش به فرمان من")</f>
        <v>ارتش به فرمان من</v>
      </c>
      <c r="B1446">
        <v>20</v>
      </c>
      <c r="C1446" t="s">
        <v>3247</v>
      </c>
      <c r="D1446" t="s">
        <v>1871</v>
      </c>
      <c r="E1446" t="s">
        <v>235</v>
      </c>
      <c r="F1446" t="s">
        <v>3795</v>
      </c>
      <c r="G1446" t="s">
        <v>3249</v>
      </c>
      <c r="H1446" t="s">
        <v>3796</v>
      </c>
      <c r="I1446">
        <v>0</v>
      </c>
      <c r="J1446">
        <v>0</v>
      </c>
      <c r="K1446" t="s">
        <v>3797</v>
      </c>
    </row>
    <row r="1447" spans="1:11" x14ac:dyDescent="0.2">
      <c r="A1447" t="str">
        <f>HYPERLINK("https://www.tiwall.com//p/daraeit","دارائیت A نامساوی A")</f>
        <v>دارائیت A نامساوی A</v>
      </c>
      <c r="B1447">
        <v>55</v>
      </c>
      <c r="C1447" t="s">
        <v>1290</v>
      </c>
      <c r="D1447" t="s">
        <v>12</v>
      </c>
      <c r="E1447" t="s">
        <v>26</v>
      </c>
      <c r="F1447" t="s">
        <v>3798</v>
      </c>
      <c r="G1447" t="s">
        <v>2589</v>
      </c>
      <c r="H1447" t="s">
        <v>3799</v>
      </c>
      <c r="I1447">
        <v>0</v>
      </c>
      <c r="J1447">
        <v>0</v>
      </c>
      <c r="K1447" t="s">
        <v>3800</v>
      </c>
    </row>
    <row r="1448" spans="1:11" x14ac:dyDescent="0.2">
      <c r="A1448" t="str">
        <f>HYPERLINK("https://www.tiwall.com//p/honarmandbodan","هنرمند بودن یا نبودن مسئله این است")</f>
        <v>هنرمند بودن یا نبودن مسئله این است</v>
      </c>
      <c r="B1448">
        <v>50</v>
      </c>
      <c r="C1448" t="s">
        <v>204</v>
      </c>
      <c r="D1448" t="s">
        <v>146</v>
      </c>
      <c r="E1448" t="s">
        <v>26</v>
      </c>
      <c r="F1448" t="s">
        <v>40</v>
      </c>
      <c r="G1448" t="s">
        <v>3801</v>
      </c>
      <c r="H1448" t="s">
        <v>3801</v>
      </c>
      <c r="I1448">
        <v>3.4</v>
      </c>
      <c r="J1448">
        <v>15</v>
      </c>
      <c r="K1448" t="s">
        <v>3802</v>
      </c>
    </row>
    <row r="1449" spans="1:11" x14ac:dyDescent="0.2">
      <c r="A1449" t="str">
        <f>HYPERLINK("https://www.tiwall.com//p/hayolla.chubi","هیولای چوبی")</f>
        <v>هیولای چوبی</v>
      </c>
      <c r="B1449">
        <v>70</v>
      </c>
      <c r="C1449" t="s">
        <v>204</v>
      </c>
      <c r="D1449" t="s">
        <v>12</v>
      </c>
      <c r="E1449" t="s">
        <v>26</v>
      </c>
      <c r="F1449" t="s">
        <v>2803</v>
      </c>
      <c r="G1449" t="s">
        <v>458</v>
      </c>
      <c r="H1449" t="s">
        <v>3803</v>
      </c>
      <c r="I1449">
        <v>3.9</v>
      </c>
      <c r="J1449">
        <v>59</v>
      </c>
      <c r="K1449" t="s">
        <v>3804</v>
      </c>
    </row>
    <row r="1450" spans="1:11" x14ac:dyDescent="0.2">
      <c r="A1450" t="str">
        <f>HYPERLINK("https://www.tiwall.com//p/shabi.aztehran4","شبی از شب های طهران مسافری")</f>
        <v>شبی از شب های طهران مسافری</v>
      </c>
      <c r="B1450">
        <v>70</v>
      </c>
      <c r="C1450" t="s">
        <v>3805</v>
      </c>
      <c r="D1450" t="s">
        <v>87</v>
      </c>
      <c r="E1450" t="s">
        <v>19</v>
      </c>
      <c r="F1450" t="s">
        <v>3806</v>
      </c>
      <c r="G1450" t="s">
        <v>3807</v>
      </c>
      <c r="H1450" t="s">
        <v>360</v>
      </c>
      <c r="I1450">
        <v>0</v>
      </c>
      <c r="J1450">
        <v>0</v>
      </c>
      <c r="K1450" t="s">
        <v>3808</v>
      </c>
    </row>
    <row r="1451" spans="1:11" x14ac:dyDescent="0.2">
      <c r="A1451" t="str">
        <f>HYPERLINK("https://www.tiwall.com//p/bazimarg","بازی مرگ")</f>
        <v>بازی مرگ</v>
      </c>
      <c r="B1451">
        <v>30</v>
      </c>
      <c r="C1451" t="s">
        <v>56</v>
      </c>
      <c r="D1451" t="s">
        <v>217</v>
      </c>
      <c r="E1451" t="s">
        <v>303</v>
      </c>
      <c r="F1451" t="s">
        <v>3809</v>
      </c>
      <c r="G1451" t="s">
        <v>1127</v>
      </c>
      <c r="H1451" t="s">
        <v>1676</v>
      </c>
      <c r="I1451">
        <v>0</v>
      </c>
      <c r="J1451">
        <v>0</v>
      </c>
      <c r="K1451" t="s">
        <v>3810</v>
      </c>
    </row>
    <row r="1452" spans="1:11" x14ac:dyDescent="0.2">
      <c r="A1452" t="str">
        <f>HYPERLINK("https://www.tiwall.com//p/taxidermy4","تاکسیدرمی")</f>
        <v>تاکسیدرمی</v>
      </c>
      <c r="B1452">
        <v>60</v>
      </c>
      <c r="C1452" t="s">
        <v>1846</v>
      </c>
      <c r="D1452" t="s">
        <v>45</v>
      </c>
      <c r="E1452" t="s">
        <v>19</v>
      </c>
      <c r="F1452" t="s">
        <v>874</v>
      </c>
      <c r="G1452" t="s">
        <v>3811</v>
      </c>
      <c r="H1452" t="s">
        <v>233</v>
      </c>
      <c r="I1452">
        <v>3.4</v>
      </c>
      <c r="J1452">
        <v>5</v>
      </c>
      <c r="K1452" t="s">
        <v>3812</v>
      </c>
    </row>
    <row r="1453" spans="1:11" x14ac:dyDescent="0.2">
      <c r="A1453" t="str">
        <f>HYPERLINK("https://www.tiwall.com//p/saboki4","سبُکی")</f>
        <v>سبُکی</v>
      </c>
      <c r="B1453">
        <v>65</v>
      </c>
      <c r="C1453" t="s">
        <v>24</v>
      </c>
      <c r="D1453" t="s">
        <v>12</v>
      </c>
      <c r="E1453" t="s">
        <v>13</v>
      </c>
      <c r="F1453" t="s">
        <v>27</v>
      </c>
      <c r="G1453" t="s">
        <v>1586</v>
      </c>
      <c r="H1453" t="s">
        <v>1586</v>
      </c>
      <c r="I1453">
        <v>4.0999999999999996</v>
      </c>
      <c r="J1453">
        <v>178</v>
      </c>
      <c r="K1453" t="s">
        <v>3813</v>
      </c>
    </row>
    <row r="1454" spans="1:11" x14ac:dyDescent="0.2">
      <c r="A1454" t="str">
        <f>HYPERLINK("https://www.tiwall.com//p/tazemestan2","سه دقیقه تا زمستان")</f>
        <v>سه دقیقه تا زمستان</v>
      </c>
      <c r="B1454">
        <v>65</v>
      </c>
      <c r="C1454" t="s">
        <v>204</v>
      </c>
      <c r="D1454" t="s">
        <v>65</v>
      </c>
      <c r="E1454" t="s">
        <v>46</v>
      </c>
      <c r="F1454" t="s">
        <v>277</v>
      </c>
      <c r="G1454" t="s">
        <v>458</v>
      </c>
      <c r="H1454" t="s">
        <v>458</v>
      </c>
      <c r="I1454">
        <v>0</v>
      </c>
      <c r="J1454">
        <v>0</v>
      </c>
      <c r="K1454" t="s">
        <v>3814</v>
      </c>
    </row>
    <row r="1455" spans="1:11" x14ac:dyDescent="0.2">
      <c r="A1455" t="str">
        <f>HYPERLINK("https://www.tiwall.com//p/sagesortme2","سگ سورتمه")</f>
        <v>سگ سورتمه</v>
      </c>
      <c r="B1455">
        <v>30</v>
      </c>
      <c r="C1455" t="s">
        <v>369</v>
      </c>
      <c r="D1455" t="s">
        <v>87</v>
      </c>
      <c r="E1455" t="s">
        <v>13</v>
      </c>
      <c r="F1455" t="s">
        <v>1494</v>
      </c>
      <c r="G1455" t="s">
        <v>2309</v>
      </c>
      <c r="H1455" t="s">
        <v>2309</v>
      </c>
      <c r="I1455">
        <v>3.7</v>
      </c>
      <c r="J1455">
        <v>23</v>
      </c>
      <c r="K1455" t="s">
        <v>3815</v>
      </c>
    </row>
    <row r="1456" spans="1:11" x14ac:dyDescent="0.2">
      <c r="A1456" t="str">
        <f>HYPERLINK("https://www.tiwall.com//p/khabbidar","خواب و بیدار")</f>
        <v>خواب و بیدار</v>
      </c>
      <c r="B1456">
        <v>60</v>
      </c>
      <c r="C1456" t="s">
        <v>11</v>
      </c>
      <c r="D1456" t="s">
        <v>146</v>
      </c>
      <c r="E1456" t="s">
        <v>13</v>
      </c>
      <c r="F1456" t="s">
        <v>771</v>
      </c>
      <c r="G1456" t="s">
        <v>3816</v>
      </c>
      <c r="H1456" t="s">
        <v>3816</v>
      </c>
      <c r="I1456">
        <v>0</v>
      </c>
      <c r="J1456">
        <v>0</v>
      </c>
      <c r="K1456" t="s">
        <v>3817</v>
      </c>
    </row>
    <row r="1457" spans="1:11" x14ac:dyDescent="0.2">
      <c r="A1457" t="str">
        <f>HYPERLINK("https://www.tiwall.com//p/bernaba","برنابا")</f>
        <v>برنابا</v>
      </c>
      <c r="B1457">
        <v>45</v>
      </c>
      <c r="C1457" t="s">
        <v>1215</v>
      </c>
      <c r="D1457" t="s">
        <v>217</v>
      </c>
      <c r="E1457" t="s">
        <v>138</v>
      </c>
      <c r="F1457" t="s">
        <v>314</v>
      </c>
      <c r="G1457" t="s">
        <v>2549</v>
      </c>
      <c r="H1457" t="s">
        <v>1989</v>
      </c>
      <c r="I1457">
        <v>0</v>
      </c>
      <c r="J1457">
        <v>0</v>
      </c>
      <c r="K1457" t="s">
        <v>2550</v>
      </c>
    </row>
    <row r="1458" spans="1:11" x14ac:dyDescent="0.2">
      <c r="A1458" t="str">
        <f>HYPERLINK("https://www.tiwall.com//p/chaft2","چَفت")</f>
        <v>چَفت</v>
      </c>
      <c r="B1458">
        <v>80</v>
      </c>
      <c r="C1458" t="s">
        <v>86</v>
      </c>
      <c r="D1458" t="s">
        <v>65</v>
      </c>
      <c r="E1458" t="s">
        <v>88</v>
      </c>
      <c r="F1458" t="s">
        <v>359</v>
      </c>
      <c r="G1458" t="s">
        <v>3184</v>
      </c>
      <c r="H1458" t="s">
        <v>3818</v>
      </c>
      <c r="I1458">
        <v>3.3</v>
      </c>
      <c r="J1458">
        <v>38</v>
      </c>
      <c r="K1458" t="s">
        <v>3819</v>
      </c>
    </row>
    <row r="1459" spans="1:11" x14ac:dyDescent="0.2">
      <c r="A1459" t="str">
        <f>HYPERLINK("https://www.tiwall.com//p/holodomor","هولودومور")</f>
        <v>هولودومور</v>
      </c>
      <c r="B1459">
        <v>40</v>
      </c>
      <c r="C1459" t="s">
        <v>86</v>
      </c>
      <c r="D1459" t="s">
        <v>12</v>
      </c>
      <c r="E1459" t="s">
        <v>71</v>
      </c>
      <c r="F1459" t="s">
        <v>3820</v>
      </c>
      <c r="G1459" t="s">
        <v>1295</v>
      </c>
      <c r="H1459" t="s">
        <v>1296</v>
      </c>
      <c r="I1459">
        <v>3.8</v>
      </c>
      <c r="J1459">
        <v>49</v>
      </c>
      <c r="K1459" t="s">
        <v>3821</v>
      </c>
    </row>
    <row r="1460" spans="1:11" x14ac:dyDescent="0.2">
      <c r="A1460" t="str">
        <f>HYPERLINK("https://www.tiwall.com//p/girl2","دختر")</f>
        <v>دختر</v>
      </c>
      <c r="B1460">
        <v>70</v>
      </c>
      <c r="C1460" t="s">
        <v>24</v>
      </c>
      <c r="D1460" t="s">
        <v>87</v>
      </c>
      <c r="E1460" t="s">
        <v>46</v>
      </c>
      <c r="F1460" t="s">
        <v>3457</v>
      </c>
      <c r="G1460" t="s">
        <v>3289</v>
      </c>
      <c r="H1460" t="s">
        <v>3289</v>
      </c>
      <c r="I1460">
        <v>2.2000000000000002</v>
      </c>
      <c r="J1460">
        <v>5</v>
      </c>
      <c r="K1460" t="s">
        <v>3822</v>
      </c>
    </row>
    <row r="1461" spans="1:11" x14ac:dyDescent="0.2">
      <c r="A1461" t="str">
        <f>HYPERLINK("https://www.tiwall.com//p/synthesis2","سنتز")</f>
        <v>سنتز</v>
      </c>
      <c r="B1461">
        <v>30</v>
      </c>
      <c r="C1461" t="s">
        <v>514</v>
      </c>
      <c r="D1461" t="s">
        <v>12</v>
      </c>
      <c r="E1461" t="s">
        <v>138</v>
      </c>
      <c r="F1461" t="s">
        <v>2406</v>
      </c>
      <c r="G1461" t="s">
        <v>3246</v>
      </c>
      <c r="H1461" t="s">
        <v>3246</v>
      </c>
      <c r="I1461">
        <v>3.9</v>
      </c>
      <c r="J1461">
        <v>29</v>
      </c>
      <c r="K1461" t="s">
        <v>3823</v>
      </c>
    </row>
    <row r="1462" spans="1:11" x14ac:dyDescent="0.2">
      <c r="A1462" t="str">
        <f>HYPERLINK("https://www.tiwall.com//p/ou.kist","او کیست؟")</f>
        <v>او کیست؟</v>
      </c>
      <c r="B1462">
        <v>80</v>
      </c>
      <c r="C1462" t="s">
        <v>56</v>
      </c>
      <c r="D1462" t="s">
        <v>45</v>
      </c>
      <c r="E1462" t="s">
        <v>26</v>
      </c>
      <c r="F1462" t="s">
        <v>195</v>
      </c>
      <c r="G1462" t="s">
        <v>3824</v>
      </c>
      <c r="H1462" t="s">
        <v>3824</v>
      </c>
      <c r="I1462">
        <v>4.2</v>
      </c>
      <c r="J1462">
        <v>32</v>
      </c>
      <c r="K1462" t="s">
        <v>3825</v>
      </c>
    </row>
    <row r="1463" spans="1:11" x14ac:dyDescent="0.2">
      <c r="A1463" t="str">
        <f>HYPERLINK("https://www.tiwall.com//p/zakhmehkohneh","زخم کهنه قبیله من")</f>
        <v>زخم کهنه قبیله من</v>
      </c>
      <c r="B1463">
        <v>60</v>
      </c>
      <c r="C1463" t="s">
        <v>224</v>
      </c>
      <c r="D1463" t="s">
        <v>12</v>
      </c>
      <c r="E1463" t="s">
        <v>71</v>
      </c>
      <c r="F1463" t="s">
        <v>3675</v>
      </c>
      <c r="G1463" t="s">
        <v>3826</v>
      </c>
      <c r="H1463" t="s">
        <v>3827</v>
      </c>
      <c r="I1463">
        <v>0</v>
      </c>
      <c r="J1463">
        <v>0</v>
      </c>
      <c r="K1463" t="s">
        <v>3828</v>
      </c>
    </row>
    <row r="1464" spans="1:11" x14ac:dyDescent="0.2">
      <c r="A1464" t="str">
        <f>HYPERLINK("https://www.tiwall.com//p/makhtome","مختومه")</f>
        <v>مختومه</v>
      </c>
      <c r="B1464">
        <v>60</v>
      </c>
      <c r="C1464" t="s">
        <v>180</v>
      </c>
      <c r="D1464" t="s">
        <v>12</v>
      </c>
      <c r="E1464" t="s">
        <v>26</v>
      </c>
      <c r="F1464" t="s">
        <v>2315</v>
      </c>
      <c r="G1464" t="s">
        <v>3829</v>
      </c>
      <c r="H1464" t="s">
        <v>608</v>
      </c>
      <c r="I1464">
        <v>3.2</v>
      </c>
      <c r="J1464">
        <v>27</v>
      </c>
      <c r="K1464" t="s">
        <v>3830</v>
      </c>
    </row>
    <row r="1465" spans="1:11" x14ac:dyDescent="0.2">
      <c r="A1465" t="str">
        <f>HYPERLINK("https://www.tiwall.com//p/donafar","جز آن دو نفر هیچکس باقی نمی‌ماند")</f>
        <v>جز آن دو نفر هیچکس باقی نمی‌ماند</v>
      </c>
      <c r="B1465">
        <v>45</v>
      </c>
      <c r="C1465" t="s">
        <v>86</v>
      </c>
      <c r="D1465" t="s">
        <v>87</v>
      </c>
      <c r="E1465" t="s">
        <v>71</v>
      </c>
      <c r="F1465" t="s">
        <v>668</v>
      </c>
      <c r="G1465" t="s">
        <v>3413</v>
      </c>
      <c r="H1465" t="s">
        <v>3831</v>
      </c>
      <c r="I1465">
        <v>3.1</v>
      </c>
      <c r="J1465">
        <v>16</v>
      </c>
      <c r="K1465" t="s">
        <v>3832</v>
      </c>
    </row>
    <row r="1466" spans="1:11" x14ac:dyDescent="0.2">
      <c r="A1466" t="str">
        <f>HYPERLINK("https://www.tiwall.com//p/aseman.paris2","زیر آسمان پاریس")</f>
        <v>زیر آسمان پاریس</v>
      </c>
      <c r="B1466">
        <v>40</v>
      </c>
      <c r="C1466" t="s">
        <v>64</v>
      </c>
      <c r="D1466" t="s">
        <v>12</v>
      </c>
      <c r="E1466" t="s">
        <v>13</v>
      </c>
      <c r="F1466" t="s">
        <v>3833</v>
      </c>
      <c r="G1466" t="s">
        <v>2395</v>
      </c>
      <c r="H1466" t="s">
        <v>2395</v>
      </c>
      <c r="I1466">
        <v>0</v>
      </c>
      <c r="J1466">
        <v>0</v>
      </c>
      <c r="K1466" t="s">
        <v>3834</v>
      </c>
    </row>
    <row r="1467" spans="1:11" x14ac:dyDescent="0.2">
      <c r="A1467" t="str">
        <f>HYPERLINK("https://www.tiwall.com//p/doostankomodi","دوستان کُمُدی")</f>
        <v>دوستان کُمُدی</v>
      </c>
      <c r="B1467">
        <v>30</v>
      </c>
      <c r="C1467" t="s">
        <v>369</v>
      </c>
      <c r="D1467" t="s">
        <v>87</v>
      </c>
      <c r="E1467" t="s">
        <v>19</v>
      </c>
      <c r="F1467" t="s">
        <v>3835</v>
      </c>
      <c r="G1467" t="s">
        <v>3836</v>
      </c>
      <c r="H1467" t="s">
        <v>2690</v>
      </c>
      <c r="I1467">
        <v>3.5</v>
      </c>
      <c r="J1467">
        <v>45</v>
      </c>
      <c r="K1467" t="s">
        <v>3837</v>
      </c>
    </row>
    <row r="1468" spans="1:11" x14ac:dyDescent="0.2">
      <c r="A1468" t="str">
        <f>HYPERLINK("https://www.tiwall.com//p/cherigles","چریگلس")</f>
        <v>چریگلس</v>
      </c>
      <c r="B1468">
        <v>60</v>
      </c>
      <c r="C1468" t="s">
        <v>11</v>
      </c>
      <c r="D1468" t="s">
        <v>384</v>
      </c>
      <c r="E1468" t="s">
        <v>13</v>
      </c>
      <c r="F1468" t="s">
        <v>1772</v>
      </c>
      <c r="G1468" t="s">
        <v>3838</v>
      </c>
      <c r="H1468" t="s">
        <v>3838</v>
      </c>
      <c r="I1468">
        <v>3.3</v>
      </c>
      <c r="J1468">
        <v>6</v>
      </c>
      <c r="K1468" t="s">
        <v>3839</v>
      </c>
    </row>
    <row r="1469" spans="1:11" x14ac:dyDescent="0.2">
      <c r="A1469" t="str">
        <f>HYPERLINK("https://www.tiwall.com//p/mansour.jonobi","مستقیم ته منصور جنوبی")</f>
        <v>مستقیم ته منصور جنوبی</v>
      </c>
      <c r="B1469">
        <v>40</v>
      </c>
      <c r="C1469" t="s">
        <v>262</v>
      </c>
      <c r="D1469" t="s">
        <v>280</v>
      </c>
      <c r="E1469" t="s">
        <v>71</v>
      </c>
      <c r="F1469" t="s">
        <v>191</v>
      </c>
      <c r="G1469" t="s">
        <v>999</v>
      </c>
      <c r="H1469" t="s">
        <v>1726</v>
      </c>
      <c r="I1469">
        <v>3.5</v>
      </c>
      <c r="J1469">
        <v>12</v>
      </c>
      <c r="K1469" t="s">
        <v>3840</v>
      </c>
    </row>
    <row r="1470" spans="1:11" x14ac:dyDescent="0.2">
      <c r="A1470" t="str">
        <f>HYPERLINK("https://www.tiwall.com//p/beautifoultie","کروات زیبا")</f>
        <v>کروات زیبا</v>
      </c>
      <c r="B1470">
        <v>45</v>
      </c>
      <c r="C1470" t="s">
        <v>103</v>
      </c>
      <c r="D1470" t="s">
        <v>12</v>
      </c>
      <c r="E1470" t="s">
        <v>46</v>
      </c>
      <c r="F1470" t="s">
        <v>314</v>
      </c>
      <c r="G1470" t="s">
        <v>2882</v>
      </c>
      <c r="H1470" t="s">
        <v>1381</v>
      </c>
      <c r="I1470">
        <v>0</v>
      </c>
      <c r="J1470">
        <v>0</v>
      </c>
      <c r="K1470" t="s">
        <v>3841</v>
      </c>
    </row>
    <row r="1471" spans="1:11" x14ac:dyDescent="0.2">
      <c r="A1471" t="str">
        <f>HYPERLINK("https://www.tiwall.com//p/goraz","گراز")</f>
        <v>گراز</v>
      </c>
      <c r="B1471">
        <v>50</v>
      </c>
      <c r="C1471" t="s">
        <v>103</v>
      </c>
      <c r="D1471" t="s">
        <v>217</v>
      </c>
      <c r="E1471" t="s">
        <v>46</v>
      </c>
      <c r="F1471" t="s">
        <v>2018</v>
      </c>
      <c r="G1471" t="s">
        <v>3842</v>
      </c>
      <c r="H1471" t="s">
        <v>3842</v>
      </c>
      <c r="I1471">
        <v>0</v>
      </c>
      <c r="J1471">
        <v>0</v>
      </c>
      <c r="K1471" t="s">
        <v>3843</v>
      </c>
    </row>
    <row r="1472" spans="1:11" x14ac:dyDescent="0.2">
      <c r="A1472" t="str">
        <f>HYPERLINK("https://www.tiwall.com//p/aba","آبا")</f>
        <v>آبا</v>
      </c>
      <c r="B1472">
        <v>40</v>
      </c>
      <c r="C1472" t="s">
        <v>514</v>
      </c>
      <c r="D1472" t="s">
        <v>32</v>
      </c>
      <c r="E1472" t="s">
        <v>138</v>
      </c>
      <c r="F1472" t="s">
        <v>2597</v>
      </c>
      <c r="G1472" t="s">
        <v>3844</v>
      </c>
      <c r="H1472" t="s">
        <v>3844</v>
      </c>
      <c r="I1472">
        <v>3.7</v>
      </c>
      <c r="J1472">
        <v>15</v>
      </c>
      <c r="K1472" t="s">
        <v>3844</v>
      </c>
    </row>
    <row r="1473" spans="1:11" x14ac:dyDescent="0.2">
      <c r="A1473" t="str">
        <f>HYPERLINK("https://www.tiwall.com//p/afsanehgholeidoun","افسانه قلیدون")</f>
        <v>افسانه قلیدون</v>
      </c>
      <c r="B1473">
        <v>60</v>
      </c>
      <c r="C1473" t="s">
        <v>2596</v>
      </c>
      <c r="D1473" t="s">
        <v>12</v>
      </c>
      <c r="E1473" t="s">
        <v>303</v>
      </c>
      <c r="F1473" t="s">
        <v>449</v>
      </c>
      <c r="G1473" t="s">
        <v>2598</v>
      </c>
      <c r="H1473" t="s">
        <v>2598</v>
      </c>
      <c r="I1473">
        <v>0</v>
      </c>
      <c r="J1473">
        <v>0</v>
      </c>
      <c r="K1473" t="s">
        <v>3845</v>
      </c>
    </row>
    <row r="1474" spans="1:11" x14ac:dyDescent="0.2">
      <c r="A1474" t="str">
        <f>HYPERLINK("https://www.tiwall.com//p/nemidanest","فقط او نمی دانست")</f>
        <v>فقط او نمی دانست</v>
      </c>
      <c r="B1474">
        <v>70</v>
      </c>
      <c r="C1474" t="s">
        <v>224</v>
      </c>
      <c r="D1474" t="s">
        <v>65</v>
      </c>
      <c r="E1474" t="s">
        <v>138</v>
      </c>
      <c r="F1474" t="s">
        <v>1354</v>
      </c>
      <c r="G1474" t="s">
        <v>3846</v>
      </c>
      <c r="H1474" t="s">
        <v>3847</v>
      </c>
      <c r="I1474">
        <v>0</v>
      </c>
      <c r="J1474">
        <v>0</v>
      </c>
      <c r="K1474" t="s">
        <v>3848</v>
      </c>
    </row>
    <row r="1475" spans="1:11" x14ac:dyDescent="0.2">
      <c r="A1475" t="str">
        <f>HYPERLINK("https://www.tiwall.com//p/shagheyekhun3","شقه خون")</f>
        <v>شقه خون</v>
      </c>
      <c r="B1475">
        <v>100</v>
      </c>
      <c r="C1475" t="s">
        <v>3088</v>
      </c>
      <c r="D1475" t="s">
        <v>280</v>
      </c>
      <c r="E1475" t="s">
        <v>13</v>
      </c>
      <c r="F1475" t="s">
        <v>209</v>
      </c>
      <c r="G1475" t="s">
        <v>894</v>
      </c>
      <c r="H1475" t="s">
        <v>895</v>
      </c>
      <c r="I1475">
        <v>3.8</v>
      </c>
      <c r="J1475">
        <v>19</v>
      </c>
      <c r="K1475" t="s">
        <v>3849</v>
      </c>
    </row>
    <row r="1476" spans="1:11" x14ac:dyDescent="0.2">
      <c r="A1476" t="str">
        <f>HYPERLINK("https://www.tiwall.com//p/biajolotar5","بیا جلوتر")</f>
        <v>بیا جلوتر</v>
      </c>
      <c r="B1476">
        <v>55</v>
      </c>
      <c r="C1476" t="s">
        <v>11</v>
      </c>
      <c r="D1476" t="s">
        <v>45</v>
      </c>
      <c r="E1476" t="s">
        <v>138</v>
      </c>
      <c r="F1476" t="s">
        <v>2311</v>
      </c>
      <c r="G1476" t="s">
        <v>3657</v>
      </c>
      <c r="H1476" t="s">
        <v>3850</v>
      </c>
      <c r="I1476">
        <v>3.1</v>
      </c>
      <c r="J1476">
        <v>7</v>
      </c>
      <c r="K1476" t="s">
        <v>3851</v>
      </c>
    </row>
    <row r="1477" spans="1:11" x14ac:dyDescent="0.2">
      <c r="A1477" t="str">
        <f>HYPERLINK("https://www.tiwall.com//p/aquarium2","آکواریوم")</f>
        <v>آکواریوم</v>
      </c>
      <c r="B1477">
        <v>35</v>
      </c>
      <c r="C1477" t="s">
        <v>44</v>
      </c>
      <c r="D1477" t="s">
        <v>65</v>
      </c>
      <c r="E1477" t="s">
        <v>13</v>
      </c>
      <c r="F1477" t="s">
        <v>1889</v>
      </c>
      <c r="G1477" t="s">
        <v>3852</v>
      </c>
      <c r="H1477" t="s">
        <v>3853</v>
      </c>
      <c r="I1477">
        <v>0</v>
      </c>
      <c r="J1477">
        <v>0</v>
      </c>
      <c r="K1477" t="s">
        <v>3854</v>
      </c>
    </row>
    <row r="1478" spans="1:11" x14ac:dyDescent="0.2">
      <c r="A1478" t="str">
        <f>HYPERLINK("https://www.tiwall.com//p/dilalel","دیلالل")</f>
        <v>دیلالل</v>
      </c>
      <c r="B1478">
        <v>70</v>
      </c>
      <c r="C1478" t="s">
        <v>51</v>
      </c>
      <c r="D1478" t="s">
        <v>280</v>
      </c>
      <c r="E1478" t="s">
        <v>26</v>
      </c>
      <c r="F1478" t="s">
        <v>829</v>
      </c>
      <c r="G1478" t="s">
        <v>3855</v>
      </c>
      <c r="H1478" t="s">
        <v>3856</v>
      </c>
      <c r="I1478">
        <v>3.6</v>
      </c>
      <c r="J1478">
        <v>12</v>
      </c>
      <c r="K1478" t="s">
        <v>3857</v>
      </c>
    </row>
    <row r="1479" spans="1:11" x14ac:dyDescent="0.2">
      <c r="A1479" t="str">
        <f>HYPERLINK("https://www.tiwall.com//p/picnic5","پیک نیک در میدان جنگ")</f>
        <v>پیک نیک در میدان جنگ</v>
      </c>
      <c r="B1479">
        <v>30</v>
      </c>
      <c r="C1479" t="s">
        <v>3858</v>
      </c>
      <c r="D1479" t="s">
        <v>12</v>
      </c>
      <c r="E1479" t="s">
        <v>235</v>
      </c>
      <c r="F1479" t="s">
        <v>3859</v>
      </c>
      <c r="G1479" t="s">
        <v>3860</v>
      </c>
      <c r="H1479" t="s">
        <v>2728</v>
      </c>
      <c r="I1479">
        <v>0</v>
      </c>
      <c r="J1479">
        <v>0</v>
      </c>
      <c r="K1479" t="s">
        <v>3861</v>
      </c>
    </row>
    <row r="1480" spans="1:11" x14ac:dyDescent="0.2">
      <c r="A1480" t="str">
        <f>HYPERLINK("https://www.tiwall.com//p/khanevadeh.nariman2","خانواده آقای نریمان")</f>
        <v>خانواده آقای نریمان</v>
      </c>
      <c r="B1480">
        <v>100</v>
      </c>
      <c r="C1480" t="s">
        <v>3862</v>
      </c>
      <c r="D1480" t="s">
        <v>12</v>
      </c>
      <c r="E1480" t="s">
        <v>26</v>
      </c>
      <c r="F1480" t="s">
        <v>906</v>
      </c>
      <c r="G1480" t="s">
        <v>3863</v>
      </c>
      <c r="H1480" t="s">
        <v>3863</v>
      </c>
      <c r="I1480">
        <v>0</v>
      </c>
      <c r="J1480">
        <v>0</v>
      </c>
      <c r="K1480" t="s">
        <v>3864</v>
      </c>
    </row>
    <row r="1481" spans="1:11" x14ac:dyDescent="0.2">
      <c r="A1481" t="str">
        <f>HYPERLINK("https://www.tiwall.com//p/vahamishepayiz","و همیشه پاییز")</f>
        <v>و همیشه پاییز</v>
      </c>
      <c r="B1481">
        <v>30</v>
      </c>
      <c r="C1481" t="s">
        <v>369</v>
      </c>
      <c r="D1481" t="s">
        <v>87</v>
      </c>
      <c r="E1481" t="s">
        <v>13</v>
      </c>
      <c r="F1481" t="s">
        <v>2784</v>
      </c>
      <c r="G1481" t="s">
        <v>2290</v>
      </c>
      <c r="H1481" t="s">
        <v>2290</v>
      </c>
      <c r="I1481">
        <v>2.8</v>
      </c>
      <c r="J1481">
        <v>8</v>
      </c>
      <c r="K1481" t="s">
        <v>3865</v>
      </c>
    </row>
    <row r="1482" spans="1:11" x14ac:dyDescent="0.2">
      <c r="A1482" t="str">
        <f>HYPERLINK("https://www.tiwall.com//p/azkhabbargashteh","از خواب برگشته")</f>
        <v>از خواب برگشته</v>
      </c>
      <c r="B1482">
        <v>60</v>
      </c>
      <c r="C1482" t="s">
        <v>129</v>
      </c>
      <c r="D1482" t="s">
        <v>384</v>
      </c>
      <c r="E1482" t="s">
        <v>208</v>
      </c>
      <c r="F1482" t="s">
        <v>3866</v>
      </c>
      <c r="G1482" t="s">
        <v>3867</v>
      </c>
      <c r="H1482" t="s">
        <v>3867</v>
      </c>
      <c r="I1482">
        <v>0</v>
      </c>
      <c r="J1482">
        <v>0</v>
      </c>
      <c r="K1482" t="s">
        <v>3868</v>
      </c>
    </row>
    <row r="1483" spans="1:11" x14ac:dyDescent="0.2">
      <c r="A1483" t="str">
        <f>HYPERLINK("https://www.tiwall.com//p/del.larzeh","دل لرزه")</f>
        <v>دل لرزه</v>
      </c>
      <c r="B1483">
        <v>50</v>
      </c>
      <c r="C1483" t="s">
        <v>1704</v>
      </c>
      <c r="D1483" t="s">
        <v>65</v>
      </c>
      <c r="E1483" t="s">
        <v>26</v>
      </c>
      <c r="F1483" t="s">
        <v>778</v>
      </c>
      <c r="G1483" t="s">
        <v>3028</v>
      </c>
      <c r="H1483" t="s">
        <v>1041</v>
      </c>
      <c r="I1483">
        <v>0</v>
      </c>
      <c r="J1483">
        <v>0</v>
      </c>
      <c r="K1483" t="s">
        <v>3869</v>
      </c>
    </row>
    <row r="1484" spans="1:11" x14ac:dyDescent="0.2">
      <c r="A1484" t="str">
        <f>HYPERLINK("https://www.tiwall.com//p/pahayehderaz2","پاهای آدم چقدر میتونه دراز باشه؟!")</f>
        <v>پاهای آدم چقدر میتونه دراز باشه؟!</v>
      </c>
      <c r="B1484">
        <v>100</v>
      </c>
      <c r="C1484" t="s">
        <v>262</v>
      </c>
      <c r="D1484" t="s">
        <v>32</v>
      </c>
      <c r="E1484" t="s">
        <v>175</v>
      </c>
      <c r="F1484" t="s">
        <v>1388</v>
      </c>
      <c r="G1484" t="s">
        <v>1551</v>
      </c>
      <c r="H1484" t="s">
        <v>1551</v>
      </c>
      <c r="I1484">
        <v>4</v>
      </c>
      <c r="J1484">
        <v>29</v>
      </c>
      <c r="K1484" t="s">
        <v>3870</v>
      </c>
    </row>
    <row r="1485" spans="1:11" x14ac:dyDescent="0.2">
      <c r="A1485" t="str">
        <f>HYPERLINK("https://www.tiwall.com//p/ofelia6","افلیاسیون")</f>
        <v>افلیاسیون</v>
      </c>
      <c r="B1485">
        <v>60</v>
      </c>
      <c r="C1485" t="s">
        <v>11</v>
      </c>
      <c r="D1485" t="s">
        <v>146</v>
      </c>
      <c r="E1485" t="s">
        <v>138</v>
      </c>
      <c r="F1485" t="s">
        <v>560</v>
      </c>
      <c r="G1485" t="s">
        <v>3871</v>
      </c>
      <c r="H1485" t="s">
        <v>2579</v>
      </c>
      <c r="I1485">
        <v>3.1</v>
      </c>
      <c r="J1485">
        <v>11</v>
      </c>
      <c r="K1485" t="s">
        <v>3872</v>
      </c>
    </row>
    <row r="1486" spans="1:11" x14ac:dyDescent="0.2">
      <c r="A1486" t="str">
        <f>HYPERLINK("https://www.tiwall.com//p/ahl.hava","اهل هوا")</f>
        <v>اهل هوا</v>
      </c>
      <c r="B1486">
        <v>80</v>
      </c>
      <c r="C1486" t="s">
        <v>86</v>
      </c>
      <c r="D1486" t="s">
        <v>280</v>
      </c>
      <c r="E1486" t="s">
        <v>88</v>
      </c>
      <c r="F1486" t="s">
        <v>195</v>
      </c>
      <c r="G1486" t="s">
        <v>2758</v>
      </c>
      <c r="H1486" t="s">
        <v>2759</v>
      </c>
      <c r="I1486">
        <v>3.6</v>
      </c>
      <c r="J1486">
        <v>32</v>
      </c>
      <c r="K1486" t="s">
        <v>3873</v>
      </c>
    </row>
    <row r="1487" spans="1:11" x14ac:dyDescent="0.2">
      <c r="A1487" t="str">
        <f>HYPERLINK("https://www.tiwall.com//p/seasickness4","دریازدگی")</f>
        <v>دریازدگی</v>
      </c>
      <c r="B1487">
        <v>45</v>
      </c>
      <c r="C1487" t="s">
        <v>180</v>
      </c>
      <c r="D1487" t="s">
        <v>32</v>
      </c>
      <c r="E1487" t="s">
        <v>13</v>
      </c>
      <c r="F1487" t="s">
        <v>3874</v>
      </c>
      <c r="G1487" t="s">
        <v>3875</v>
      </c>
      <c r="H1487" t="s">
        <v>1128</v>
      </c>
      <c r="I1487">
        <v>3.9</v>
      </c>
      <c r="J1487">
        <v>13</v>
      </c>
      <c r="K1487" t="s">
        <v>3876</v>
      </c>
    </row>
    <row r="1488" spans="1:11" x14ac:dyDescent="0.2">
      <c r="A1488" t="str">
        <f>HYPERLINK("https://www.tiwall.com//p/marg3","مرگ")</f>
        <v>مرگ</v>
      </c>
      <c r="B1488">
        <v>35</v>
      </c>
      <c r="C1488" t="s">
        <v>121</v>
      </c>
      <c r="D1488" t="s">
        <v>12</v>
      </c>
      <c r="E1488" t="s">
        <v>13</v>
      </c>
      <c r="F1488" t="s">
        <v>610</v>
      </c>
      <c r="G1488" t="s">
        <v>2576</v>
      </c>
      <c r="H1488" t="s">
        <v>1073</v>
      </c>
      <c r="I1488">
        <v>0</v>
      </c>
      <c r="J1488">
        <v>0</v>
      </c>
      <c r="K1488" t="s">
        <v>3877</v>
      </c>
    </row>
    <row r="1489" spans="1:11" x14ac:dyDescent="0.2">
      <c r="A1489" t="str">
        <f>HYPERLINK("https://www.tiwall.com//p/yerma8","شب / خارجی / یرما")</f>
        <v>شب / خارجی / یرما</v>
      </c>
      <c r="B1489">
        <v>30</v>
      </c>
      <c r="C1489" t="s">
        <v>369</v>
      </c>
      <c r="D1489" t="s">
        <v>87</v>
      </c>
      <c r="E1489" t="s">
        <v>71</v>
      </c>
      <c r="F1489" t="s">
        <v>1997</v>
      </c>
      <c r="G1489" t="s">
        <v>3878</v>
      </c>
      <c r="H1489" t="s">
        <v>447</v>
      </c>
      <c r="I1489">
        <v>3.5</v>
      </c>
      <c r="J1489">
        <v>28</v>
      </c>
      <c r="K1489" t="s">
        <v>3879</v>
      </c>
    </row>
    <row r="1490" spans="1:11" x14ac:dyDescent="0.2">
      <c r="A1490" t="str">
        <f>HYPERLINK("https://www.tiwall.com//p/na.irtamasha","نَه")</f>
        <v>نَه</v>
      </c>
      <c r="B1490">
        <v>30</v>
      </c>
      <c r="C1490" t="s">
        <v>1281</v>
      </c>
      <c r="D1490" t="s">
        <v>45</v>
      </c>
      <c r="E1490" t="s">
        <v>13</v>
      </c>
      <c r="F1490" t="s">
        <v>897</v>
      </c>
      <c r="G1490" t="s">
        <v>3880</v>
      </c>
      <c r="H1490" t="s">
        <v>3880</v>
      </c>
      <c r="I1490">
        <v>0</v>
      </c>
      <c r="J1490">
        <v>0</v>
      </c>
      <c r="K1490" t="s">
        <v>3881</v>
      </c>
    </row>
    <row r="1491" spans="1:11" x14ac:dyDescent="0.2">
      <c r="A1491" t="str">
        <f>HYPERLINK("https://www.tiwall.com//p/ramkardanezanesarkesh4","رام کردن زن سرکش")</f>
        <v>رام کردن زن سرکش</v>
      </c>
      <c r="B1491">
        <v>50</v>
      </c>
      <c r="C1491" t="s">
        <v>199</v>
      </c>
      <c r="D1491" t="s">
        <v>25</v>
      </c>
      <c r="E1491" t="s">
        <v>175</v>
      </c>
      <c r="F1491" t="s">
        <v>1197</v>
      </c>
      <c r="G1491" t="s">
        <v>1461</v>
      </c>
      <c r="H1491" t="s">
        <v>283</v>
      </c>
      <c r="I1491">
        <v>0</v>
      </c>
      <c r="J1491">
        <v>0</v>
      </c>
      <c r="K1491" t="s">
        <v>3882</v>
      </c>
    </row>
    <row r="1492" spans="1:11" x14ac:dyDescent="0.2">
      <c r="A1492" t="str">
        <f>HYPERLINK("https://www.tiwall.com//p/armageddon","آرماگدون ۲۰۶۰")</f>
        <v>آرماگدون ۲۰۶۰</v>
      </c>
      <c r="B1492">
        <v>100</v>
      </c>
      <c r="C1492" t="s">
        <v>3883</v>
      </c>
      <c r="D1492" t="s">
        <v>25</v>
      </c>
      <c r="E1492" t="s">
        <v>19</v>
      </c>
      <c r="F1492" t="s">
        <v>760</v>
      </c>
      <c r="G1492" t="s">
        <v>3884</v>
      </c>
      <c r="H1492" t="s">
        <v>3884</v>
      </c>
      <c r="I1492">
        <v>0</v>
      </c>
      <c r="J1492">
        <v>0</v>
      </c>
      <c r="K1492" t="s">
        <v>3885</v>
      </c>
    </row>
    <row r="1493" spans="1:11" x14ac:dyDescent="0.2">
      <c r="A1493" t="str">
        <f>HYPERLINK("https://www.tiwall.com//p/babaadam","بابا آدم")</f>
        <v>بابا آدم</v>
      </c>
      <c r="B1493">
        <v>40</v>
      </c>
      <c r="C1493" t="s">
        <v>358</v>
      </c>
      <c r="D1493" t="s">
        <v>32</v>
      </c>
      <c r="E1493" t="s">
        <v>19</v>
      </c>
      <c r="F1493" t="s">
        <v>2406</v>
      </c>
      <c r="G1493" t="s">
        <v>773</v>
      </c>
      <c r="H1493" t="s">
        <v>773</v>
      </c>
      <c r="I1493">
        <v>3.6</v>
      </c>
      <c r="J1493">
        <v>22</v>
      </c>
      <c r="K1493" t="s">
        <v>3886</v>
      </c>
    </row>
    <row r="1494" spans="1:11" x14ac:dyDescent="0.2">
      <c r="A1494" t="str">
        <f>HYPERLINK("https://www.tiwall.com//p/pezesht","پزشت")</f>
        <v>پزشت</v>
      </c>
      <c r="B1494">
        <v>70</v>
      </c>
      <c r="C1494" t="s">
        <v>501</v>
      </c>
      <c r="D1494" t="s">
        <v>65</v>
      </c>
      <c r="E1494" t="s">
        <v>26</v>
      </c>
      <c r="F1494" t="s">
        <v>829</v>
      </c>
      <c r="G1494" t="s">
        <v>3887</v>
      </c>
      <c r="H1494" t="s">
        <v>3887</v>
      </c>
      <c r="I1494">
        <v>0</v>
      </c>
      <c r="J1494">
        <v>0</v>
      </c>
      <c r="K1494" t="s">
        <v>3888</v>
      </c>
    </row>
    <row r="1495" spans="1:11" x14ac:dyDescent="0.2">
      <c r="A1495" t="str">
        <f>HYPERLINK("https://www.tiwall.com//p/haftsang","هفت‌سنگ دانته")</f>
        <v>هفت‌سنگ دانته</v>
      </c>
      <c r="B1495">
        <v>80</v>
      </c>
      <c r="C1495" t="s">
        <v>501</v>
      </c>
      <c r="D1495" t="s">
        <v>87</v>
      </c>
      <c r="E1495" t="s">
        <v>13</v>
      </c>
      <c r="F1495" t="s">
        <v>3889</v>
      </c>
      <c r="G1495" t="s">
        <v>2639</v>
      </c>
      <c r="H1495" t="s">
        <v>2639</v>
      </c>
      <c r="I1495">
        <v>4</v>
      </c>
      <c r="J1495">
        <v>9</v>
      </c>
      <c r="K1495" t="s">
        <v>3890</v>
      </c>
    </row>
    <row r="1496" spans="1:11" x14ac:dyDescent="0.2">
      <c r="A1496" t="str">
        <f>HYPERLINK("https://www.tiwall.com//p/mahkomedam","محکوم به اعدام")</f>
        <v>محکوم به اعدام</v>
      </c>
      <c r="B1496">
        <v>30</v>
      </c>
      <c r="C1496" t="s">
        <v>3891</v>
      </c>
      <c r="D1496" t="s">
        <v>146</v>
      </c>
      <c r="E1496" t="s">
        <v>46</v>
      </c>
      <c r="F1496" t="s">
        <v>3892</v>
      </c>
      <c r="G1496" t="s">
        <v>3893</v>
      </c>
      <c r="H1496" t="s">
        <v>3893</v>
      </c>
      <c r="I1496">
        <v>0</v>
      </c>
      <c r="J1496">
        <v>0</v>
      </c>
      <c r="K1496" t="s">
        <v>3894</v>
      </c>
    </row>
    <row r="1497" spans="1:11" x14ac:dyDescent="0.2">
      <c r="A1497" t="str">
        <f>HYPERLINK("https://www.tiwall.com//p/chshmnemidid4","کاش چِشَم نمی‌دید")</f>
        <v>کاش چِشَم نمی‌دید</v>
      </c>
      <c r="B1497">
        <v>80</v>
      </c>
      <c r="C1497" t="s">
        <v>11</v>
      </c>
      <c r="D1497" t="s">
        <v>65</v>
      </c>
      <c r="E1497" t="s">
        <v>138</v>
      </c>
      <c r="F1497" t="s">
        <v>57</v>
      </c>
      <c r="G1497" t="s">
        <v>886</v>
      </c>
      <c r="H1497" t="s">
        <v>3895</v>
      </c>
      <c r="I1497">
        <v>0</v>
      </c>
      <c r="J1497">
        <v>0</v>
      </c>
      <c r="K1497" t="s">
        <v>3896</v>
      </c>
    </row>
    <row r="1498" spans="1:11" x14ac:dyDescent="0.2">
      <c r="A1498" t="str">
        <f>HYPERLINK("https://www.tiwall.com//p/tazad","تضاد")</f>
        <v>تضاد</v>
      </c>
      <c r="B1498">
        <v>55</v>
      </c>
      <c r="C1498" t="s">
        <v>24</v>
      </c>
      <c r="D1498" t="s">
        <v>32</v>
      </c>
      <c r="E1498" t="s">
        <v>13</v>
      </c>
      <c r="F1498" t="s">
        <v>449</v>
      </c>
      <c r="G1498" t="s">
        <v>3897</v>
      </c>
      <c r="H1498" t="s">
        <v>3897</v>
      </c>
      <c r="I1498">
        <v>4.3</v>
      </c>
      <c r="J1498">
        <v>13</v>
      </c>
      <c r="K1498" t="s">
        <v>3898</v>
      </c>
    </row>
    <row r="1499" spans="1:11" x14ac:dyDescent="0.2">
      <c r="A1499" t="str">
        <f>HYPERLINK("https://www.tiwall.com//p/kalin","کلین")</f>
        <v>کلین</v>
      </c>
      <c r="B1499">
        <v>25</v>
      </c>
      <c r="C1499" t="s">
        <v>383</v>
      </c>
      <c r="D1499" t="s">
        <v>25</v>
      </c>
      <c r="E1499" t="s">
        <v>138</v>
      </c>
      <c r="F1499" t="s">
        <v>3899</v>
      </c>
      <c r="G1499" t="s">
        <v>3900</v>
      </c>
      <c r="H1499" t="s">
        <v>3900</v>
      </c>
      <c r="I1499">
        <v>0</v>
      </c>
      <c r="J1499">
        <v>0</v>
      </c>
      <c r="K1499" t="s">
        <v>3900</v>
      </c>
    </row>
    <row r="1500" spans="1:11" x14ac:dyDescent="0.2">
      <c r="A1500" t="str">
        <f>HYPERLINK("https://www.tiwall.com//p/ritalin","ریتالین")</f>
        <v>ریتالین</v>
      </c>
      <c r="B1500">
        <v>80</v>
      </c>
      <c r="C1500" t="s">
        <v>56</v>
      </c>
      <c r="D1500" t="s">
        <v>45</v>
      </c>
      <c r="E1500" t="s">
        <v>13</v>
      </c>
      <c r="F1500" t="s">
        <v>270</v>
      </c>
      <c r="G1500" t="s">
        <v>58</v>
      </c>
      <c r="H1500" t="s">
        <v>3901</v>
      </c>
      <c r="I1500">
        <v>4.0999999999999996</v>
      </c>
      <c r="J1500">
        <v>9</v>
      </c>
      <c r="K1500" t="s">
        <v>3902</v>
      </c>
    </row>
    <row r="1501" spans="1:11" x14ac:dyDescent="0.2">
      <c r="A1501" t="str">
        <f>HYPERLINK("https://www.tiwall.com//p/chaghoyedamkarde2","چاقوی دم کرده‌ی شب")</f>
        <v>چاقوی دم کرده‌ی شب</v>
      </c>
      <c r="B1501">
        <v>30</v>
      </c>
      <c r="C1501" t="s">
        <v>1846</v>
      </c>
      <c r="D1501" t="s">
        <v>87</v>
      </c>
      <c r="E1501" t="s">
        <v>46</v>
      </c>
      <c r="F1501" t="s">
        <v>2056</v>
      </c>
      <c r="G1501" t="s">
        <v>1848</v>
      </c>
      <c r="H1501" t="s">
        <v>330</v>
      </c>
      <c r="I1501">
        <v>0</v>
      </c>
      <c r="J1501">
        <v>0</v>
      </c>
      <c r="K1501" t="s">
        <v>3903</v>
      </c>
    </row>
    <row r="1502" spans="1:11" x14ac:dyDescent="0.2">
      <c r="A1502" t="str">
        <f>HYPERLINK("https://www.tiwall.com//p/shaamkhodahafezi2","شام خداحافظی")</f>
        <v>شام خداحافظی</v>
      </c>
      <c r="B1502">
        <v>120</v>
      </c>
      <c r="C1502" t="s">
        <v>60</v>
      </c>
      <c r="D1502" t="s">
        <v>265</v>
      </c>
      <c r="E1502" t="s">
        <v>71</v>
      </c>
      <c r="F1502" t="s">
        <v>329</v>
      </c>
      <c r="G1502" t="s">
        <v>3904</v>
      </c>
      <c r="H1502" t="s">
        <v>1150</v>
      </c>
      <c r="I1502">
        <v>4.4000000000000004</v>
      </c>
      <c r="J1502">
        <v>161</v>
      </c>
      <c r="K1502" t="s">
        <v>3905</v>
      </c>
    </row>
    <row r="1503" spans="1:11" x14ac:dyDescent="0.2">
      <c r="A1503" t="str">
        <f>HYPERLINK("https://www.tiwall.com//p/hokmemarg3","حکم مرگ به سبک ارمنی ها")</f>
        <v>حکم مرگ به سبک ارمنی ها</v>
      </c>
      <c r="B1503">
        <v>35</v>
      </c>
      <c r="C1503" t="s">
        <v>121</v>
      </c>
      <c r="D1503" t="s">
        <v>146</v>
      </c>
      <c r="E1503" t="s">
        <v>175</v>
      </c>
      <c r="F1503" t="s">
        <v>2635</v>
      </c>
      <c r="G1503" t="s">
        <v>1495</v>
      </c>
      <c r="H1503" t="s">
        <v>3906</v>
      </c>
      <c r="I1503">
        <v>0</v>
      </c>
      <c r="J1503">
        <v>0</v>
      </c>
      <c r="K1503" t="s">
        <v>3907</v>
      </c>
    </row>
    <row r="1504" spans="1:11" x14ac:dyDescent="0.2">
      <c r="A1504" t="str">
        <f>HYPERLINK("https://www.tiwall.com//p/khershayepanda4","داستان خرس های پاندا")</f>
        <v>داستان خرس های پاندا</v>
      </c>
      <c r="B1504">
        <v>70</v>
      </c>
      <c r="C1504" t="s">
        <v>24</v>
      </c>
      <c r="D1504" t="s">
        <v>87</v>
      </c>
      <c r="E1504" t="s">
        <v>194</v>
      </c>
      <c r="F1504" t="s">
        <v>1037</v>
      </c>
      <c r="G1504" t="s">
        <v>3908</v>
      </c>
      <c r="H1504" t="s">
        <v>79</v>
      </c>
      <c r="I1504">
        <v>0</v>
      </c>
      <c r="J1504">
        <v>0</v>
      </c>
      <c r="K1504" t="s">
        <v>3909</v>
      </c>
    </row>
    <row r="1505" spans="1:11" x14ac:dyDescent="0.2">
      <c r="A1505" t="str">
        <f>HYPERLINK("https://www.tiwall.com//p/babbara3","باب بارا")</f>
        <v>باب بارا</v>
      </c>
      <c r="B1505">
        <v>60</v>
      </c>
      <c r="C1505" t="s">
        <v>31</v>
      </c>
      <c r="D1505" t="s">
        <v>146</v>
      </c>
      <c r="E1505" t="s">
        <v>303</v>
      </c>
      <c r="F1505" t="s">
        <v>1741</v>
      </c>
      <c r="G1505" t="s">
        <v>3910</v>
      </c>
      <c r="H1505" t="s">
        <v>3910</v>
      </c>
      <c r="I1505">
        <v>3.4</v>
      </c>
      <c r="J1505">
        <v>46</v>
      </c>
      <c r="K1505" t="s">
        <v>3911</v>
      </c>
    </row>
    <row r="1506" spans="1:11" x14ac:dyDescent="0.2">
      <c r="A1506" t="str">
        <f>HYPERLINK("https://www.tiwall.com//p/bughozhed","بوغوژد")</f>
        <v>بوغوژد</v>
      </c>
      <c r="B1506">
        <v>30</v>
      </c>
      <c r="C1506" t="s">
        <v>2663</v>
      </c>
      <c r="D1506" t="s">
        <v>217</v>
      </c>
      <c r="E1506" t="s">
        <v>71</v>
      </c>
      <c r="F1506" t="s">
        <v>694</v>
      </c>
      <c r="G1506" t="s">
        <v>3912</v>
      </c>
      <c r="H1506" t="s">
        <v>3912</v>
      </c>
      <c r="I1506">
        <v>0</v>
      </c>
      <c r="J1506">
        <v>0</v>
      </c>
      <c r="K1506" t="s">
        <v>3913</v>
      </c>
    </row>
    <row r="1507" spans="1:11" x14ac:dyDescent="0.2">
      <c r="A1507" t="str">
        <f>HYPERLINK("https://www.tiwall.com//p/soetafahom13","سوتفاهم")</f>
        <v>سوتفاهم</v>
      </c>
      <c r="B1507">
        <v>30</v>
      </c>
      <c r="C1507" t="s">
        <v>121</v>
      </c>
      <c r="D1507" t="s">
        <v>87</v>
      </c>
      <c r="E1507" t="s">
        <v>303</v>
      </c>
      <c r="F1507" t="s">
        <v>134</v>
      </c>
      <c r="G1507" t="s">
        <v>1127</v>
      </c>
      <c r="H1507" t="s">
        <v>758</v>
      </c>
      <c r="I1507">
        <v>2.8</v>
      </c>
      <c r="J1507">
        <v>6</v>
      </c>
      <c r="K1507" t="s">
        <v>3914</v>
      </c>
    </row>
    <row r="1508" spans="1:11" x14ac:dyDescent="0.2">
      <c r="A1508" t="str">
        <f>HYPERLINK("https://www.tiwall.com//p/badkonakghermez","بادکنک‌های قرمز")</f>
        <v>بادکنک‌های قرمز</v>
      </c>
      <c r="B1508">
        <v>50</v>
      </c>
      <c r="C1508" t="s">
        <v>64</v>
      </c>
      <c r="D1508" t="s">
        <v>87</v>
      </c>
      <c r="E1508" t="s">
        <v>475</v>
      </c>
      <c r="F1508" t="s">
        <v>200</v>
      </c>
      <c r="G1508" t="s">
        <v>3915</v>
      </c>
      <c r="H1508" t="s">
        <v>3916</v>
      </c>
      <c r="I1508">
        <v>0</v>
      </c>
      <c r="J1508">
        <v>0</v>
      </c>
      <c r="K1508" t="s">
        <v>3917</v>
      </c>
    </row>
    <row r="1509" spans="1:11" x14ac:dyDescent="0.2">
      <c r="A1509" t="str">
        <f>HYPERLINK("https://www.tiwall.com//p/ghesehdargoshi","قصه های در گوشی")</f>
        <v>قصه های در گوشی</v>
      </c>
      <c r="B1509">
        <v>100</v>
      </c>
      <c r="C1509" t="s">
        <v>344</v>
      </c>
      <c r="D1509" t="s">
        <v>70</v>
      </c>
      <c r="E1509" t="s">
        <v>13</v>
      </c>
      <c r="F1509" t="s">
        <v>270</v>
      </c>
      <c r="G1509" t="s">
        <v>1205</v>
      </c>
      <c r="H1509" t="s">
        <v>920</v>
      </c>
      <c r="I1509">
        <v>3.9</v>
      </c>
      <c r="J1509">
        <v>23</v>
      </c>
      <c r="K1509" t="s">
        <v>3918</v>
      </c>
    </row>
    <row r="1510" spans="1:11" x14ac:dyDescent="0.2">
      <c r="A1510" t="str">
        <f>HYPERLINK("https://www.tiwall.com//p/mezon3","مزون")</f>
        <v>مزون</v>
      </c>
      <c r="B1510">
        <v>60</v>
      </c>
      <c r="C1510" t="s">
        <v>242</v>
      </c>
      <c r="D1510" t="s">
        <v>32</v>
      </c>
      <c r="E1510" t="s">
        <v>13</v>
      </c>
      <c r="F1510" t="s">
        <v>906</v>
      </c>
      <c r="G1510" t="s">
        <v>3919</v>
      </c>
      <c r="H1510" t="s">
        <v>1080</v>
      </c>
      <c r="I1510">
        <v>0</v>
      </c>
      <c r="J1510">
        <v>0</v>
      </c>
      <c r="K1510" t="s">
        <v>3920</v>
      </c>
    </row>
    <row r="1511" spans="1:11" x14ac:dyDescent="0.2">
      <c r="A1511" t="str">
        <f>HYPERLINK("https://www.tiwall.com//p/hamechiz7","همه چیز می گذرد تو نمی گذری")</f>
        <v>همه چیز می گذرد تو نمی گذری</v>
      </c>
      <c r="B1511">
        <v>50</v>
      </c>
      <c r="C1511" t="s">
        <v>60</v>
      </c>
      <c r="D1511" t="s">
        <v>65</v>
      </c>
      <c r="E1511" t="s">
        <v>138</v>
      </c>
      <c r="F1511" t="s">
        <v>836</v>
      </c>
      <c r="G1511" t="s">
        <v>1880</v>
      </c>
      <c r="H1511" t="s">
        <v>538</v>
      </c>
      <c r="I1511">
        <v>3.8</v>
      </c>
      <c r="J1511">
        <v>8</v>
      </c>
      <c r="K1511" t="s">
        <v>3921</v>
      </c>
    </row>
    <row r="1512" spans="1:11" x14ac:dyDescent="0.2">
      <c r="A1512" t="str">
        <f>HYPERLINK("https://www.tiwall.com//p/sefidbarfi3","سفیدبرفی")</f>
        <v>سفیدبرفی</v>
      </c>
      <c r="B1512">
        <v>50</v>
      </c>
      <c r="C1512" t="s">
        <v>410</v>
      </c>
      <c r="D1512" t="s">
        <v>217</v>
      </c>
      <c r="E1512" t="s">
        <v>13</v>
      </c>
      <c r="F1512" t="s">
        <v>3922</v>
      </c>
      <c r="G1512" t="s">
        <v>3923</v>
      </c>
      <c r="H1512" t="s">
        <v>3923</v>
      </c>
      <c r="I1512">
        <v>3</v>
      </c>
      <c r="J1512">
        <v>5</v>
      </c>
      <c r="K1512" t="s">
        <v>3924</v>
      </c>
    </row>
    <row r="1513" spans="1:11" x14ac:dyDescent="0.2">
      <c r="A1513" t="str">
        <f>HYPERLINK("https://www.tiwall.com//p/sheppey","شپی")</f>
        <v>شپی</v>
      </c>
      <c r="B1513">
        <v>80</v>
      </c>
      <c r="C1513" t="s">
        <v>60</v>
      </c>
      <c r="D1513" t="s">
        <v>265</v>
      </c>
      <c r="E1513" t="s">
        <v>71</v>
      </c>
      <c r="F1513" t="s">
        <v>2591</v>
      </c>
      <c r="G1513" t="s">
        <v>3925</v>
      </c>
      <c r="H1513" t="s">
        <v>3926</v>
      </c>
      <c r="I1513">
        <v>4.4000000000000004</v>
      </c>
      <c r="J1513">
        <v>11</v>
      </c>
      <c r="K1513" t="s">
        <v>3927</v>
      </c>
    </row>
    <row r="1514" spans="1:11" x14ac:dyDescent="0.2">
      <c r="A1514" t="str">
        <f>HYPERLINK("https://www.tiwall.com//p/parvaneha.darpileh","پروانه‌هادرپیله نمی‌مانند")</f>
        <v>پروانه‌هادرپیله نمی‌مانند</v>
      </c>
      <c r="B1514">
        <v>100</v>
      </c>
      <c r="C1514" t="s">
        <v>224</v>
      </c>
      <c r="D1514" t="s">
        <v>12</v>
      </c>
      <c r="E1514" t="s">
        <v>26</v>
      </c>
      <c r="F1514" t="s">
        <v>3928</v>
      </c>
      <c r="G1514" t="s">
        <v>3929</v>
      </c>
      <c r="H1514" t="s">
        <v>3930</v>
      </c>
      <c r="I1514">
        <v>0</v>
      </c>
      <c r="J1514">
        <v>0</v>
      </c>
      <c r="K1514" t="s">
        <v>3931</v>
      </c>
    </row>
    <row r="1515" spans="1:11" x14ac:dyDescent="0.2">
      <c r="A1515" t="str">
        <f>HYPERLINK("https://www.tiwall.com//p/malakehsiah","ملکه سیاه")</f>
        <v>ملکه سیاه</v>
      </c>
      <c r="B1515">
        <v>80</v>
      </c>
      <c r="C1515" t="s">
        <v>170</v>
      </c>
      <c r="D1515" t="s">
        <v>45</v>
      </c>
      <c r="E1515" t="s">
        <v>13</v>
      </c>
      <c r="F1515" t="s">
        <v>3932</v>
      </c>
      <c r="G1515" t="s">
        <v>3933</v>
      </c>
      <c r="H1515" t="s">
        <v>2328</v>
      </c>
      <c r="I1515">
        <v>0</v>
      </c>
      <c r="J1515">
        <v>0</v>
      </c>
      <c r="K1515" t="s">
        <v>3934</v>
      </c>
    </row>
    <row r="1516" spans="1:11" x14ac:dyDescent="0.2">
      <c r="A1516" t="str">
        <f>HYPERLINK("https://www.tiwall.com//p/hamlet23","اتاق هملت")</f>
        <v>اتاق هملت</v>
      </c>
      <c r="B1516">
        <v>65</v>
      </c>
      <c r="C1516" t="s">
        <v>180</v>
      </c>
      <c r="D1516" t="s">
        <v>12</v>
      </c>
      <c r="E1516" t="s">
        <v>88</v>
      </c>
      <c r="F1516" t="s">
        <v>350</v>
      </c>
      <c r="G1516" t="s">
        <v>1229</v>
      </c>
      <c r="H1516" t="s">
        <v>1229</v>
      </c>
      <c r="I1516">
        <v>3.7</v>
      </c>
      <c r="J1516">
        <v>56</v>
      </c>
      <c r="K1516" t="s">
        <v>3935</v>
      </c>
    </row>
    <row r="1517" spans="1:11" x14ac:dyDescent="0.2">
      <c r="A1517" t="str">
        <f>HYPERLINK("https://www.tiwall.com//p/marg.dar.zemestan","مرگ در زمستان")</f>
        <v>مرگ در زمستان</v>
      </c>
      <c r="B1517">
        <v>80</v>
      </c>
      <c r="C1517" t="s">
        <v>86</v>
      </c>
      <c r="D1517" t="s">
        <v>146</v>
      </c>
      <c r="E1517" t="s">
        <v>235</v>
      </c>
      <c r="F1517" t="s">
        <v>3045</v>
      </c>
      <c r="G1517" t="s">
        <v>236</v>
      </c>
      <c r="H1517" t="s">
        <v>236</v>
      </c>
      <c r="I1517">
        <v>3.4</v>
      </c>
      <c r="J1517">
        <v>11</v>
      </c>
      <c r="K1517" t="s">
        <v>3936</v>
      </c>
    </row>
    <row r="1518" spans="1:11" x14ac:dyDescent="0.2">
      <c r="A1518" t="str">
        <f>HYPERLINK("https://www.tiwall.com//p/suicidestore8","مغازه خودکشی")</f>
        <v>مغازه خودکشی</v>
      </c>
      <c r="B1518">
        <v>70</v>
      </c>
      <c r="C1518" t="s">
        <v>3937</v>
      </c>
      <c r="D1518" t="s">
        <v>12</v>
      </c>
      <c r="E1518" t="s">
        <v>26</v>
      </c>
      <c r="F1518" t="s">
        <v>555</v>
      </c>
      <c r="G1518" t="s">
        <v>3938</v>
      </c>
      <c r="H1518" t="s">
        <v>3939</v>
      </c>
      <c r="I1518">
        <v>0</v>
      </c>
      <c r="J1518">
        <v>0</v>
      </c>
      <c r="K1518" t="s">
        <v>3940</v>
      </c>
    </row>
    <row r="1519" spans="1:11" x14ac:dyDescent="0.2">
      <c r="A1519" t="str">
        <f>HYPERLINK("https://www.tiwall.com//p/soovashoon","سعدی سلطان سیاه سووشون")</f>
        <v>سعدی سلطان سیاه سووشون</v>
      </c>
      <c r="B1519">
        <v>50</v>
      </c>
      <c r="C1519" t="s">
        <v>3941</v>
      </c>
      <c r="D1519" t="s">
        <v>45</v>
      </c>
      <c r="E1519" t="s">
        <v>175</v>
      </c>
      <c r="F1519" t="s">
        <v>3942</v>
      </c>
      <c r="G1519" t="s">
        <v>3943</v>
      </c>
      <c r="H1519" t="s">
        <v>3199</v>
      </c>
      <c r="I1519">
        <v>0</v>
      </c>
      <c r="J1519">
        <v>0</v>
      </c>
      <c r="K1519" t="s">
        <v>3944</v>
      </c>
    </row>
    <row r="1520" spans="1:11" x14ac:dyDescent="0.2">
      <c r="A1520" t="str">
        <f>HYPERLINK("https://www.tiwall.com//p/babakaram2","باباکرم")</f>
        <v>باباکرم</v>
      </c>
      <c r="B1520">
        <v>40</v>
      </c>
      <c r="C1520" t="s">
        <v>69</v>
      </c>
      <c r="D1520" t="s">
        <v>12</v>
      </c>
      <c r="E1520" t="s">
        <v>39</v>
      </c>
      <c r="F1520" t="s">
        <v>449</v>
      </c>
      <c r="G1520" t="s">
        <v>3945</v>
      </c>
      <c r="H1520" t="s">
        <v>1738</v>
      </c>
      <c r="I1520">
        <v>3.6</v>
      </c>
      <c r="J1520">
        <v>5</v>
      </c>
      <c r="K1520" t="s">
        <v>3946</v>
      </c>
    </row>
    <row r="1521" spans="1:11" x14ac:dyDescent="0.2">
      <c r="A1521" t="str">
        <f>HYPERLINK("https://www.tiwall.com//p/farzandan.iran","فرزندان ایران سرباز به دنیا می آیند")</f>
        <v>فرزندان ایران سرباز به دنیا می آیند</v>
      </c>
      <c r="B1521">
        <v>70</v>
      </c>
      <c r="C1521" t="s">
        <v>224</v>
      </c>
      <c r="D1521" t="s">
        <v>146</v>
      </c>
      <c r="E1521" t="s">
        <v>13</v>
      </c>
      <c r="F1521" t="s">
        <v>940</v>
      </c>
      <c r="G1521" t="s">
        <v>3947</v>
      </c>
      <c r="H1521" t="s">
        <v>3948</v>
      </c>
      <c r="I1521">
        <v>0</v>
      </c>
      <c r="J1521">
        <v>0</v>
      </c>
      <c r="K1521" t="s">
        <v>3949</v>
      </c>
    </row>
    <row r="1522" spans="1:11" x14ac:dyDescent="0.2">
      <c r="A1522" t="str">
        <f>HYPERLINK("https://www.tiwall.com//p/godal","گودال")</f>
        <v>گودال</v>
      </c>
      <c r="B1522">
        <v>50</v>
      </c>
      <c r="C1522" t="s">
        <v>24</v>
      </c>
      <c r="D1522" t="s">
        <v>87</v>
      </c>
      <c r="E1522" t="s">
        <v>13</v>
      </c>
      <c r="F1522" t="s">
        <v>906</v>
      </c>
      <c r="G1522" t="s">
        <v>3950</v>
      </c>
      <c r="H1522" t="s">
        <v>3951</v>
      </c>
      <c r="I1522">
        <v>0</v>
      </c>
      <c r="J1522">
        <v>0</v>
      </c>
      <c r="K1522" t="s">
        <v>3952</v>
      </c>
    </row>
    <row r="1523" spans="1:11" x14ac:dyDescent="0.2">
      <c r="A1523" t="str">
        <f>HYPERLINK("https://www.tiwall.com//p/sahelpoulad","ساحل پولاد")</f>
        <v>ساحل پولاد</v>
      </c>
      <c r="B1523">
        <v>50</v>
      </c>
      <c r="C1523" t="s">
        <v>69</v>
      </c>
      <c r="D1523" t="s">
        <v>45</v>
      </c>
      <c r="E1523" t="s">
        <v>13</v>
      </c>
      <c r="F1523" t="s">
        <v>1037</v>
      </c>
      <c r="G1523" t="s">
        <v>3642</v>
      </c>
      <c r="H1523" t="s">
        <v>3642</v>
      </c>
      <c r="I1523">
        <v>3.8</v>
      </c>
      <c r="J1523">
        <v>13</v>
      </c>
      <c r="K1523" t="s">
        <v>3953</v>
      </c>
    </row>
    <row r="1524" spans="1:11" x14ac:dyDescent="0.2">
      <c r="A1524" t="str">
        <f>HYPERLINK("https://www.tiwall.com//p/nohsalosemah4","دقیقا ۹ سال و ۳ ماه و ۲۰ روز پیش کجا بودی...؟")</f>
        <v>دقیقا ۹ سال و ۳ ماه و ۲۰ روز پیش کجا بودی...؟</v>
      </c>
      <c r="B1524">
        <v>79</v>
      </c>
      <c r="C1524" t="s">
        <v>60</v>
      </c>
      <c r="D1524" t="s">
        <v>32</v>
      </c>
      <c r="E1524" t="s">
        <v>13</v>
      </c>
      <c r="F1524" t="s">
        <v>906</v>
      </c>
      <c r="G1524" t="s">
        <v>3954</v>
      </c>
      <c r="H1524" t="s">
        <v>3954</v>
      </c>
      <c r="I1524">
        <v>4.2</v>
      </c>
      <c r="J1524">
        <v>73</v>
      </c>
      <c r="K1524" t="s">
        <v>3954</v>
      </c>
    </row>
    <row r="1525" spans="1:11" x14ac:dyDescent="0.2">
      <c r="A1525" t="str">
        <f>HYPERLINK("https://www.tiwall.com//p/deathcompany2","کمپانی مرگ")</f>
        <v>کمپانی مرگ</v>
      </c>
      <c r="B1525">
        <v>70</v>
      </c>
      <c r="C1525" t="s">
        <v>24</v>
      </c>
      <c r="D1525" t="s">
        <v>87</v>
      </c>
      <c r="E1525" t="s">
        <v>26</v>
      </c>
      <c r="F1525" t="s">
        <v>668</v>
      </c>
      <c r="G1525" t="s">
        <v>692</v>
      </c>
      <c r="H1525" t="s">
        <v>692</v>
      </c>
      <c r="I1525">
        <v>3.4</v>
      </c>
      <c r="J1525">
        <v>30</v>
      </c>
      <c r="K1525" t="s">
        <v>3955</v>
      </c>
    </row>
    <row r="1526" spans="1:11" x14ac:dyDescent="0.2">
      <c r="A1526" t="str">
        <f>HYPERLINK("https://www.tiwall.com//p/ballistic.wound2","بالستیک زخم")</f>
        <v>بالستیک زخم</v>
      </c>
      <c r="B1526">
        <v>35</v>
      </c>
      <c r="C1526" t="s">
        <v>1120</v>
      </c>
      <c r="D1526" t="s">
        <v>87</v>
      </c>
      <c r="E1526" t="s">
        <v>26</v>
      </c>
      <c r="F1526" t="s">
        <v>515</v>
      </c>
      <c r="G1526" t="s">
        <v>823</v>
      </c>
      <c r="H1526" t="s">
        <v>749</v>
      </c>
      <c r="I1526">
        <v>0</v>
      </c>
      <c r="J1526">
        <v>0</v>
      </c>
      <c r="K1526" t="s">
        <v>3956</v>
      </c>
    </row>
    <row r="1527" spans="1:11" x14ac:dyDescent="0.2">
      <c r="A1527" t="str">
        <f>HYPERLINK("https://www.tiwall.com//p/benounche","ب ن چ")</f>
        <v>ب ن چ</v>
      </c>
      <c r="B1527">
        <v>50</v>
      </c>
      <c r="C1527" t="s">
        <v>103</v>
      </c>
      <c r="D1527" t="s">
        <v>285</v>
      </c>
      <c r="E1527" t="s">
        <v>303</v>
      </c>
      <c r="F1527" t="s">
        <v>2241</v>
      </c>
      <c r="G1527" t="s">
        <v>972</v>
      </c>
      <c r="H1527" t="s">
        <v>972</v>
      </c>
      <c r="I1527">
        <v>4.8</v>
      </c>
      <c r="J1527">
        <v>8</v>
      </c>
      <c r="K1527" t="s">
        <v>3957</v>
      </c>
    </row>
    <row r="1528" spans="1:11" x14ac:dyDescent="0.2">
      <c r="A1528" t="str">
        <f>HYPERLINK("https://www.tiwall.com//p/mobaheleh","نماهله")</f>
        <v>نماهله</v>
      </c>
      <c r="B1528">
        <v>30</v>
      </c>
      <c r="C1528" t="s">
        <v>3958</v>
      </c>
      <c r="D1528" t="s">
        <v>12</v>
      </c>
      <c r="E1528" t="s">
        <v>13</v>
      </c>
      <c r="F1528" t="s">
        <v>506</v>
      </c>
      <c r="G1528" t="s">
        <v>1049</v>
      </c>
      <c r="H1528" t="s">
        <v>3959</v>
      </c>
      <c r="I1528">
        <v>0</v>
      </c>
      <c r="J1528">
        <v>0</v>
      </c>
      <c r="K1528" t="s">
        <v>3960</v>
      </c>
    </row>
    <row r="1529" spans="1:11" x14ac:dyDescent="0.2">
      <c r="A1529" t="str">
        <f>HYPERLINK("https://www.tiwall.com//p/operayenavad","اپرای ۹۰")</f>
        <v>اپرای ۹۰</v>
      </c>
      <c r="B1529">
        <v>40</v>
      </c>
      <c r="C1529" t="s">
        <v>86</v>
      </c>
      <c r="D1529" t="s">
        <v>470</v>
      </c>
      <c r="E1529" t="s">
        <v>328</v>
      </c>
      <c r="F1529" t="s">
        <v>548</v>
      </c>
      <c r="G1529" t="s">
        <v>2844</v>
      </c>
      <c r="H1529" t="s">
        <v>2844</v>
      </c>
      <c r="I1529">
        <v>2.6</v>
      </c>
      <c r="J1529">
        <v>7</v>
      </c>
      <c r="K1529" t="s">
        <v>3961</v>
      </c>
    </row>
    <row r="1530" spans="1:11" x14ac:dyDescent="0.2">
      <c r="A1530" t="str">
        <f>HYPERLINK("https://www.tiwall.com//p/karimlozhi5","کریم لوژی")</f>
        <v>کریم لوژی</v>
      </c>
      <c r="B1530">
        <v>70</v>
      </c>
      <c r="C1530" t="s">
        <v>230</v>
      </c>
      <c r="D1530" t="s">
        <v>87</v>
      </c>
      <c r="E1530" t="s">
        <v>13</v>
      </c>
      <c r="F1530" t="s">
        <v>1905</v>
      </c>
      <c r="G1530" t="s">
        <v>1880</v>
      </c>
      <c r="H1530" t="s">
        <v>3962</v>
      </c>
      <c r="I1530">
        <v>4.2</v>
      </c>
      <c r="J1530">
        <v>102</v>
      </c>
      <c r="K1530" t="s">
        <v>3322</v>
      </c>
    </row>
    <row r="1531" spans="1:11" x14ac:dyDescent="0.2">
      <c r="A1531" t="str">
        <f>HYPERLINK("https://www.tiwall.com//p/hozan","هوزان")</f>
        <v>هوزان</v>
      </c>
      <c r="B1531">
        <v>40</v>
      </c>
      <c r="C1531" t="s">
        <v>64</v>
      </c>
      <c r="D1531" t="s">
        <v>146</v>
      </c>
      <c r="E1531" t="s">
        <v>235</v>
      </c>
      <c r="F1531" t="s">
        <v>519</v>
      </c>
      <c r="G1531" t="s">
        <v>3963</v>
      </c>
      <c r="H1531" t="s">
        <v>3963</v>
      </c>
      <c r="I1531">
        <v>0</v>
      </c>
      <c r="J1531">
        <v>0</v>
      </c>
      <c r="K1531" t="s">
        <v>3964</v>
      </c>
    </row>
    <row r="1532" spans="1:11" x14ac:dyDescent="0.2">
      <c r="A1532" t="str">
        <f>HYPERLINK("https://www.tiwall.com//p/aroosak.khane","خانه عروسک")</f>
        <v>خانه عروسک</v>
      </c>
      <c r="B1532">
        <v>40</v>
      </c>
      <c r="C1532" t="s">
        <v>129</v>
      </c>
      <c r="D1532" t="s">
        <v>12</v>
      </c>
      <c r="E1532" t="s">
        <v>46</v>
      </c>
      <c r="F1532" t="s">
        <v>359</v>
      </c>
      <c r="G1532" t="s">
        <v>3015</v>
      </c>
      <c r="H1532" t="s">
        <v>3965</v>
      </c>
      <c r="I1532">
        <v>0</v>
      </c>
      <c r="J1532">
        <v>0</v>
      </c>
      <c r="K1532" t="s">
        <v>3966</v>
      </c>
    </row>
    <row r="1533" spans="1:11" x14ac:dyDescent="0.2">
      <c r="A1533" t="str">
        <f>HYPERLINK("https://www.tiwall.com//p/binavayan6","بی‌نوایان")</f>
        <v>بی‌نوایان</v>
      </c>
      <c r="B1533">
        <v>90</v>
      </c>
      <c r="C1533" t="s">
        <v>180</v>
      </c>
      <c r="D1533" t="s">
        <v>32</v>
      </c>
      <c r="E1533" t="s">
        <v>13</v>
      </c>
      <c r="F1533" t="s">
        <v>906</v>
      </c>
      <c r="G1533" t="s">
        <v>440</v>
      </c>
      <c r="H1533" t="s">
        <v>440</v>
      </c>
      <c r="I1533">
        <v>4.0999999999999996</v>
      </c>
      <c r="J1533">
        <v>35</v>
      </c>
      <c r="K1533" t="s">
        <v>3967</v>
      </c>
    </row>
    <row r="1534" spans="1:11" x14ac:dyDescent="0.2">
      <c r="A1534" t="str">
        <f>HYPERLINK("https://www.tiwall.com//p/gorbeh.roubah","گربه نره و روباه مکار")</f>
        <v>گربه نره و روباه مکار</v>
      </c>
      <c r="B1534">
        <v>200</v>
      </c>
      <c r="C1534" t="s">
        <v>37</v>
      </c>
      <c r="D1534" t="s">
        <v>32</v>
      </c>
      <c r="E1534" t="s">
        <v>208</v>
      </c>
      <c r="F1534" t="s">
        <v>812</v>
      </c>
      <c r="G1534" t="s">
        <v>364</v>
      </c>
      <c r="H1534" t="s">
        <v>364</v>
      </c>
      <c r="I1534">
        <v>4.0999999999999996</v>
      </c>
      <c r="J1534">
        <v>113</v>
      </c>
      <c r="K1534" t="s">
        <v>365</v>
      </c>
    </row>
    <row r="1535" spans="1:11" x14ac:dyDescent="0.2">
      <c r="A1535" t="str">
        <f>HYPERLINK("https://www.tiwall.com//p/ammepasand","داستان های عامه پسند")</f>
        <v>داستان های عامه پسند</v>
      </c>
      <c r="B1535">
        <v>35</v>
      </c>
      <c r="C1535" t="s">
        <v>44</v>
      </c>
      <c r="D1535" t="s">
        <v>285</v>
      </c>
      <c r="E1535" t="s">
        <v>303</v>
      </c>
      <c r="F1535" t="s">
        <v>2217</v>
      </c>
      <c r="G1535" t="s">
        <v>663</v>
      </c>
      <c r="H1535" t="s">
        <v>663</v>
      </c>
      <c r="I1535">
        <v>0</v>
      </c>
      <c r="J1535">
        <v>0</v>
      </c>
      <c r="K1535" t="s">
        <v>3968</v>
      </c>
    </row>
    <row r="1536" spans="1:11" x14ac:dyDescent="0.2">
      <c r="A1536" t="str">
        <f>HYPERLINK("https://www.tiwall.com//p/queen2","کوئین")</f>
        <v>کوئین</v>
      </c>
      <c r="B1536">
        <v>45</v>
      </c>
      <c r="C1536" t="s">
        <v>204</v>
      </c>
      <c r="D1536" t="s">
        <v>65</v>
      </c>
      <c r="E1536" t="s">
        <v>13</v>
      </c>
      <c r="F1536" t="s">
        <v>3969</v>
      </c>
      <c r="G1536" t="s">
        <v>3970</v>
      </c>
      <c r="H1536" t="s">
        <v>608</v>
      </c>
      <c r="I1536">
        <v>4.0999999999999996</v>
      </c>
      <c r="J1536">
        <v>10</v>
      </c>
      <c r="K1536" t="s">
        <v>3971</v>
      </c>
    </row>
    <row r="1537" spans="1:11" x14ac:dyDescent="0.2">
      <c r="A1537" t="str">
        <f>HYPERLINK("https://www.tiwall.com//p/house.bernarda.alba7","خانه برناردا آلبا")</f>
        <v>خانه برناردا آلبا</v>
      </c>
      <c r="B1537">
        <v>60</v>
      </c>
      <c r="C1537" t="s">
        <v>3972</v>
      </c>
      <c r="D1537" t="s">
        <v>65</v>
      </c>
      <c r="E1537" t="s">
        <v>71</v>
      </c>
      <c r="F1537" t="s">
        <v>1905</v>
      </c>
      <c r="G1537" t="s">
        <v>3973</v>
      </c>
      <c r="H1537" t="s">
        <v>447</v>
      </c>
      <c r="I1537">
        <v>0</v>
      </c>
      <c r="J1537">
        <v>0</v>
      </c>
      <c r="K1537" t="s">
        <v>3974</v>
      </c>
    </row>
    <row r="1538" spans="1:11" x14ac:dyDescent="0.2">
      <c r="A1538" t="str">
        <f>HYPERLINK("https://www.tiwall.com//p/shab.chehelom","شب چهلم")</f>
        <v>شب چهلم</v>
      </c>
      <c r="B1538">
        <v>100</v>
      </c>
      <c r="C1538" t="s">
        <v>69</v>
      </c>
      <c r="D1538" t="s">
        <v>87</v>
      </c>
      <c r="E1538" t="s">
        <v>71</v>
      </c>
      <c r="F1538" t="s">
        <v>273</v>
      </c>
      <c r="G1538" t="s">
        <v>3243</v>
      </c>
      <c r="H1538" t="s">
        <v>3243</v>
      </c>
      <c r="I1538">
        <v>4</v>
      </c>
      <c r="J1538">
        <v>9</v>
      </c>
      <c r="K1538" t="s">
        <v>3975</v>
      </c>
    </row>
    <row r="1539" spans="1:11" x14ac:dyDescent="0.2">
      <c r="A1539" t="str">
        <f>HYPERLINK("https://www.tiwall.com//p/longshot.closeup","زندگی در لانگ شات یا مرگ در کلوز آپ")</f>
        <v>زندگی در لانگ شات یا مرگ در کلوز آپ</v>
      </c>
      <c r="B1539">
        <v>30</v>
      </c>
      <c r="C1539" t="s">
        <v>1834</v>
      </c>
      <c r="D1539" t="s">
        <v>45</v>
      </c>
      <c r="E1539" t="s">
        <v>13</v>
      </c>
      <c r="F1539" t="s">
        <v>2158</v>
      </c>
      <c r="G1539" t="s">
        <v>2544</v>
      </c>
      <c r="H1539" t="s">
        <v>2545</v>
      </c>
      <c r="I1539">
        <v>0</v>
      </c>
      <c r="J1539">
        <v>0</v>
      </c>
      <c r="K1539" t="s">
        <v>2544</v>
      </c>
    </row>
    <row r="1540" spans="1:11" x14ac:dyDescent="0.2">
      <c r="A1540" t="str">
        <f>HYPERLINK("https://www.tiwall.com//p/topiramat","توپیرامات")</f>
        <v>توپیرامات</v>
      </c>
      <c r="B1540">
        <v>30</v>
      </c>
      <c r="C1540" t="s">
        <v>3220</v>
      </c>
      <c r="D1540" t="s">
        <v>65</v>
      </c>
      <c r="E1540" t="s">
        <v>13</v>
      </c>
      <c r="F1540" t="s">
        <v>1660</v>
      </c>
      <c r="G1540" t="s">
        <v>3976</v>
      </c>
      <c r="H1540" t="s">
        <v>3977</v>
      </c>
      <c r="I1540">
        <v>0</v>
      </c>
      <c r="J1540">
        <v>0</v>
      </c>
      <c r="K1540" t="s">
        <v>3978</v>
      </c>
    </row>
    <row r="1541" spans="1:11" x14ac:dyDescent="0.2">
      <c r="A1541" t="str">
        <f>HYPERLINK("https://www.tiwall.com//p/eshghemanbehdad2","عشق من حامد بهداد")</f>
        <v>عشق من حامد بهداد</v>
      </c>
      <c r="B1541">
        <v>40</v>
      </c>
      <c r="C1541" t="s">
        <v>3979</v>
      </c>
      <c r="D1541" t="s">
        <v>32</v>
      </c>
      <c r="E1541" t="s">
        <v>194</v>
      </c>
      <c r="F1541" t="s">
        <v>3980</v>
      </c>
      <c r="G1541" t="s">
        <v>3981</v>
      </c>
      <c r="H1541" t="s">
        <v>3010</v>
      </c>
      <c r="I1541">
        <v>0</v>
      </c>
      <c r="J1541">
        <v>0</v>
      </c>
      <c r="K1541" t="s">
        <v>3982</v>
      </c>
    </row>
    <row r="1542" spans="1:11" x14ac:dyDescent="0.2">
      <c r="A1542" t="str">
        <f>HYPERLINK("https://www.tiwall.com//p/gharar6","قرار")</f>
        <v>قرار</v>
      </c>
      <c r="B1542">
        <v>40</v>
      </c>
      <c r="C1542" t="s">
        <v>417</v>
      </c>
      <c r="D1542" t="s">
        <v>87</v>
      </c>
      <c r="E1542" t="s">
        <v>13</v>
      </c>
      <c r="F1542" t="s">
        <v>3983</v>
      </c>
      <c r="G1542" t="s">
        <v>3984</v>
      </c>
      <c r="H1542" t="s">
        <v>3985</v>
      </c>
      <c r="I1542">
        <v>0</v>
      </c>
      <c r="J1542">
        <v>0</v>
      </c>
      <c r="K1542" t="s">
        <v>3986</v>
      </c>
    </row>
    <row r="1543" spans="1:11" x14ac:dyDescent="0.2">
      <c r="A1543" t="str">
        <f>HYPERLINK("https://www.tiwall.com//p/namayesh.be.ejra.nemiresad","این نمایش به اجرا نمی رسد")</f>
        <v>این نمایش به اجرا نمی رسد</v>
      </c>
      <c r="B1543">
        <v>70</v>
      </c>
      <c r="C1543" t="s">
        <v>2627</v>
      </c>
      <c r="D1543" t="s">
        <v>12</v>
      </c>
      <c r="E1543" t="s">
        <v>133</v>
      </c>
      <c r="F1543" t="s">
        <v>2040</v>
      </c>
      <c r="G1543" t="s">
        <v>634</v>
      </c>
      <c r="H1543" t="s">
        <v>634</v>
      </c>
      <c r="I1543">
        <v>0</v>
      </c>
      <c r="J1543">
        <v>0</v>
      </c>
      <c r="K1543" t="s">
        <v>3987</v>
      </c>
    </row>
    <row r="1544" spans="1:11" x14ac:dyDescent="0.2">
      <c r="A1544" t="str">
        <f>HYPERLINK("https://www.tiwall.com//p/akharinghatreh","آخرین قطره از نیمه‌ی پر لیوان")</f>
        <v>آخرین قطره از نیمه‌ی پر لیوان</v>
      </c>
      <c r="B1544">
        <v>45</v>
      </c>
      <c r="C1544" t="s">
        <v>180</v>
      </c>
      <c r="D1544" t="s">
        <v>38</v>
      </c>
      <c r="E1544" t="s">
        <v>88</v>
      </c>
      <c r="F1544" t="s">
        <v>3874</v>
      </c>
      <c r="G1544" t="s">
        <v>3988</v>
      </c>
      <c r="H1544" t="s">
        <v>3988</v>
      </c>
      <c r="I1544">
        <v>3</v>
      </c>
      <c r="J1544">
        <v>28</v>
      </c>
      <c r="K1544" t="s">
        <v>3989</v>
      </c>
    </row>
    <row r="1545" spans="1:11" x14ac:dyDescent="0.2">
      <c r="A1545" t="str">
        <f>HYPERLINK("https://www.tiwall.com//p/nariya2","ناریا")</f>
        <v>ناریا</v>
      </c>
      <c r="B1545">
        <v>130</v>
      </c>
      <c r="C1545" t="s">
        <v>60</v>
      </c>
      <c r="D1545" t="s">
        <v>45</v>
      </c>
      <c r="E1545" t="s">
        <v>303</v>
      </c>
      <c r="F1545" t="s">
        <v>2347</v>
      </c>
      <c r="G1545" t="s">
        <v>3990</v>
      </c>
      <c r="H1545" t="s">
        <v>1420</v>
      </c>
      <c r="I1545">
        <v>4.0999999999999996</v>
      </c>
      <c r="J1545">
        <v>68</v>
      </c>
      <c r="K1545" t="s">
        <v>3991</v>
      </c>
    </row>
    <row r="1546" spans="1:11" x14ac:dyDescent="0.2">
      <c r="A1546" t="str">
        <f>HYPERLINK("https://www.tiwall.com//p/sakhtan4","ساختن")</f>
        <v>ساختن</v>
      </c>
      <c r="B1546">
        <v>40</v>
      </c>
      <c r="C1546" t="s">
        <v>369</v>
      </c>
      <c r="D1546" t="s">
        <v>217</v>
      </c>
      <c r="E1546" t="s">
        <v>138</v>
      </c>
      <c r="F1546" t="s">
        <v>1878</v>
      </c>
      <c r="G1546" t="s">
        <v>3992</v>
      </c>
      <c r="H1546" t="s">
        <v>3993</v>
      </c>
      <c r="I1546">
        <v>3.5</v>
      </c>
      <c r="J1546">
        <v>52</v>
      </c>
      <c r="K1546" t="s">
        <v>3994</v>
      </c>
    </row>
    <row r="1547" spans="1:11" x14ac:dyDescent="0.2">
      <c r="A1547" t="str">
        <f>HYPERLINK("https://www.tiwall.com//p/aampaas","آمپاس")</f>
        <v>آمپاس</v>
      </c>
      <c r="B1547">
        <v>60</v>
      </c>
      <c r="C1547" t="s">
        <v>3995</v>
      </c>
      <c r="D1547" t="s">
        <v>217</v>
      </c>
      <c r="E1547" t="s">
        <v>175</v>
      </c>
      <c r="F1547" t="s">
        <v>460</v>
      </c>
      <c r="G1547" t="s">
        <v>305</v>
      </c>
      <c r="H1547" t="s">
        <v>3996</v>
      </c>
      <c r="I1547">
        <v>0</v>
      </c>
      <c r="J1547">
        <v>0</v>
      </c>
      <c r="K1547" t="s">
        <v>3997</v>
      </c>
    </row>
    <row r="1548" spans="1:11" x14ac:dyDescent="0.2">
      <c r="A1548" t="str">
        <f>HYPERLINK("https://www.tiwall.com//p/darkub","درکوب")</f>
        <v>درکوب</v>
      </c>
      <c r="B1548">
        <v>60</v>
      </c>
      <c r="C1548" t="s">
        <v>64</v>
      </c>
      <c r="D1548" t="s">
        <v>25</v>
      </c>
      <c r="E1548" t="s">
        <v>88</v>
      </c>
      <c r="F1548" t="s">
        <v>1037</v>
      </c>
      <c r="G1548" t="s">
        <v>3998</v>
      </c>
      <c r="H1548" t="s">
        <v>3998</v>
      </c>
      <c r="I1548">
        <v>0</v>
      </c>
      <c r="J1548">
        <v>0</v>
      </c>
      <c r="K1548" t="s">
        <v>3999</v>
      </c>
    </row>
    <row r="1549" spans="1:11" x14ac:dyDescent="0.2">
      <c r="A1549" t="str">
        <f>HYPERLINK("https://www.tiwall.com//p/shekastegi2","شکستگی")</f>
        <v>شکستگی</v>
      </c>
      <c r="B1549">
        <v>25</v>
      </c>
      <c r="C1549" t="s">
        <v>383</v>
      </c>
      <c r="D1549" t="s">
        <v>25</v>
      </c>
      <c r="E1549" t="s">
        <v>26</v>
      </c>
      <c r="F1549" t="s">
        <v>385</v>
      </c>
      <c r="G1549" t="s">
        <v>4000</v>
      </c>
      <c r="H1549" t="s">
        <v>4000</v>
      </c>
      <c r="I1549">
        <v>0</v>
      </c>
      <c r="J1549">
        <v>0</v>
      </c>
      <c r="K1549" t="s">
        <v>4001</v>
      </c>
    </row>
    <row r="1550" spans="1:11" x14ac:dyDescent="0.2">
      <c r="A1550" t="str">
        <f>HYPERLINK("https://www.tiwall.com//p/keniseh","کنیسه")</f>
        <v>کنیسه</v>
      </c>
      <c r="B1550">
        <v>65</v>
      </c>
      <c r="C1550" t="s">
        <v>928</v>
      </c>
      <c r="D1550" t="s">
        <v>384</v>
      </c>
      <c r="E1550" t="s">
        <v>13</v>
      </c>
      <c r="F1550" t="s">
        <v>226</v>
      </c>
      <c r="G1550" t="s">
        <v>4002</v>
      </c>
      <c r="H1550" t="s">
        <v>4002</v>
      </c>
      <c r="I1550">
        <v>3.9</v>
      </c>
      <c r="J1550">
        <v>15</v>
      </c>
      <c r="K1550" t="s">
        <v>4003</v>
      </c>
    </row>
    <row r="1551" spans="1:11" x14ac:dyDescent="0.2">
      <c r="A1551" t="str">
        <f>HYPERLINK("https://www.tiwall.com//p/eshgh.khorshid","عشق به افق خورشید")</f>
        <v>عشق به افق خورشید</v>
      </c>
      <c r="B1551">
        <v>50</v>
      </c>
      <c r="C1551" t="s">
        <v>362</v>
      </c>
      <c r="D1551" t="s">
        <v>12</v>
      </c>
      <c r="E1551" t="s">
        <v>26</v>
      </c>
      <c r="F1551" t="s">
        <v>1502</v>
      </c>
      <c r="G1551" t="s">
        <v>4004</v>
      </c>
      <c r="H1551" t="s">
        <v>698</v>
      </c>
      <c r="I1551">
        <v>0</v>
      </c>
      <c r="J1551">
        <v>0</v>
      </c>
      <c r="K1551" t="s">
        <v>4005</v>
      </c>
    </row>
    <row r="1552" spans="1:11" x14ac:dyDescent="0.2">
      <c r="A1552" t="str">
        <f>HYPERLINK("https://www.tiwall.com//p/mosibat.khamoush","مصیبت های خاموش")</f>
        <v>مصیبت های خاموش</v>
      </c>
      <c r="B1552">
        <v>100</v>
      </c>
      <c r="C1552" t="s">
        <v>103</v>
      </c>
      <c r="D1552" t="s">
        <v>25</v>
      </c>
      <c r="E1552" t="s">
        <v>13</v>
      </c>
      <c r="F1552" t="s">
        <v>778</v>
      </c>
      <c r="G1552" t="s">
        <v>659</v>
      </c>
      <c r="H1552" t="s">
        <v>659</v>
      </c>
      <c r="I1552">
        <v>0</v>
      </c>
      <c r="J1552">
        <v>0</v>
      </c>
      <c r="K1552" t="s">
        <v>4006</v>
      </c>
    </row>
    <row r="1553" spans="1:11" x14ac:dyDescent="0.2">
      <c r="A1553" t="str">
        <f>HYPERLINK("https://www.tiwall.com//p/ghafas","قفس")</f>
        <v>قفس</v>
      </c>
      <c r="B1553">
        <v>100</v>
      </c>
      <c r="C1553" t="s">
        <v>262</v>
      </c>
      <c r="D1553" t="s">
        <v>217</v>
      </c>
      <c r="E1553" t="s">
        <v>208</v>
      </c>
      <c r="F1553" t="s">
        <v>4007</v>
      </c>
      <c r="G1553" t="s">
        <v>2758</v>
      </c>
      <c r="H1553" t="s">
        <v>2758</v>
      </c>
      <c r="I1553">
        <v>2.6</v>
      </c>
      <c r="J1553">
        <v>9</v>
      </c>
      <c r="K1553" t="s">
        <v>4008</v>
      </c>
    </row>
    <row r="1554" spans="1:11" x14ac:dyDescent="0.2">
      <c r="A1554" t="str">
        <f>HYPERLINK("https://www.tiwall.com//p/baghealbalou11","باغ آلبالو")</f>
        <v>باغ آلبالو</v>
      </c>
      <c r="B1554">
        <v>100</v>
      </c>
      <c r="C1554" t="s">
        <v>262</v>
      </c>
      <c r="D1554" t="s">
        <v>87</v>
      </c>
      <c r="E1554" t="s">
        <v>98</v>
      </c>
      <c r="F1554" t="s">
        <v>317</v>
      </c>
      <c r="G1554" t="s">
        <v>1726</v>
      </c>
      <c r="H1554" t="s">
        <v>1726</v>
      </c>
      <c r="I1554">
        <v>4.4000000000000004</v>
      </c>
      <c r="J1554">
        <v>27</v>
      </c>
      <c r="K1554" t="s">
        <v>4009</v>
      </c>
    </row>
    <row r="1555" spans="1:11" x14ac:dyDescent="0.2">
      <c r="A1555" t="str">
        <f>HYPERLINK("https://www.tiwall.com//p/gonah2","گناه")</f>
        <v>گناه</v>
      </c>
      <c r="B1555">
        <v>35</v>
      </c>
      <c r="C1555" t="s">
        <v>121</v>
      </c>
      <c r="D1555" t="s">
        <v>217</v>
      </c>
      <c r="E1555" t="s">
        <v>138</v>
      </c>
      <c r="F1555" t="s">
        <v>3195</v>
      </c>
      <c r="G1555" t="s">
        <v>4010</v>
      </c>
      <c r="H1555" t="s">
        <v>4010</v>
      </c>
      <c r="I1555">
        <v>0</v>
      </c>
      <c r="J1555">
        <v>0</v>
      </c>
      <c r="K1555" t="s">
        <v>4011</v>
      </c>
    </row>
    <row r="1556" spans="1:11" x14ac:dyDescent="0.2">
      <c r="A1556" t="str">
        <f>HYPERLINK("https://www.tiwall.com//p/tak.derakht2","تک درخت")</f>
        <v>تک درخت</v>
      </c>
      <c r="B1556">
        <v>70</v>
      </c>
      <c r="C1556" t="s">
        <v>11</v>
      </c>
      <c r="D1556" t="s">
        <v>87</v>
      </c>
      <c r="E1556" t="s">
        <v>46</v>
      </c>
      <c r="F1556" t="s">
        <v>1075</v>
      </c>
      <c r="G1556" t="s">
        <v>1287</v>
      </c>
      <c r="H1556" t="s">
        <v>3466</v>
      </c>
      <c r="I1556">
        <v>0</v>
      </c>
      <c r="J1556">
        <v>0</v>
      </c>
      <c r="K1556" t="s">
        <v>4012</v>
      </c>
    </row>
    <row r="1557" spans="1:11" x14ac:dyDescent="0.2">
      <c r="A1557" t="str">
        <f>HYPERLINK("https://www.tiwall.com//p/sagak2","سگک")</f>
        <v>سگک</v>
      </c>
      <c r="B1557">
        <v>50</v>
      </c>
      <c r="C1557" t="s">
        <v>31</v>
      </c>
      <c r="D1557" t="s">
        <v>217</v>
      </c>
      <c r="E1557" t="s">
        <v>13</v>
      </c>
      <c r="F1557" t="s">
        <v>239</v>
      </c>
      <c r="G1557" t="s">
        <v>1880</v>
      </c>
      <c r="H1557" t="s">
        <v>762</v>
      </c>
      <c r="I1557">
        <v>3.6</v>
      </c>
      <c r="J1557">
        <v>43</v>
      </c>
      <c r="K1557" t="s">
        <v>4013</v>
      </c>
    </row>
    <row r="1558" spans="1:11" x14ac:dyDescent="0.2">
      <c r="A1558" t="str">
        <f>HYPERLINK("https://www.tiwall.com//p/penguinafsordeh","پنگوئن های افسرده")</f>
        <v>پنگوئن های افسرده</v>
      </c>
      <c r="B1558">
        <v>50</v>
      </c>
      <c r="C1558" t="s">
        <v>151</v>
      </c>
      <c r="D1558" t="s">
        <v>12</v>
      </c>
      <c r="E1558" t="s">
        <v>98</v>
      </c>
      <c r="F1558" t="s">
        <v>1032</v>
      </c>
      <c r="G1558" t="s">
        <v>1726</v>
      </c>
      <c r="H1558" t="s">
        <v>1726</v>
      </c>
      <c r="I1558">
        <v>3.3</v>
      </c>
      <c r="J1558">
        <v>30</v>
      </c>
      <c r="K1558" t="s">
        <v>4014</v>
      </c>
    </row>
    <row r="1559" spans="1:11" x14ac:dyDescent="0.2">
      <c r="A1559" t="str">
        <f>HYPERLINK("https://www.tiwall.com//p/kojaee.ebrahim","کجایی ابراهیم")</f>
        <v>کجایی ابراهیم</v>
      </c>
      <c r="B1559">
        <v>30</v>
      </c>
      <c r="C1559" t="s">
        <v>825</v>
      </c>
      <c r="D1559" t="s">
        <v>12</v>
      </c>
      <c r="E1559" t="s">
        <v>88</v>
      </c>
      <c r="F1559" t="s">
        <v>1946</v>
      </c>
      <c r="G1559" t="s">
        <v>773</v>
      </c>
      <c r="H1559" t="s">
        <v>773</v>
      </c>
      <c r="I1559">
        <v>3.4</v>
      </c>
      <c r="J1559">
        <v>5</v>
      </c>
      <c r="K1559" t="s">
        <v>4015</v>
      </c>
    </row>
    <row r="1560" spans="1:11" x14ac:dyDescent="0.2">
      <c r="A1560" t="str">
        <f>HYPERLINK("https://www.tiwall.com//p/parazit4","پارازیت")</f>
        <v>پارازیت</v>
      </c>
      <c r="B1560">
        <v>60</v>
      </c>
      <c r="C1560" t="s">
        <v>199</v>
      </c>
      <c r="D1560" t="s">
        <v>12</v>
      </c>
      <c r="E1560" t="s">
        <v>138</v>
      </c>
      <c r="F1560" t="s">
        <v>3942</v>
      </c>
      <c r="G1560" t="s">
        <v>4016</v>
      </c>
      <c r="H1560" t="s">
        <v>1589</v>
      </c>
      <c r="I1560">
        <v>0</v>
      </c>
      <c r="J1560">
        <v>0</v>
      </c>
      <c r="K1560" t="s">
        <v>4017</v>
      </c>
    </row>
    <row r="1561" spans="1:11" x14ac:dyDescent="0.2">
      <c r="A1561" t="str">
        <f>HYPERLINK("https://www.tiwall.com//p/khaneyearousak7","خانه عروسک")</f>
        <v>خانه عروسک</v>
      </c>
      <c r="B1561">
        <v>80</v>
      </c>
      <c r="C1561" t="s">
        <v>180</v>
      </c>
      <c r="D1561" t="s">
        <v>12</v>
      </c>
      <c r="E1561" t="s">
        <v>13</v>
      </c>
      <c r="F1561" t="s">
        <v>555</v>
      </c>
      <c r="G1561" t="s">
        <v>4018</v>
      </c>
      <c r="H1561" t="s">
        <v>3965</v>
      </c>
      <c r="I1561">
        <v>4</v>
      </c>
      <c r="J1561">
        <v>48</v>
      </c>
      <c r="K1561" t="s">
        <v>4019</v>
      </c>
    </row>
    <row r="1562" spans="1:11" x14ac:dyDescent="0.2">
      <c r="A1562" t="str">
        <f>HYPERLINK("https://www.tiwall.com//p/raheshiri3","راه شیری")</f>
        <v>راه شیری</v>
      </c>
      <c r="B1562">
        <v>80</v>
      </c>
      <c r="C1562" t="s">
        <v>103</v>
      </c>
      <c r="D1562" t="s">
        <v>25</v>
      </c>
      <c r="E1562" t="s">
        <v>13</v>
      </c>
      <c r="F1562" t="s">
        <v>4020</v>
      </c>
      <c r="G1562" t="s">
        <v>4021</v>
      </c>
      <c r="H1562" t="s">
        <v>4022</v>
      </c>
      <c r="I1562">
        <v>4</v>
      </c>
      <c r="J1562">
        <v>6</v>
      </c>
      <c r="K1562" t="s">
        <v>4023</v>
      </c>
    </row>
    <row r="1563" spans="1:11" x14ac:dyDescent="0.2">
      <c r="A1563" t="str">
        <f>HYPERLINK("https://www.tiwall.com//p/digaran2","دیگران")</f>
        <v>دیگران</v>
      </c>
      <c r="B1563">
        <v>80</v>
      </c>
      <c r="C1563" t="s">
        <v>60</v>
      </c>
      <c r="D1563" t="s">
        <v>87</v>
      </c>
      <c r="E1563" t="s">
        <v>26</v>
      </c>
      <c r="F1563" t="s">
        <v>940</v>
      </c>
      <c r="G1563" t="s">
        <v>4024</v>
      </c>
      <c r="H1563" t="s">
        <v>4024</v>
      </c>
      <c r="I1563">
        <v>0</v>
      </c>
      <c r="J1563">
        <v>0</v>
      </c>
      <c r="K1563" t="s">
        <v>4025</v>
      </c>
    </row>
    <row r="1564" spans="1:11" x14ac:dyDescent="0.2">
      <c r="A1564" t="str">
        <f>HYPERLINK("https://www.tiwall.com//p/karim3","کِریم")</f>
        <v>کِریم</v>
      </c>
      <c r="B1564">
        <v>50</v>
      </c>
      <c r="C1564" t="s">
        <v>86</v>
      </c>
      <c r="D1564" t="s">
        <v>87</v>
      </c>
      <c r="E1564" t="s">
        <v>1673</v>
      </c>
      <c r="F1564" t="s">
        <v>1905</v>
      </c>
      <c r="G1564" t="s">
        <v>3048</v>
      </c>
      <c r="H1564" t="s">
        <v>3048</v>
      </c>
      <c r="I1564">
        <v>2.4</v>
      </c>
      <c r="J1564">
        <v>10</v>
      </c>
      <c r="K1564" t="s">
        <v>3049</v>
      </c>
    </row>
    <row r="1565" spans="1:11" x14ac:dyDescent="0.2">
      <c r="A1565" t="str">
        <f>HYPERLINK("https://www.tiwall.com//p/daliz","دالیز")</f>
        <v>دالیز</v>
      </c>
      <c r="B1565">
        <v>35</v>
      </c>
      <c r="C1565" t="s">
        <v>4026</v>
      </c>
      <c r="D1565" t="s">
        <v>299</v>
      </c>
      <c r="E1565" t="s">
        <v>138</v>
      </c>
      <c r="F1565" t="s">
        <v>467</v>
      </c>
      <c r="G1565" t="s">
        <v>4027</v>
      </c>
      <c r="H1565" t="s">
        <v>4027</v>
      </c>
      <c r="I1565">
        <v>0</v>
      </c>
      <c r="J1565">
        <v>0</v>
      </c>
      <c r="K1565" t="s">
        <v>4028</v>
      </c>
    </row>
    <row r="1566" spans="1:11" x14ac:dyDescent="0.2">
      <c r="A1566" t="str">
        <f>HYPERLINK("https://www.tiwall.com//p/lebasibaraye.mehmani4","لباسی برای مهمانی")</f>
        <v>لباسی برای مهمانی</v>
      </c>
      <c r="B1566">
        <v>60</v>
      </c>
      <c r="C1566" t="s">
        <v>166</v>
      </c>
      <c r="D1566" t="s">
        <v>25</v>
      </c>
      <c r="E1566" t="s">
        <v>13</v>
      </c>
      <c r="F1566" t="s">
        <v>2840</v>
      </c>
      <c r="G1566" t="s">
        <v>4029</v>
      </c>
      <c r="H1566" t="s">
        <v>351</v>
      </c>
      <c r="I1566">
        <v>0</v>
      </c>
      <c r="J1566">
        <v>0</v>
      </c>
      <c r="K1566" t="s">
        <v>4030</v>
      </c>
    </row>
    <row r="1567" spans="1:11" x14ac:dyDescent="0.2">
      <c r="A1567" t="str">
        <f>HYPERLINK("https://www.tiwall.com//p/faslegorbeabist","فصل گربه آبیست")</f>
        <v>فصل گربه آبیست</v>
      </c>
      <c r="B1567">
        <v>40</v>
      </c>
      <c r="C1567" t="s">
        <v>199</v>
      </c>
      <c r="D1567" t="s">
        <v>12</v>
      </c>
      <c r="E1567" t="s">
        <v>19</v>
      </c>
      <c r="F1567" t="s">
        <v>2158</v>
      </c>
      <c r="G1567" t="s">
        <v>4031</v>
      </c>
      <c r="H1567" t="s">
        <v>1976</v>
      </c>
      <c r="I1567">
        <v>0</v>
      </c>
      <c r="J1567">
        <v>0</v>
      </c>
      <c r="K1567" t="s">
        <v>4032</v>
      </c>
    </row>
    <row r="1568" spans="1:11" x14ac:dyDescent="0.2">
      <c r="A1568" t="str">
        <f>HYPERLINK("https://www.tiwall.com//p/divanehbemanam","بگذار دیوانه بمانم")</f>
        <v>بگذار دیوانه بمانم</v>
      </c>
      <c r="B1568">
        <v>45</v>
      </c>
      <c r="C1568" t="s">
        <v>56</v>
      </c>
      <c r="D1568" t="s">
        <v>280</v>
      </c>
      <c r="E1568" t="s">
        <v>46</v>
      </c>
      <c r="F1568" t="s">
        <v>4033</v>
      </c>
      <c r="G1568" t="s">
        <v>4034</v>
      </c>
      <c r="H1568" t="s">
        <v>4034</v>
      </c>
      <c r="I1568">
        <v>3.7</v>
      </c>
      <c r="J1568">
        <v>11</v>
      </c>
      <c r="K1568" t="s">
        <v>4035</v>
      </c>
    </row>
    <row r="1569" spans="1:11" x14ac:dyDescent="0.2">
      <c r="A1569" t="str">
        <f>HYPERLINK("https://www.tiwall.com//p/nimesuz","نیمه سوز تابستان")</f>
        <v>نیمه سوز تابستان</v>
      </c>
      <c r="B1569">
        <v>40</v>
      </c>
      <c r="C1569" t="s">
        <v>1215</v>
      </c>
      <c r="D1569" t="s">
        <v>217</v>
      </c>
      <c r="E1569" t="s">
        <v>415</v>
      </c>
      <c r="F1569" t="s">
        <v>842</v>
      </c>
      <c r="G1569" t="s">
        <v>4036</v>
      </c>
      <c r="H1569" t="s">
        <v>4037</v>
      </c>
      <c r="I1569">
        <v>3.8</v>
      </c>
      <c r="J1569">
        <v>5</v>
      </c>
      <c r="K1569" t="s">
        <v>4038</v>
      </c>
    </row>
    <row r="1570" spans="1:11" x14ac:dyDescent="0.2">
      <c r="A1570" t="str">
        <f>HYPERLINK("https://www.tiwall.com//p/baghevahsheshishei11","باغ وحش شیشه ای")</f>
        <v>باغ وحش شیشه ای</v>
      </c>
      <c r="B1570">
        <v>35</v>
      </c>
      <c r="C1570" t="s">
        <v>129</v>
      </c>
      <c r="D1570" t="s">
        <v>384</v>
      </c>
      <c r="E1570" t="s">
        <v>1063</v>
      </c>
      <c r="F1570" t="s">
        <v>571</v>
      </c>
      <c r="G1570" t="s">
        <v>1495</v>
      </c>
      <c r="H1570" t="s">
        <v>1496</v>
      </c>
      <c r="I1570">
        <v>0</v>
      </c>
      <c r="J1570">
        <v>0</v>
      </c>
      <c r="K1570" t="s">
        <v>4039</v>
      </c>
    </row>
    <row r="1571" spans="1:11" x14ac:dyDescent="0.2">
      <c r="A1571" t="str">
        <f>HYPERLINK("https://www.tiwall.com//p/khabidan","خوابیدن")</f>
        <v>خوابیدن</v>
      </c>
      <c r="B1571">
        <v>110</v>
      </c>
      <c r="C1571" t="s">
        <v>3088</v>
      </c>
      <c r="D1571" t="s">
        <v>280</v>
      </c>
      <c r="E1571" t="s">
        <v>13</v>
      </c>
      <c r="F1571" t="s">
        <v>592</v>
      </c>
      <c r="G1571" t="s">
        <v>62</v>
      </c>
      <c r="H1571" t="s">
        <v>62</v>
      </c>
      <c r="I1571">
        <v>4.4000000000000004</v>
      </c>
      <c r="J1571">
        <v>33</v>
      </c>
      <c r="K1571" t="s">
        <v>4040</v>
      </c>
    </row>
    <row r="1572" spans="1:11" x14ac:dyDescent="0.2">
      <c r="A1572" t="str">
        <f>HYPERLINK("https://www.tiwall.com//p/girl.on.the.train2","دختری در قطار")</f>
        <v>دختری در قطار</v>
      </c>
      <c r="B1572">
        <v>50</v>
      </c>
      <c r="C1572" t="s">
        <v>242</v>
      </c>
      <c r="D1572" t="s">
        <v>12</v>
      </c>
      <c r="E1572" t="s">
        <v>13</v>
      </c>
      <c r="F1572" t="s">
        <v>2311</v>
      </c>
      <c r="G1572" t="s">
        <v>4041</v>
      </c>
      <c r="H1572" t="s">
        <v>3445</v>
      </c>
      <c r="I1572">
        <v>0</v>
      </c>
      <c r="J1572">
        <v>0</v>
      </c>
      <c r="K1572" t="s">
        <v>4042</v>
      </c>
    </row>
    <row r="1573" spans="1:11" x14ac:dyDescent="0.2">
      <c r="A1573" t="str">
        <f>HYPERLINK("https://www.tiwall.com//p/khanoumhava2","خانم حوا")</f>
        <v>خانم حوا</v>
      </c>
      <c r="B1573">
        <v>30</v>
      </c>
      <c r="C1573" t="s">
        <v>522</v>
      </c>
      <c r="D1573" t="s">
        <v>87</v>
      </c>
      <c r="E1573" t="s">
        <v>235</v>
      </c>
      <c r="F1573" t="s">
        <v>52</v>
      </c>
      <c r="G1573" t="s">
        <v>4043</v>
      </c>
      <c r="H1573" t="s">
        <v>4043</v>
      </c>
      <c r="I1573">
        <v>0</v>
      </c>
      <c r="J1573">
        <v>0</v>
      </c>
      <c r="K1573" t="s">
        <v>4044</v>
      </c>
    </row>
    <row r="1574" spans="1:11" x14ac:dyDescent="0.2">
      <c r="A1574" t="str">
        <f>HYPERLINK("https://www.tiwall.com//p/doorazdastrasatfal6","دور از دسترس اطفال نگهداری شود")</f>
        <v>دور از دسترس اطفال نگهداری شود</v>
      </c>
      <c r="B1574">
        <v>100</v>
      </c>
      <c r="C1574" t="s">
        <v>224</v>
      </c>
      <c r="D1574" t="s">
        <v>65</v>
      </c>
      <c r="E1574" t="s">
        <v>13</v>
      </c>
      <c r="F1574" t="s">
        <v>270</v>
      </c>
      <c r="G1574" t="s">
        <v>4045</v>
      </c>
      <c r="H1574" t="s">
        <v>4046</v>
      </c>
      <c r="I1574">
        <v>4.4000000000000004</v>
      </c>
      <c r="J1574">
        <v>16</v>
      </c>
      <c r="K1574" t="s">
        <v>4047</v>
      </c>
    </row>
    <row r="1575" spans="1:11" x14ac:dyDescent="0.2">
      <c r="A1575" t="str">
        <f>HYPERLINK("https://www.tiwall.com//p/bazibazi","بازی بازی نمایش")</f>
        <v>بازی بازی نمایش</v>
      </c>
      <c r="B1575">
        <v>40</v>
      </c>
      <c r="C1575" t="s">
        <v>44</v>
      </c>
      <c r="D1575" t="s">
        <v>146</v>
      </c>
      <c r="E1575" t="s">
        <v>235</v>
      </c>
      <c r="F1575" t="s">
        <v>4048</v>
      </c>
      <c r="G1575" t="s">
        <v>2850</v>
      </c>
      <c r="H1575" t="s">
        <v>4049</v>
      </c>
      <c r="I1575">
        <v>0</v>
      </c>
      <c r="J1575">
        <v>0</v>
      </c>
      <c r="K1575" t="s">
        <v>4050</v>
      </c>
    </row>
    <row r="1576" spans="1:11" x14ac:dyDescent="0.2">
      <c r="A1576" t="str">
        <f>HYPERLINK("https://www.tiwall.com//p/mazhakeshabiheghatl5","مضحکه شبیه قتل")</f>
        <v>مضحکه شبیه قتل</v>
      </c>
      <c r="B1576">
        <v>60</v>
      </c>
      <c r="C1576" t="s">
        <v>324</v>
      </c>
      <c r="D1576" t="s">
        <v>12</v>
      </c>
      <c r="E1576" t="s">
        <v>26</v>
      </c>
      <c r="F1576" t="s">
        <v>295</v>
      </c>
      <c r="G1576" t="s">
        <v>879</v>
      </c>
      <c r="H1576" t="s">
        <v>267</v>
      </c>
      <c r="I1576">
        <v>0</v>
      </c>
      <c r="J1576">
        <v>0</v>
      </c>
      <c r="K1576" t="s">
        <v>4051</v>
      </c>
    </row>
    <row r="1577" spans="1:11" x14ac:dyDescent="0.2">
      <c r="A1577" t="str">
        <f>HYPERLINK("https://www.tiwall.com//p/jangosolh","جنگ و صلح")</f>
        <v>جنگ و صلح</v>
      </c>
      <c r="B1577">
        <v>40</v>
      </c>
      <c r="C1577" t="s">
        <v>358</v>
      </c>
      <c r="D1577" t="s">
        <v>45</v>
      </c>
      <c r="E1577" t="s">
        <v>4052</v>
      </c>
      <c r="F1577" t="s">
        <v>1126</v>
      </c>
      <c r="G1577" t="s">
        <v>1049</v>
      </c>
      <c r="H1577" t="s">
        <v>1049</v>
      </c>
      <c r="I1577">
        <v>0</v>
      </c>
      <c r="J1577">
        <v>0</v>
      </c>
      <c r="K1577" t="s">
        <v>4053</v>
      </c>
    </row>
    <row r="1578" spans="1:11" x14ac:dyDescent="0.2">
      <c r="A1578" t="str">
        <f>HYPERLINK("https://www.tiwall.com//p/aghayeeshmitkiye4","آقای اشمیت کیه؟")</f>
        <v>آقای اشمیت کیه؟</v>
      </c>
      <c r="B1578">
        <v>30</v>
      </c>
      <c r="C1578" t="s">
        <v>44</v>
      </c>
      <c r="D1578" t="s">
        <v>12</v>
      </c>
      <c r="E1578" t="s">
        <v>13</v>
      </c>
      <c r="F1578" t="s">
        <v>3188</v>
      </c>
      <c r="G1578" t="s">
        <v>4054</v>
      </c>
      <c r="H1578" t="s">
        <v>1154</v>
      </c>
      <c r="I1578">
        <v>0</v>
      </c>
      <c r="J1578">
        <v>0</v>
      </c>
      <c r="K1578" t="s">
        <v>4055</v>
      </c>
    </row>
    <row r="1579" spans="1:11" x14ac:dyDescent="0.2">
      <c r="A1579" t="str">
        <f>HYPERLINK("https://www.tiwall.com//p/senza","سنزا به ایتالیایی یعنی")</f>
        <v>سنزا به ایتالیایی یعنی</v>
      </c>
      <c r="B1579">
        <v>30</v>
      </c>
      <c r="C1579" t="s">
        <v>129</v>
      </c>
      <c r="D1579" t="s">
        <v>256</v>
      </c>
      <c r="E1579" t="s">
        <v>13</v>
      </c>
      <c r="F1579" t="s">
        <v>1920</v>
      </c>
      <c r="G1579" t="s">
        <v>1302</v>
      </c>
      <c r="H1579" t="s">
        <v>1302</v>
      </c>
      <c r="I1579">
        <v>0</v>
      </c>
      <c r="J1579">
        <v>0</v>
      </c>
      <c r="K1579" t="s">
        <v>4056</v>
      </c>
    </row>
    <row r="1580" spans="1:11" x14ac:dyDescent="0.2">
      <c r="A1580" t="str">
        <f>HYPERLINK("https://www.tiwall.com//p/kabusiye","کابوسیه")</f>
        <v>کابوسیه</v>
      </c>
      <c r="B1580">
        <v>50</v>
      </c>
      <c r="C1580" t="s">
        <v>117</v>
      </c>
      <c r="D1580" t="s">
        <v>87</v>
      </c>
      <c r="E1580" t="s">
        <v>13</v>
      </c>
      <c r="F1580" t="s">
        <v>3055</v>
      </c>
      <c r="G1580" t="s">
        <v>4057</v>
      </c>
      <c r="H1580" t="s">
        <v>4058</v>
      </c>
      <c r="I1580">
        <v>0</v>
      </c>
      <c r="J1580">
        <v>0</v>
      </c>
      <c r="K1580" t="s">
        <v>4059</v>
      </c>
    </row>
    <row r="1581" spans="1:11" x14ac:dyDescent="0.2">
      <c r="A1581" t="str">
        <f>HYPERLINK("https://www.tiwall.com//p/fereydoun","ماجرای فریدون")</f>
        <v>ماجرای فریدون</v>
      </c>
      <c r="B1581">
        <v>40</v>
      </c>
      <c r="C1581" t="s">
        <v>514</v>
      </c>
      <c r="D1581" t="s">
        <v>12</v>
      </c>
      <c r="E1581" t="s">
        <v>235</v>
      </c>
      <c r="F1581" t="s">
        <v>940</v>
      </c>
      <c r="G1581" t="s">
        <v>4060</v>
      </c>
      <c r="H1581" t="s">
        <v>4061</v>
      </c>
      <c r="I1581">
        <v>3.4</v>
      </c>
      <c r="J1581">
        <v>26</v>
      </c>
      <c r="K1581" t="s">
        <v>4061</v>
      </c>
    </row>
    <row r="1582" spans="1:11" x14ac:dyDescent="0.2">
      <c r="A1582" t="str">
        <f>HYPERLINK("https://www.tiwall.com//p/penthouse","پنت هاوس")</f>
        <v>پنت هاوس</v>
      </c>
      <c r="B1582">
        <v>60</v>
      </c>
      <c r="C1582" t="s">
        <v>86</v>
      </c>
      <c r="D1582" t="s">
        <v>45</v>
      </c>
      <c r="E1582" t="s">
        <v>19</v>
      </c>
      <c r="F1582" t="s">
        <v>2141</v>
      </c>
      <c r="G1582" t="s">
        <v>4062</v>
      </c>
      <c r="H1582" t="s">
        <v>1333</v>
      </c>
      <c r="I1582">
        <v>3.6</v>
      </c>
      <c r="J1582">
        <v>20</v>
      </c>
      <c r="K1582" t="s">
        <v>4063</v>
      </c>
    </row>
    <row r="1583" spans="1:11" x14ac:dyDescent="0.2">
      <c r="A1583" t="str">
        <f>HYPERLINK("https://www.tiwall.com//p/fakhrolzaman2","فخرالزمان")</f>
        <v>فخرالزمان</v>
      </c>
      <c r="B1583">
        <v>80</v>
      </c>
      <c r="C1583" t="s">
        <v>4064</v>
      </c>
      <c r="D1583" t="s">
        <v>45</v>
      </c>
      <c r="E1583" t="s">
        <v>303</v>
      </c>
      <c r="F1583" t="s">
        <v>295</v>
      </c>
      <c r="G1583" t="s">
        <v>4065</v>
      </c>
      <c r="H1583" t="s">
        <v>3031</v>
      </c>
      <c r="I1583">
        <v>0</v>
      </c>
      <c r="J1583">
        <v>0</v>
      </c>
      <c r="K1583" t="s">
        <v>4066</v>
      </c>
    </row>
    <row r="1584" spans="1:11" x14ac:dyDescent="0.2">
      <c r="A1584" t="str">
        <f>HYPERLINK("https://www.tiwall.com//p/sangmishavam","آنجا که من سنگ می شوم")</f>
        <v>آنجا که من سنگ می شوم</v>
      </c>
      <c r="B1584">
        <v>30</v>
      </c>
      <c r="C1584" t="s">
        <v>121</v>
      </c>
      <c r="D1584" t="s">
        <v>25</v>
      </c>
      <c r="E1584" t="s">
        <v>475</v>
      </c>
      <c r="F1584" t="s">
        <v>4067</v>
      </c>
      <c r="G1584" t="s">
        <v>4068</v>
      </c>
      <c r="H1584" t="s">
        <v>627</v>
      </c>
      <c r="I1584">
        <v>0</v>
      </c>
      <c r="J1584">
        <v>0</v>
      </c>
      <c r="K1584" t="s">
        <v>4069</v>
      </c>
    </row>
    <row r="1585" spans="1:11" x14ac:dyDescent="0.2">
      <c r="A1585" t="str">
        <f>HYPERLINK("https://www.tiwall.com//p/dokhtran.antoan","دختران بابا آنتون")</f>
        <v>دختران بابا آنتون</v>
      </c>
      <c r="B1585">
        <v>70</v>
      </c>
      <c r="C1585" t="s">
        <v>928</v>
      </c>
      <c r="D1585" t="s">
        <v>280</v>
      </c>
      <c r="E1585" t="s">
        <v>26</v>
      </c>
      <c r="F1585" t="s">
        <v>1660</v>
      </c>
      <c r="G1585" t="s">
        <v>4070</v>
      </c>
      <c r="H1585" t="s">
        <v>4071</v>
      </c>
      <c r="I1585">
        <v>4.4000000000000004</v>
      </c>
      <c r="J1585">
        <v>9</v>
      </c>
      <c r="K1585" t="s">
        <v>4072</v>
      </c>
    </row>
    <row r="1586" spans="1:11" x14ac:dyDescent="0.2">
      <c r="A1586" t="str">
        <f>HYPERLINK("https://www.tiwall.com//p/azbaskenayamadi2","از بس که نیامدی")</f>
        <v>از بس که نیامدی</v>
      </c>
      <c r="B1586">
        <v>40</v>
      </c>
      <c r="C1586" t="s">
        <v>121</v>
      </c>
      <c r="D1586" t="s">
        <v>25</v>
      </c>
      <c r="E1586" t="s">
        <v>13</v>
      </c>
      <c r="F1586" t="s">
        <v>1373</v>
      </c>
      <c r="G1586" t="s">
        <v>4073</v>
      </c>
      <c r="H1586" t="s">
        <v>4074</v>
      </c>
      <c r="I1586">
        <v>0</v>
      </c>
      <c r="J1586">
        <v>0</v>
      </c>
      <c r="K1586" t="s">
        <v>4075</v>
      </c>
    </row>
    <row r="1587" spans="1:11" x14ac:dyDescent="0.2">
      <c r="A1587" t="str">
        <f>HYPERLINK("https://www.tiwall.com//p/scarface3","صورت زخمی")</f>
        <v>صورت زخمی</v>
      </c>
      <c r="B1587">
        <v>30</v>
      </c>
      <c r="C1587" t="s">
        <v>417</v>
      </c>
      <c r="D1587" t="s">
        <v>87</v>
      </c>
      <c r="E1587" t="s">
        <v>26</v>
      </c>
      <c r="F1587" t="s">
        <v>515</v>
      </c>
      <c r="G1587" t="s">
        <v>3174</v>
      </c>
      <c r="H1587" t="s">
        <v>4076</v>
      </c>
      <c r="I1587">
        <v>0</v>
      </c>
      <c r="J1587">
        <v>0</v>
      </c>
      <c r="K1587" t="s">
        <v>4077</v>
      </c>
    </row>
    <row r="1588" spans="1:11" x14ac:dyDescent="0.2">
      <c r="A1588" t="str">
        <f>HYPERLINK("https://www.tiwall.com//p/mansh","مانش")</f>
        <v>مانش</v>
      </c>
      <c r="B1588">
        <v>80</v>
      </c>
      <c r="C1588" t="s">
        <v>410</v>
      </c>
      <c r="D1588" t="s">
        <v>1353</v>
      </c>
      <c r="E1588" t="s">
        <v>13</v>
      </c>
      <c r="F1588" t="s">
        <v>1822</v>
      </c>
      <c r="G1588" t="s">
        <v>4078</v>
      </c>
      <c r="H1588" t="s">
        <v>4079</v>
      </c>
      <c r="I1588">
        <v>3.9</v>
      </c>
      <c r="J1588">
        <v>79</v>
      </c>
      <c r="K1588" t="s">
        <v>4080</v>
      </c>
    </row>
    <row r="1589" spans="1:11" x14ac:dyDescent="0.2">
      <c r="A1589" t="str">
        <f>HYPERLINK("https://www.tiwall.com//p/cocacola","کوکاکولا")</f>
        <v>کوکاکولا</v>
      </c>
      <c r="B1589">
        <v>38</v>
      </c>
      <c r="C1589" t="s">
        <v>151</v>
      </c>
      <c r="D1589" t="s">
        <v>87</v>
      </c>
      <c r="E1589" t="s">
        <v>13</v>
      </c>
      <c r="F1589" t="s">
        <v>4081</v>
      </c>
      <c r="G1589" t="s">
        <v>4082</v>
      </c>
      <c r="H1589" t="s">
        <v>4082</v>
      </c>
      <c r="I1589">
        <v>2.2999999999999998</v>
      </c>
      <c r="J1589">
        <v>12</v>
      </c>
      <c r="K1589" t="s">
        <v>4083</v>
      </c>
    </row>
    <row r="1590" spans="1:11" x14ac:dyDescent="0.2">
      <c r="A1590" t="str">
        <f>HYPERLINK("https://www.tiwall.com//p/white3","سفید")</f>
        <v>سفید</v>
      </c>
      <c r="B1590">
        <v>80</v>
      </c>
      <c r="C1590" t="s">
        <v>151</v>
      </c>
      <c r="D1590" t="s">
        <v>87</v>
      </c>
      <c r="E1590" t="s">
        <v>71</v>
      </c>
      <c r="F1590" t="s">
        <v>778</v>
      </c>
      <c r="G1590" t="s">
        <v>3582</v>
      </c>
      <c r="H1590" t="s">
        <v>1499</v>
      </c>
      <c r="I1590">
        <v>4.3</v>
      </c>
      <c r="J1590">
        <v>15</v>
      </c>
      <c r="K1590" t="s">
        <v>3583</v>
      </c>
    </row>
    <row r="1591" spans="1:11" x14ac:dyDescent="0.2">
      <c r="A1591" t="str">
        <f>HYPERLINK("https://www.tiwall.com//p/oleanna6","اولئانا")</f>
        <v>اولئانا</v>
      </c>
      <c r="B1591">
        <v>30</v>
      </c>
      <c r="C1591" t="s">
        <v>514</v>
      </c>
      <c r="D1591" t="s">
        <v>12</v>
      </c>
      <c r="E1591" t="s">
        <v>13</v>
      </c>
      <c r="F1591" t="s">
        <v>449</v>
      </c>
      <c r="G1591" t="s">
        <v>4084</v>
      </c>
      <c r="H1591" t="s">
        <v>3314</v>
      </c>
      <c r="I1591">
        <v>2.8</v>
      </c>
      <c r="J1591">
        <v>13</v>
      </c>
      <c r="K1591" t="s">
        <v>4085</v>
      </c>
    </row>
    <row r="1592" spans="1:11" x14ac:dyDescent="0.2">
      <c r="A1592" t="str">
        <f>HYPERLINK("https://www.tiwall.com//p/mimbimari4","بیماری خانواده میم")</f>
        <v>بیماری خانواده میم</v>
      </c>
      <c r="B1592">
        <v>40</v>
      </c>
      <c r="C1592" t="s">
        <v>344</v>
      </c>
      <c r="D1592" t="s">
        <v>45</v>
      </c>
      <c r="E1592" t="s">
        <v>19</v>
      </c>
      <c r="F1592" t="s">
        <v>2406</v>
      </c>
      <c r="G1592" t="s">
        <v>3637</v>
      </c>
      <c r="H1592" t="s">
        <v>4086</v>
      </c>
      <c r="I1592">
        <v>4.0999999999999996</v>
      </c>
      <c r="J1592">
        <v>20</v>
      </c>
      <c r="K1592" t="s">
        <v>4087</v>
      </c>
    </row>
  </sheetData>
  <autoFilter ref="A1:K1592"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Hesam Nikzad Jamnani</cp:lastModifiedBy>
  <dcterms:created xsi:type="dcterms:W3CDTF">2023-07-14T17:40:03Z</dcterms:created>
  <dcterms:modified xsi:type="dcterms:W3CDTF">2023-07-14T18:13:56Z</dcterms:modified>
</cp:coreProperties>
</file>