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93.xml" ContentType="application/vnd.ms-excel.controlproperties+xml"/>
  <Override PartName="/xl/drawings/drawing10.xml" ContentType="application/vnd.openxmlformats-officedocument.drawing+xml"/>
  <Override PartName="/xl/ctrlProps/ctrlProp94.xml" ContentType="application/vnd.ms-excel.controlproperties+xml"/>
  <Override PartName="/xl/ctrlProps/ctrlProp95.xml" ContentType="application/vnd.ms-excel.controlproperties+xml"/>
  <Override PartName="/xl/comments7.xml" ContentType="application/vnd.openxmlformats-officedocument.spreadsheetml.comments+xml"/>
  <Override PartName="/xl/charts/chart50.xml" ContentType="application/vnd.openxmlformats-officedocument.drawingml.chart+xml"/>
  <Override PartName="/xl/charts/chart51.xml" ContentType="application/vnd.openxmlformats-officedocument.drawingml.chart+xml"/>
  <Override PartName="/xl/drawings/drawing11.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drawings/drawing12.xml" ContentType="application/vnd.openxmlformats-officedocument.drawing+xml"/>
  <Override PartName="/xl/ctrlProps/ctrlProp96.xml" ContentType="application/vnd.ms-excel.controlproperties+xml"/>
  <Override PartName="/xl/drawings/drawing13.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W:\Wind_Tunnels\Guelph\profilecheck\UK\Development\LightUrban\"/>
    </mc:Choice>
  </mc:AlternateContent>
  <xr:revisionPtr revIDLastSave="0" documentId="13_ncr:1_{A047998E-78B8-49CB-8499-DAFC824F76B4}" xr6:coauthVersionLast="47" xr6:coauthVersionMax="47" xr10:uidLastSave="{00000000-0000-0000-0000-000000000000}"/>
  <bookViews>
    <workbookView xWindow="-28920" yWindow="-120" windowWidth="29040" windowHeight="15840" firstSheet="12" activeTab="13" xr2:uid="{4464E880-540B-4262-A817-687D549F5724}"/>
  </bookViews>
  <sheets>
    <sheet name="Terrain roughness" sheetId="17" r:id="rId1"/>
    <sheet name="Reference Site" sheetId="1" r:id="rId2"/>
    <sheet name="Ref. Site topography" sheetId="4" r:id="rId3"/>
    <sheet name="Target Site" sheetId="2" r:id="rId4"/>
    <sheet name="Target Site topography" sheetId="3" r:id="rId5"/>
    <sheet name="Wind speed" sheetId="5" r:id="rId6"/>
    <sheet name="Flow deviations" sheetId="15" r:id="rId7"/>
    <sheet name="u-component turbulence" sheetId="6" r:id="rId8"/>
    <sheet name="v-component turbulence" sheetId="7" r:id="rId9"/>
    <sheet name="w-component turbulence" sheetId="8" r:id="rId10"/>
    <sheet name="Spectral densities" sheetId="18" r:id="rId11"/>
    <sheet name="ESDUView" sheetId="35" r:id="rId12"/>
    <sheet name="Create EDOX for Pre-ESDUView" sheetId="34" r:id="rId13"/>
    <sheet name="RWDI_FACTORS" sheetId="19" r:id="rId14"/>
    <sheet name="PLOTS" sheetId="23" r:id="rId15"/>
    <sheet name="PLW Factors" sheetId="36" r:id="rId16"/>
    <sheet name="Tunnel CTL File" sheetId="40" r:id="rId17"/>
    <sheet name="ASCE 7-98" sheetId="21" r:id="rId18"/>
    <sheet name="Profile Data" sheetId="20" r:id="rId19"/>
    <sheet name="Revisions" sheetId="22" r:id="rId20"/>
    <sheet name="Export Old Projects" sheetId="33" r:id="rId21"/>
    <sheet name="Module1" sheetId="9" state="veryHidden" r:id=""/>
    <sheet name="Module2" sheetId="10" state="veryHidden" r:id=""/>
    <sheet name="Module3" sheetId="11" state="veryHidden" r:id=""/>
    <sheet name="Module4" sheetId="12" state="veryHidden" r:id=""/>
    <sheet name="Module5" sheetId="13" state="veryHidden" r:id=""/>
  </sheets>
  <functionGroups builtInGroupCount="19"/>
  <externalReferences>
    <externalReference r:id="rId22"/>
    <externalReference r:id="rId23"/>
    <externalReference r:id="rId24"/>
  </externalReferences>
  <definedNames>
    <definedName name="ESDUView_Source_File" localSheetId="11">ESDUView!$D$6</definedName>
    <definedName name="ESDUView_Source_File" localSheetId="20">[1]ESDUView!$D$6</definedName>
    <definedName name="ESDUViewData" localSheetId="11">ESDUView!$C$10</definedName>
    <definedName name="firstDirData" localSheetId="20">[1]RWDI_FACTORS!$M$14</definedName>
    <definedName name="firstDirData">RWDI_FACTORS!$M$14</definedName>
    <definedName name="firstDirHeading" localSheetId="20">[1]RWDI_FACTORS!$M$12</definedName>
    <definedName name="firstDirHeading">RWDI_FACTORS!$M$12</definedName>
    <definedName name="JobName" localSheetId="11">ESDUView!$D$2</definedName>
    <definedName name="JobName" localSheetId="20">[1]ESDUView!$D$2</definedName>
    <definedName name="JobName">ESDUView!$D$2</definedName>
    <definedName name="JobNumber" localSheetId="11">ESDUView!$D$1</definedName>
    <definedName name="JobNumber" localSheetId="20">[1]ESDUView!$D$1</definedName>
    <definedName name="JobNumber">ESDUView!$D$1</definedName>
    <definedName name="Latitude" localSheetId="11">ESDUView!$D$3</definedName>
    <definedName name="Longitude" localSheetId="11">ESDUView!$D$4</definedName>
    <definedName name="_xlnm.Print_Area" localSheetId="14">PLOTS!$B$2:$S$126</definedName>
    <definedName name="radius" localSheetId="20">'Export Old Projects'!$C$25</definedName>
    <definedName name="SiteLocation" localSheetId="16">'[2]Target Site'!$H$2:$L$2</definedName>
    <definedName name="SiteLocation">'[3]Target Site'!$H$2:$L$2</definedName>
    <definedName name="SiteName" localSheetId="16">'[2]Target Site'!$H$1:$L$1</definedName>
    <definedName name="SiteName">'[3]Target Site'!$H$1:$L$1</definedName>
    <definedName name="TargetSiteFirstFetchCaseNumber" localSheetId="11">ESDUView!$D$7</definedName>
    <definedName name="windtunnelA24ER">'Profile Data'!$HY$8:$II$27</definedName>
    <definedName name="windtunnelA24ERheight">'Profile Data'!$HY$8:$HY$27</definedName>
    <definedName name="windtunnelA24ERnames">'Profile Data'!$HY$2:$II$3</definedName>
    <definedName name="windtunnelA24LE">'Profile Data'!$HC$8:$HO$27</definedName>
    <definedName name="windtunnelA24LEheight">'Profile Data'!$HC$8:$HC$27</definedName>
    <definedName name="windtunnelA24LEnames">'Profile Data'!$HC$2:$HO$3</definedName>
    <definedName name="windtunnelB12ER">'Profile Data'!$GH$97:$GR$116</definedName>
    <definedName name="windtunnelB12ERheight">'Profile Data'!$GH$97:$GH$116</definedName>
    <definedName name="windtunnelB12ERnames">'Profile Data'!$GH$91:$GR$92</definedName>
    <definedName name="windtunnelB12LE">'Profile Data'!$GH$8:$GT$27</definedName>
    <definedName name="windtunnelB12LEheight">'Profile Data'!$GH$8:$GH$27</definedName>
    <definedName name="windtunnelB12LEMod">'Profile Data'!$GH$51:$GZ$70</definedName>
    <definedName name="windtunnelB12LEModheight">'Profile Data'!$GH$51:$GH$70</definedName>
    <definedName name="windtunnelB12LEModNames">'Profile Data'!$GH$45:$GZ$46</definedName>
    <definedName name="windtunnelB12LEnames">'Profile Data'!$GH$2:$GT$3</definedName>
    <definedName name="windtunnelC12">'Profile Data'!$IU$8:$JG$27</definedName>
    <definedName name="windtunnelC12height">'Profile Data'!$IU$8:$IU$27</definedName>
    <definedName name="windtunnelC12Mod">'Profile Data'!$IU$51:$JM$70</definedName>
    <definedName name="windtunnelC12Modheight">'Profile Data'!$IU$51:$IU$70</definedName>
    <definedName name="windtunnelC12ModNames">'Profile Data'!$IU$45:$JM$46</definedName>
    <definedName name="windtunnelC12names">'Profile Data'!$IU$2:$JG$3</definedName>
    <definedName name="windtunnelind">'Profile Data'!$FN$8:$FZ$27</definedName>
    <definedName name="windtunnelindheight">'Profile Data'!$FN$8:$FN$27</definedName>
    <definedName name="windtunnelindnames">'Profile Data'!$FN$2:$FZ$3</definedName>
    <definedName name="windtunnelmkA">'Profile Data'!$EJ$8:$EV$27</definedName>
    <definedName name="windtunnelmkaheight">'Profile Data'!$EJ$8:$EJ$27</definedName>
    <definedName name="windtunnelmkanames">'Profile Data'!$EJ$2:$EV$3</definedName>
    <definedName name="windtunnelmkb">'Profile Data'!$EY$8:$FK$27</definedName>
    <definedName name="windtunnelmkbheight">'Profile Data'!$EY$8:$EY$27</definedName>
    <definedName name="windtunnelmkbnames">'Profile Data'!$EY$2:$FK$3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36" l="1"/>
  <c r="O35" i="19"/>
  <c r="P35" i="19"/>
  <c r="Q35" i="19"/>
  <c r="R35" i="19"/>
  <c r="S35" i="19"/>
  <c r="T35" i="19"/>
  <c r="U35" i="19"/>
  <c r="V35" i="19"/>
  <c r="W35" i="19"/>
  <c r="X35" i="19"/>
  <c r="Y35" i="19"/>
  <c r="Z35" i="19"/>
  <c r="AA35" i="19"/>
  <c r="AB35" i="19"/>
  <c r="I35" i="19"/>
  <c r="J35" i="19"/>
  <c r="K35" i="19"/>
  <c r="L35" i="19"/>
  <c r="M35" i="19"/>
  <c r="N35" i="19"/>
  <c r="H35" i="19"/>
  <c r="L36" i="19"/>
  <c r="K36" i="19"/>
  <c r="I36" i="19"/>
  <c r="H36" i="19"/>
  <c r="F140" i="19"/>
  <c r="I28" i="19" l="1" a="1"/>
  <c r="I28" i="19" s="1"/>
  <c r="J28" i="19" a="1"/>
  <c r="J28" i="19" s="1"/>
  <c r="K28" i="19" a="1"/>
  <c r="K28" i="19" s="1"/>
  <c r="L28" i="19" a="1"/>
  <c r="L28" i="19"/>
  <c r="M28" i="19" a="1"/>
  <c r="M28" i="19" s="1"/>
  <c r="N28" i="19" a="1"/>
  <c r="N28" i="19" s="1"/>
  <c r="O28" i="19" a="1"/>
  <c r="O28" i="19" s="1"/>
  <c r="P28" i="19" a="1"/>
  <c r="P28" i="19"/>
  <c r="Q28" i="19" a="1"/>
  <c r="Q28" i="19" s="1"/>
  <c r="R28" i="19" a="1"/>
  <c r="R28" i="19" s="1"/>
  <c r="S28" i="19" a="1"/>
  <c r="S28" i="19" s="1"/>
  <c r="T28" i="19" a="1"/>
  <c r="T28" i="19"/>
  <c r="U28" i="19" a="1"/>
  <c r="U28" i="19" s="1"/>
  <c r="V28" i="19" a="1"/>
  <c r="V28" i="19" s="1"/>
  <c r="W28" i="19" a="1"/>
  <c r="W28" i="19" s="1"/>
  <c r="X28" i="19" a="1"/>
  <c r="X28" i="19" s="1"/>
  <c r="Y28" i="19" a="1"/>
  <c r="Y28" i="19" s="1"/>
  <c r="Z28" i="19" a="1"/>
  <c r="Z28" i="19" s="1"/>
  <c r="AA28" i="19" a="1"/>
  <c r="AA28" i="19" s="1"/>
  <c r="AB28" i="19" a="1"/>
  <c r="AB28" i="19" s="1"/>
  <c r="H28" i="19" a="1"/>
  <c r="H28" i="19" s="1"/>
  <c r="I29" i="19" a="1"/>
  <c r="I29" i="19" s="1"/>
  <c r="J29" i="19" a="1"/>
  <c r="J29" i="19" s="1"/>
  <c r="K29" i="19" a="1"/>
  <c r="K29" i="19" s="1"/>
  <c r="L29" i="19" a="1"/>
  <c r="L29" i="19" s="1"/>
  <c r="M29" i="19" a="1"/>
  <c r="M29" i="19" s="1"/>
  <c r="N29" i="19" a="1"/>
  <c r="N29" i="19" s="1"/>
  <c r="O29" i="19" a="1"/>
  <c r="O29" i="19" s="1"/>
  <c r="P29" i="19" a="1"/>
  <c r="P29" i="19" s="1"/>
  <c r="Q29" i="19" a="1"/>
  <c r="Q29" i="19" s="1"/>
  <c r="R29" i="19" a="1"/>
  <c r="R29" i="19" s="1"/>
  <c r="S29" i="19" a="1"/>
  <c r="S29" i="19" s="1"/>
  <c r="T29" i="19" a="1"/>
  <c r="T29" i="19" s="1"/>
  <c r="U29" i="19" a="1"/>
  <c r="U29" i="19" s="1"/>
  <c r="V29" i="19" a="1"/>
  <c r="V29" i="19" s="1"/>
  <c r="W29" i="19" a="1"/>
  <c r="W29" i="19" s="1"/>
  <c r="X29" i="19" a="1"/>
  <c r="X29" i="19"/>
  <c r="Y29" i="19" a="1"/>
  <c r="Y29" i="19" s="1"/>
  <c r="Z29" i="19" a="1"/>
  <c r="Z29" i="19" s="1"/>
  <c r="AA29" i="19" a="1"/>
  <c r="AA29" i="19" s="1"/>
  <c r="AB29" i="19" a="1"/>
  <c r="AB29" i="19" s="1"/>
  <c r="H29" i="19" a="1"/>
  <c r="H29" i="19" s="1"/>
  <c r="G27" i="19"/>
  <c r="D6" i="19" l="1"/>
  <c r="E35" i="2" l="1"/>
  <c r="F35" i="2"/>
  <c r="G35" i="2"/>
  <c r="H35" i="2"/>
  <c r="I35" i="2"/>
  <c r="J35" i="2"/>
  <c r="K35" i="2"/>
  <c r="L35" i="2"/>
  <c r="M35" i="2"/>
  <c r="N35" i="2"/>
  <c r="O35" i="2"/>
  <c r="P35" i="2"/>
  <c r="Q35" i="2"/>
  <c r="R35" i="2"/>
  <c r="S35" i="2"/>
  <c r="T35" i="2"/>
  <c r="U35" i="2"/>
  <c r="V35" i="2"/>
  <c r="W35" i="2"/>
  <c r="D35" i="2"/>
  <c r="F28" i="19"/>
  <c r="C190" i="36"/>
  <c r="BM8" i="20"/>
  <c r="BM9" i="20"/>
  <c r="BM10" i="20"/>
  <c r="BM11" i="20"/>
  <c r="BM12" i="20"/>
  <c r="BM13" i="20"/>
  <c r="BM14" i="20"/>
  <c r="BM15" i="20"/>
  <c r="BM16" i="20"/>
  <c r="BM17" i="20"/>
  <c r="BM18" i="20"/>
  <c r="BM19" i="20"/>
  <c r="BM20" i="20"/>
  <c r="BM21" i="20"/>
  <c r="BM22" i="20"/>
  <c r="BM23" i="20"/>
  <c r="BM24" i="20"/>
  <c r="BM25" i="20"/>
  <c r="BM26" i="20"/>
  <c r="BM27" i="20"/>
  <c r="BO31" i="20"/>
  <c r="BO33" i="20"/>
  <c r="AZ4" i="20"/>
  <c r="AY3" i="20"/>
  <c r="AJ4" i="20"/>
  <c r="AL4" i="20"/>
  <c r="AN4" i="20"/>
  <c r="AP4" i="20"/>
  <c r="AR4" i="20"/>
  <c r="AT4" i="20"/>
  <c r="AV4" i="20"/>
  <c r="AX4" i="20"/>
  <c r="AI3" i="20"/>
  <c r="AK3" i="20"/>
  <c r="AM3" i="20"/>
  <c r="AO3" i="20"/>
  <c r="AQ3" i="20"/>
  <c r="AS3" i="20"/>
  <c r="AU3" i="20"/>
  <c r="AW3" i="20"/>
  <c r="AF4" i="20"/>
  <c r="AE3" i="20"/>
  <c r="BR1" i="20"/>
  <c r="BS1" i="20"/>
  <c r="BT1" i="20"/>
  <c r="BU1" i="20"/>
  <c r="BV1" i="20"/>
  <c r="BW1" i="20"/>
  <c r="BX1" i="20"/>
  <c r="BY1" i="20"/>
  <c r="BZ1" i="20"/>
  <c r="CA1" i="20"/>
  <c r="P4" i="40"/>
  <c r="H6" i="40"/>
  <c r="I9" i="40" s="1"/>
  <c r="I10" i="40" s="1"/>
  <c r="I11" i="40" s="1"/>
  <c r="I12" i="40" s="1"/>
  <c r="I13" i="40" s="1"/>
  <c r="I14" i="40" s="1"/>
  <c r="I15" i="40" s="1"/>
  <c r="I16" i="40" s="1"/>
  <c r="I17" i="40" s="1"/>
  <c r="I18" i="40" s="1"/>
  <c r="I19" i="40" s="1"/>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P5" i="40"/>
  <c r="P6" i="40" s="1"/>
  <c r="Q44" i="40"/>
  <c r="Q43" i="40"/>
  <c r="Q42" i="40"/>
  <c r="Q41" i="40"/>
  <c r="Q40" i="40"/>
  <c r="Q39" i="40"/>
  <c r="Q38" i="40"/>
  <c r="Q37" i="40"/>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K9" i="40"/>
  <c r="K10" i="40" s="1"/>
  <c r="K11" i="40" s="1"/>
  <c r="K12" i="40" s="1"/>
  <c r="K13" i="40" s="1"/>
  <c r="K14" i="40" s="1"/>
  <c r="K15" i="40" s="1"/>
  <c r="K16" i="40" s="1"/>
  <c r="K17" i="40" s="1"/>
  <c r="K18" i="40" s="1"/>
  <c r="K19" i="40" s="1"/>
  <c r="K20" i="40" s="1"/>
  <c r="K21" i="40" s="1"/>
  <c r="K22" i="40" s="1"/>
  <c r="K23" i="40" s="1"/>
  <c r="K24" i="40" s="1"/>
  <c r="K25" i="40" s="1"/>
  <c r="K26" i="40" s="1"/>
  <c r="K27" i="40" s="1"/>
  <c r="K28" i="40" s="1"/>
  <c r="K29" i="40" s="1"/>
  <c r="K30" i="40" s="1"/>
  <c r="K31" i="40" s="1"/>
  <c r="K32" i="40" s="1"/>
  <c r="K33" i="40" s="1"/>
  <c r="K34" i="40" s="1"/>
  <c r="K35" i="40" s="1"/>
  <c r="K36" i="40" s="1"/>
  <c r="K37" i="40" s="1"/>
  <c r="K38" i="40" s="1"/>
  <c r="K39" i="40" s="1"/>
  <c r="K40" i="40" s="1"/>
  <c r="K41" i="40" s="1"/>
  <c r="K42" i="40" s="1"/>
  <c r="K43" i="40" s="1"/>
  <c r="K44" i="40" s="1"/>
  <c r="H7" i="40"/>
  <c r="C34" i="40"/>
  <c r="B34" i="40"/>
  <c r="C32" i="40"/>
  <c r="B32" i="40"/>
  <c r="C31" i="40"/>
  <c r="B31" i="40"/>
  <c r="C30" i="40"/>
  <c r="B30" i="40"/>
  <c r="C29" i="40"/>
  <c r="B29" i="40"/>
  <c r="C8" i="40"/>
  <c r="J47" i="33"/>
  <c r="DC11" i="33" s="1"/>
  <c r="J3" i="19"/>
  <c r="J104" i="19"/>
  <c r="H9" i="40"/>
  <c r="CB5" i="33"/>
  <c r="CB42" i="33" s="1"/>
  <c r="J105" i="19"/>
  <c r="H10" i="40"/>
  <c r="CB6" i="33"/>
  <c r="CB43" i="33" s="1"/>
  <c r="J106" i="19"/>
  <c r="H11" i="40"/>
  <c r="AX23" i="23"/>
  <c r="AY23" i="23"/>
  <c r="AZ23" i="23"/>
  <c r="BA23" i="23"/>
  <c r="BB23" i="23"/>
  <c r="BC23" i="23"/>
  <c r="BD23" i="23"/>
  <c r="BE23" i="23"/>
  <c r="BF23" i="23"/>
  <c r="BG23" i="23"/>
  <c r="BH23" i="23"/>
  <c r="BI23" i="23"/>
  <c r="BJ23" i="23"/>
  <c r="BK23" i="23"/>
  <c r="BL23" i="23"/>
  <c r="AW23" i="23"/>
  <c r="AV23" i="23"/>
  <c r="J107" i="19"/>
  <c r="H12" i="40"/>
  <c r="CB7" i="33"/>
  <c r="CB44" i="33" s="1"/>
  <c r="D10" i="19"/>
  <c r="E7" i="19"/>
  <c r="CB8" i="33"/>
  <c r="CB45" i="33" s="1"/>
  <c r="J108" i="19"/>
  <c r="H13" i="40"/>
  <c r="A22" i="2"/>
  <c r="O102" i="19" s="1"/>
  <c r="W56" i="20"/>
  <c r="X56" i="20" s="1"/>
  <c r="CB9" i="33"/>
  <c r="CB46" i="33" s="1"/>
  <c r="J109" i="19"/>
  <c r="H14" i="40"/>
  <c r="CB10" i="33"/>
  <c r="CB47" i="33" s="1"/>
  <c r="J110" i="19"/>
  <c r="H15" i="40"/>
  <c r="CB11" i="33"/>
  <c r="CB48" i="33" s="1"/>
  <c r="J111" i="19"/>
  <c r="H16" i="40"/>
  <c r="CB12" i="33"/>
  <c r="CB49" i="33"/>
  <c r="J112" i="19"/>
  <c r="H17" i="40"/>
  <c r="C100" i="36"/>
  <c r="O70" i="20"/>
  <c r="O69" i="20"/>
  <c r="O68" i="20"/>
  <c r="O67" i="20"/>
  <c r="O66" i="20"/>
  <c r="CB13" i="33"/>
  <c r="CB50" i="33" s="1"/>
  <c r="J113" i="19"/>
  <c r="H18" i="40"/>
  <c r="C110" i="36"/>
  <c r="AC48" i="19"/>
  <c r="AC49" i="19"/>
  <c r="AC50" i="19"/>
  <c r="AC51" i="19"/>
  <c r="AC52" i="19"/>
  <c r="AC53" i="19"/>
  <c r="AC54" i="19"/>
  <c r="AC55" i="19"/>
  <c r="AC56" i="19"/>
  <c r="AC57" i="19"/>
  <c r="AC58" i="19"/>
  <c r="AC59" i="19"/>
  <c r="AC60" i="19"/>
  <c r="AC61" i="19"/>
  <c r="W38" i="20"/>
  <c r="CB14" i="33"/>
  <c r="CB51" i="33" s="1"/>
  <c r="J114" i="19"/>
  <c r="H19" i="40"/>
  <c r="C120" i="36"/>
  <c r="CB15" i="33"/>
  <c r="CB52" i="33" s="1"/>
  <c r="J115" i="19"/>
  <c r="H20" i="40"/>
  <c r="C130" i="36"/>
  <c r="D214" i="36"/>
  <c r="E214" i="36"/>
  <c r="F214" i="36"/>
  <c r="G214" i="36"/>
  <c r="H214" i="36"/>
  <c r="I214" i="36"/>
  <c r="J214" i="36"/>
  <c r="K214" i="36"/>
  <c r="L214" i="36"/>
  <c r="M214" i="36"/>
  <c r="N214" i="36"/>
  <c r="O214" i="36"/>
  <c r="P214" i="36"/>
  <c r="Q214" i="36"/>
  <c r="R214" i="36"/>
  <c r="S214" i="36"/>
  <c r="T214" i="36"/>
  <c r="U214" i="36"/>
  <c r="V214" i="36"/>
  <c r="W214" i="36"/>
  <c r="C214" i="36"/>
  <c r="D43" i="36"/>
  <c r="E43" i="36"/>
  <c r="F43" i="36"/>
  <c r="G43" i="36"/>
  <c r="H43" i="36"/>
  <c r="I43" i="36"/>
  <c r="J43" i="36"/>
  <c r="K43" i="36"/>
  <c r="L43" i="36"/>
  <c r="M43" i="36"/>
  <c r="N43" i="36"/>
  <c r="O43" i="36"/>
  <c r="P43" i="36"/>
  <c r="Q43" i="36"/>
  <c r="R43" i="36"/>
  <c r="S43" i="36"/>
  <c r="T43" i="36"/>
  <c r="U43" i="36"/>
  <c r="V43" i="36"/>
  <c r="W43" i="36"/>
  <c r="C43" i="36"/>
  <c r="C33" i="36"/>
  <c r="CB16" i="33"/>
  <c r="CB53" i="33" s="1"/>
  <c r="J116" i="19"/>
  <c r="H21" i="40"/>
  <c r="C140" i="36"/>
  <c r="CB17" i="33"/>
  <c r="CB54" i="33" s="1"/>
  <c r="J117" i="19"/>
  <c r="H22" i="40"/>
  <c r="C150" i="36"/>
  <c r="S8" i="20"/>
  <c r="S9" i="20"/>
  <c r="S10" i="20"/>
  <c r="S11" i="20"/>
  <c r="S12" i="20"/>
  <c r="S13" i="20"/>
  <c r="S14" i="20"/>
  <c r="S15" i="20"/>
  <c r="S16" i="20"/>
  <c r="S17" i="20"/>
  <c r="S18" i="20"/>
  <c r="S19" i="20"/>
  <c r="S20" i="20"/>
  <c r="S21" i="20"/>
  <c r="S22" i="20"/>
  <c r="S23" i="20"/>
  <c r="S24" i="20"/>
  <c r="S25" i="20"/>
  <c r="S26" i="20"/>
  <c r="S27" i="20"/>
  <c r="CB18" i="33"/>
  <c r="CB55" i="33" s="1"/>
  <c r="J118" i="19"/>
  <c r="H23" i="40"/>
  <c r="C160" i="36"/>
  <c r="Y75" i="20"/>
  <c r="CB19" i="33"/>
  <c r="CB56" i="33" s="1"/>
  <c r="J119" i="19"/>
  <c r="H24" i="40"/>
  <c r="C170" i="36"/>
  <c r="C180" i="36"/>
  <c r="AA75" i="20"/>
  <c r="CB20" i="33"/>
  <c r="CB57" i="33" s="1"/>
  <c r="J120" i="19"/>
  <c r="H25" i="40"/>
  <c r="AC75" i="20"/>
  <c r="AH4" i="20"/>
  <c r="AG3" i="20"/>
  <c r="CB21" i="33"/>
  <c r="CB58" i="33" s="1"/>
  <c r="J121" i="19"/>
  <c r="H26" i="40"/>
  <c r="AE75" i="20"/>
  <c r="BL22" i="23"/>
  <c r="BK22" i="23"/>
  <c r="BJ22" i="23"/>
  <c r="BI22" i="23"/>
  <c r="BH22" i="23"/>
  <c r="BG22" i="23"/>
  <c r="BF22" i="23"/>
  <c r="BE22" i="23"/>
  <c r="BD22" i="23"/>
  <c r="BC22" i="23"/>
  <c r="BB22" i="23"/>
  <c r="BA22" i="23"/>
  <c r="AZ22" i="23"/>
  <c r="AY22" i="23"/>
  <c r="AX22" i="23"/>
  <c r="AW22" i="23"/>
  <c r="BL21" i="23"/>
  <c r="BK21" i="23"/>
  <c r="BJ21" i="23"/>
  <c r="BI21" i="23"/>
  <c r="BH21" i="23"/>
  <c r="BG21" i="23"/>
  <c r="BF21" i="23"/>
  <c r="BE21" i="23"/>
  <c r="BD21" i="23"/>
  <c r="BC21" i="23"/>
  <c r="BB21" i="23"/>
  <c r="BA21" i="23"/>
  <c r="AZ21" i="23"/>
  <c r="AY21" i="23"/>
  <c r="AX21" i="23"/>
  <c r="AW21" i="23"/>
  <c r="BL20" i="23"/>
  <c r="BK20" i="23"/>
  <c r="BJ20" i="23"/>
  <c r="BI20" i="23"/>
  <c r="BH20" i="23"/>
  <c r="BG20" i="23"/>
  <c r="BF20" i="23"/>
  <c r="BE20" i="23"/>
  <c r="BD20" i="23"/>
  <c r="BC20" i="23"/>
  <c r="BB20" i="23"/>
  <c r="BA20" i="23"/>
  <c r="AZ20" i="23"/>
  <c r="AY20" i="23"/>
  <c r="AX20" i="23"/>
  <c r="AW20" i="23"/>
  <c r="BL19" i="23"/>
  <c r="BK19" i="23"/>
  <c r="BJ19" i="23"/>
  <c r="BI19" i="23"/>
  <c r="BH19" i="23"/>
  <c r="BG19" i="23"/>
  <c r="BF19" i="23"/>
  <c r="BE19" i="23"/>
  <c r="BD19" i="23"/>
  <c r="BC19" i="23"/>
  <c r="BB19" i="23"/>
  <c r="BA19" i="23"/>
  <c r="AZ19" i="23"/>
  <c r="AY19" i="23"/>
  <c r="AX19" i="23"/>
  <c r="AW19" i="23"/>
  <c r="BL18" i="23"/>
  <c r="BK18" i="23"/>
  <c r="BJ18" i="23"/>
  <c r="BI18" i="23"/>
  <c r="BH18" i="23"/>
  <c r="BG18" i="23"/>
  <c r="BF18" i="23"/>
  <c r="BE18" i="23"/>
  <c r="BD18" i="23"/>
  <c r="BC18" i="23"/>
  <c r="BB18" i="23"/>
  <c r="BA18" i="23"/>
  <c r="AZ18" i="23"/>
  <c r="AY18" i="23"/>
  <c r="AX18" i="23"/>
  <c r="AW18" i="23"/>
  <c r="BL17" i="23"/>
  <c r="BK17" i="23"/>
  <c r="BJ17" i="23"/>
  <c r="BI17" i="23"/>
  <c r="BH17" i="23"/>
  <c r="BG17" i="23"/>
  <c r="BF17" i="23"/>
  <c r="BE17" i="23"/>
  <c r="BD17" i="23"/>
  <c r="BC17" i="23"/>
  <c r="BB17" i="23"/>
  <c r="BA17" i="23"/>
  <c r="AZ17" i="23"/>
  <c r="AY17" i="23"/>
  <c r="AX17" i="23"/>
  <c r="AW17" i="23"/>
  <c r="BL16" i="23"/>
  <c r="BK16" i="23"/>
  <c r="BJ16" i="23"/>
  <c r="BI16" i="23"/>
  <c r="BH16" i="23"/>
  <c r="BG16" i="23"/>
  <c r="BF16" i="23"/>
  <c r="BE16" i="23"/>
  <c r="BD16" i="23"/>
  <c r="BC16" i="23"/>
  <c r="BB16" i="23"/>
  <c r="BA16" i="23"/>
  <c r="AZ16" i="23"/>
  <c r="AY16" i="23"/>
  <c r="AX16" i="23"/>
  <c r="AW16" i="23"/>
  <c r="BL15" i="23"/>
  <c r="BK15" i="23"/>
  <c r="BJ15" i="23"/>
  <c r="BI15" i="23"/>
  <c r="BH15" i="23"/>
  <c r="BG15" i="23"/>
  <c r="BF15" i="23"/>
  <c r="BE15" i="23"/>
  <c r="BD15" i="23"/>
  <c r="BC15" i="23"/>
  <c r="BB15" i="23"/>
  <c r="BA15" i="23"/>
  <c r="AZ15" i="23"/>
  <c r="AY15" i="23"/>
  <c r="AX15" i="23"/>
  <c r="AW15" i="23"/>
  <c r="BL14" i="23"/>
  <c r="BK14" i="23"/>
  <c r="BJ14" i="23"/>
  <c r="BI14" i="23"/>
  <c r="BH14" i="23"/>
  <c r="BG14" i="23"/>
  <c r="BF14" i="23"/>
  <c r="BE14" i="23"/>
  <c r="BD14" i="23"/>
  <c r="BC14" i="23"/>
  <c r="BB14" i="23"/>
  <c r="BA14" i="23"/>
  <c r="AZ14" i="23"/>
  <c r="AY14" i="23"/>
  <c r="AX14" i="23"/>
  <c r="AW14" i="23"/>
  <c r="BL13" i="23"/>
  <c r="BK13" i="23"/>
  <c r="BJ13" i="23"/>
  <c r="BI13" i="23"/>
  <c r="BH13" i="23"/>
  <c r="BG13" i="23"/>
  <c r="BF13" i="23"/>
  <c r="BE13" i="23"/>
  <c r="BD13" i="23"/>
  <c r="BC13" i="23"/>
  <c r="BB13" i="23"/>
  <c r="BA13" i="23"/>
  <c r="AZ13" i="23"/>
  <c r="AY13" i="23"/>
  <c r="AX13" i="23"/>
  <c r="AW13" i="23"/>
  <c r="BL12" i="23"/>
  <c r="BK12" i="23"/>
  <c r="BJ12" i="23"/>
  <c r="BI12" i="23"/>
  <c r="BH12" i="23"/>
  <c r="BG12" i="23"/>
  <c r="BF12" i="23"/>
  <c r="BE12" i="23"/>
  <c r="BD12" i="23"/>
  <c r="BC12" i="23"/>
  <c r="BB12" i="23"/>
  <c r="BA12" i="23"/>
  <c r="AZ12" i="23"/>
  <c r="AY12" i="23"/>
  <c r="AX12" i="23"/>
  <c r="AW12" i="23"/>
  <c r="BL11" i="23"/>
  <c r="BK11" i="23"/>
  <c r="BJ11" i="23"/>
  <c r="BI11" i="23"/>
  <c r="BH11" i="23"/>
  <c r="BG11" i="23"/>
  <c r="BF11" i="23"/>
  <c r="BE11" i="23"/>
  <c r="BD11" i="23"/>
  <c r="BC11" i="23"/>
  <c r="BB11" i="23"/>
  <c r="BA11" i="23"/>
  <c r="AZ11" i="23"/>
  <c r="AY11" i="23"/>
  <c r="AX11" i="23"/>
  <c r="AW11" i="23"/>
  <c r="BL10" i="23"/>
  <c r="BK10" i="23"/>
  <c r="BJ10" i="23"/>
  <c r="BI10" i="23"/>
  <c r="BH10" i="23"/>
  <c r="BG10" i="23"/>
  <c r="BF10" i="23"/>
  <c r="BE10" i="23"/>
  <c r="BD10" i="23"/>
  <c r="BC10" i="23"/>
  <c r="BB10" i="23"/>
  <c r="BA10" i="23"/>
  <c r="AZ10" i="23"/>
  <c r="AY10" i="23"/>
  <c r="AX10" i="23"/>
  <c r="AW10" i="23"/>
  <c r="BL9" i="23"/>
  <c r="BK9" i="23"/>
  <c r="BJ9" i="23"/>
  <c r="BI9" i="23"/>
  <c r="BH9" i="23"/>
  <c r="BG9" i="23"/>
  <c r="BF9" i="23"/>
  <c r="BE9" i="23"/>
  <c r="BD9" i="23"/>
  <c r="BC9" i="23"/>
  <c r="BB9" i="23"/>
  <c r="BA9" i="23"/>
  <c r="AZ9" i="23"/>
  <c r="AY9" i="23"/>
  <c r="AX9" i="23"/>
  <c r="AW9" i="23"/>
  <c r="BL8" i="23"/>
  <c r="BK8" i="23"/>
  <c r="BJ8" i="23"/>
  <c r="BI8" i="23"/>
  <c r="BH8" i="23"/>
  <c r="BG8" i="23"/>
  <c r="BF8" i="23"/>
  <c r="BE8" i="23"/>
  <c r="BD8" i="23"/>
  <c r="BC8" i="23"/>
  <c r="BB8" i="23"/>
  <c r="BA8" i="23"/>
  <c r="AZ8" i="23"/>
  <c r="AY8" i="23"/>
  <c r="AX8" i="23"/>
  <c r="AW8" i="23"/>
  <c r="CB22" i="33"/>
  <c r="CB59" i="33" s="1"/>
  <c r="J122" i="19"/>
  <c r="H27" i="40"/>
  <c r="AG75" i="20"/>
  <c r="G31" i="19"/>
  <c r="AB30" i="19"/>
  <c r="AB31" i="19" s="1"/>
  <c r="AB32" i="19" s="1"/>
  <c r="AA30" i="19"/>
  <c r="AA31" i="19" s="1"/>
  <c r="AA32" i="19" s="1"/>
  <c r="Z30" i="19"/>
  <c r="Z31" i="19" s="1"/>
  <c r="Z32" i="19" s="1"/>
  <c r="Y30" i="19"/>
  <c r="Y31" i="19" s="1"/>
  <c r="Y32" i="19" s="1"/>
  <c r="X30" i="19"/>
  <c r="X31" i="19" s="1"/>
  <c r="X32" i="19" s="1"/>
  <c r="W30" i="19"/>
  <c r="W31" i="19" s="1"/>
  <c r="W32" i="19" s="1"/>
  <c r="V30" i="19"/>
  <c r="V31" i="19" s="1"/>
  <c r="V32" i="19" s="1"/>
  <c r="U30" i="19"/>
  <c r="T30" i="19"/>
  <c r="T31" i="19" s="1"/>
  <c r="T32" i="19" s="1"/>
  <c r="S30" i="19"/>
  <c r="S31" i="19" s="1"/>
  <c r="S32" i="19" s="1"/>
  <c r="R30" i="19"/>
  <c r="R31" i="19" s="1"/>
  <c r="R32" i="19" s="1"/>
  <c r="Q30" i="19"/>
  <c r="Q31" i="19" s="1"/>
  <c r="Q32" i="19" s="1"/>
  <c r="P30" i="19"/>
  <c r="P31" i="19" s="1"/>
  <c r="P32" i="19" s="1"/>
  <c r="O30" i="19"/>
  <c r="N30" i="19"/>
  <c r="N31" i="19" s="1"/>
  <c r="N32" i="19" s="1"/>
  <c r="M30" i="19"/>
  <c r="M31" i="19" s="1"/>
  <c r="M32" i="19" s="1"/>
  <c r="L30" i="19"/>
  <c r="L31" i="19" s="1"/>
  <c r="L32" i="19" s="1"/>
  <c r="K30" i="19"/>
  <c r="K31" i="19" s="1"/>
  <c r="J30" i="19"/>
  <c r="J31" i="19" s="1"/>
  <c r="I30" i="19"/>
  <c r="I31" i="19" s="1"/>
  <c r="H30" i="19"/>
  <c r="H31" i="19" s="1"/>
  <c r="O31" i="19"/>
  <c r="O32" i="19" s="1"/>
  <c r="J123" i="19"/>
  <c r="H28" i="40"/>
  <c r="CB23" i="33"/>
  <c r="CB60" i="33" s="1"/>
  <c r="AI75" i="20"/>
  <c r="A36" i="36"/>
  <c r="B36" i="36" s="1"/>
  <c r="B45" i="36" s="1"/>
  <c r="C36" i="36"/>
  <c r="D36" i="36"/>
  <c r="E36" i="36"/>
  <c r="F36" i="36"/>
  <c r="G36" i="36"/>
  <c r="H36" i="36"/>
  <c r="I36" i="36"/>
  <c r="J36" i="36"/>
  <c r="K36" i="36"/>
  <c r="L36" i="36"/>
  <c r="M36" i="36"/>
  <c r="N36" i="36"/>
  <c r="O36" i="36"/>
  <c r="P36" i="36"/>
  <c r="Q36" i="36"/>
  <c r="R36" i="36"/>
  <c r="S36" i="36"/>
  <c r="T36" i="36"/>
  <c r="U36" i="36"/>
  <c r="V36" i="36"/>
  <c r="W36" i="36"/>
  <c r="A37" i="36"/>
  <c r="B37" i="36" s="1"/>
  <c r="B46" i="36" s="1"/>
  <c r="C37" i="36"/>
  <c r="D37" i="36"/>
  <c r="E37" i="36"/>
  <c r="F37" i="36"/>
  <c r="G37" i="36"/>
  <c r="H37" i="36"/>
  <c r="I37" i="36"/>
  <c r="J37" i="36"/>
  <c r="K37" i="36"/>
  <c r="L37" i="36"/>
  <c r="M37" i="36"/>
  <c r="N37" i="36"/>
  <c r="O37" i="36"/>
  <c r="P37" i="36"/>
  <c r="Q37" i="36"/>
  <c r="R37" i="36"/>
  <c r="S37" i="36"/>
  <c r="T37" i="36"/>
  <c r="U37" i="36"/>
  <c r="V37" i="36"/>
  <c r="W37" i="36"/>
  <c r="A38" i="36"/>
  <c r="C38" i="36"/>
  <c r="D38" i="36"/>
  <c r="E38" i="36"/>
  <c r="F38" i="36"/>
  <c r="G38" i="36"/>
  <c r="H38" i="36"/>
  <c r="I38" i="36"/>
  <c r="J38" i="36"/>
  <c r="K38" i="36"/>
  <c r="L38" i="36"/>
  <c r="M38" i="36"/>
  <c r="N38" i="36"/>
  <c r="O38" i="36"/>
  <c r="P38" i="36"/>
  <c r="Q38" i="36"/>
  <c r="R38" i="36"/>
  <c r="S38" i="36"/>
  <c r="T38" i="36"/>
  <c r="U38" i="36"/>
  <c r="V38" i="36"/>
  <c r="W38" i="36"/>
  <c r="A39" i="36"/>
  <c r="B39" i="36" s="1"/>
  <c r="B48" i="36" s="1"/>
  <c r="C39" i="36"/>
  <c r="D39" i="36"/>
  <c r="E39" i="36"/>
  <c r="F39" i="36"/>
  <c r="G39" i="36"/>
  <c r="H39" i="36"/>
  <c r="I39" i="36"/>
  <c r="J39" i="36"/>
  <c r="K39" i="36"/>
  <c r="L39" i="36"/>
  <c r="M39" i="36"/>
  <c r="N39" i="36"/>
  <c r="O39" i="36"/>
  <c r="P39" i="36"/>
  <c r="Q39" i="36"/>
  <c r="R39" i="36"/>
  <c r="S39" i="36"/>
  <c r="T39" i="36"/>
  <c r="U39" i="36"/>
  <c r="V39" i="36"/>
  <c r="W39" i="36"/>
  <c r="W35" i="36"/>
  <c r="V35" i="36"/>
  <c r="U35" i="36"/>
  <c r="T35" i="36"/>
  <c r="S35" i="36"/>
  <c r="R35" i="36"/>
  <c r="Q35" i="36"/>
  <c r="P35" i="36"/>
  <c r="O35" i="36"/>
  <c r="N35" i="36"/>
  <c r="M35" i="36"/>
  <c r="L35" i="36"/>
  <c r="K35" i="36"/>
  <c r="J35" i="36"/>
  <c r="I35" i="36"/>
  <c r="H35" i="36"/>
  <c r="G35" i="36"/>
  <c r="F35" i="36"/>
  <c r="E35" i="36"/>
  <c r="D35" i="36"/>
  <c r="C35" i="36"/>
  <c r="A35" i="36"/>
  <c r="A44" i="36" s="1"/>
  <c r="A26" i="36"/>
  <c r="B26" i="36" s="1"/>
  <c r="C26" i="36"/>
  <c r="D26" i="36"/>
  <c r="E26" i="36"/>
  <c r="F26" i="36"/>
  <c r="G26" i="36"/>
  <c r="H26" i="36"/>
  <c r="I26" i="36"/>
  <c r="J26" i="36"/>
  <c r="K26" i="36"/>
  <c r="L26" i="36"/>
  <c r="M26" i="36"/>
  <c r="N26" i="36"/>
  <c r="O26" i="36"/>
  <c r="P26" i="36"/>
  <c r="Q26" i="36"/>
  <c r="R26" i="36"/>
  <c r="R45" i="36" s="1"/>
  <c r="S26" i="36"/>
  <c r="T26" i="36"/>
  <c r="U26" i="36"/>
  <c r="V26" i="36"/>
  <c r="W26" i="36"/>
  <c r="A27" i="36"/>
  <c r="B27" i="36" s="1"/>
  <c r="C27" i="36"/>
  <c r="D27" i="36"/>
  <c r="E27" i="36"/>
  <c r="F27" i="36"/>
  <c r="G27" i="36"/>
  <c r="H27" i="36"/>
  <c r="I27" i="36"/>
  <c r="J27" i="36"/>
  <c r="K27" i="36"/>
  <c r="L27" i="36"/>
  <c r="M27" i="36"/>
  <c r="N27" i="36"/>
  <c r="O27" i="36"/>
  <c r="P27" i="36"/>
  <c r="Q27" i="36"/>
  <c r="R27" i="36"/>
  <c r="S27" i="36"/>
  <c r="T27" i="36"/>
  <c r="T46" i="36" s="1"/>
  <c r="U27" i="36"/>
  <c r="V27" i="36"/>
  <c r="W27" i="36"/>
  <c r="A28" i="36"/>
  <c r="A56" i="36" s="1"/>
  <c r="A66" i="36" s="1"/>
  <c r="A76" i="36" s="1"/>
  <c r="A86" i="36" s="1"/>
  <c r="A96" i="36" s="1"/>
  <c r="A106" i="36" s="1"/>
  <c r="A116" i="36" s="1"/>
  <c r="A126" i="36" s="1"/>
  <c r="A136" i="36" s="1"/>
  <c r="A146" i="36" s="1"/>
  <c r="A156" i="36" s="1"/>
  <c r="A166" i="36" s="1"/>
  <c r="A176" i="36" s="1"/>
  <c r="A186" i="36" s="1"/>
  <c r="A196" i="36" s="1"/>
  <c r="C28" i="36"/>
  <c r="D28" i="36"/>
  <c r="E28" i="36"/>
  <c r="F28" i="36"/>
  <c r="F47" i="36" s="1"/>
  <c r="G28" i="36"/>
  <c r="H28" i="36"/>
  <c r="I28" i="36"/>
  <c r="J28" i="36"/>
  <c r="K28" i="36"/>
  <c r="L28" i="36"/>
  <c r="M28" i="36"/>
  <c r="N28" i="36"/>
  <c r="O28" i="36"/>
  <c r="P28" i="36"/>
  <c r="Q28" i="36"/>
  <c r="R28" i="36"/>
  <c r="R47" i="36" s="1"/>
  <c r="S28" i="36"/>
  <c r="T28" i="36"/>
  <c r="U28" i="36"/>
  <c r="V28" i="36"/>
  <c r="V47" i="36" s="1"/>
  <c r="W28" i="36"/>
  <c r="A29" i="36"/>
  <c r="B29" i="36" s="1"/>
  <c r="C29" i="36"/>
  <c r="D29" i="36"/>
  <c r="E29" i="36"/>
  <c r="F29" i="36"/>
  <c r="G29" i="36"/>
  <c r="H29" i="36"/>
  <c r="I29" i="36"/>
  <c r="J29" i="36"/>
  <c r="K29" i="36"/>
  <c r="L29" i="36"/>
  <c r="M29" i="36"/>
  <c r="N29" i="36"/>
  <c r="O29" i="36"/>
  <c r="P29" i="36"/>
  <c r="Q29" i="36"/>
  <c r="R29" i="36"/>
  <c r="S29" i="36"/>
  <c r="T29" i="36"/>
  <c r="T48" i="36" s="1"/>
  <c r="U29" i="36"/>
  <c r="V29" i="36"/>
  <c r="W29" i="36"/>
  <c r="W25" i="36"/>
  <c r="W44" i="36" s="1"/>
  <c r="V25" i="36"/>
  <c r="U25" i="36"/>
  <c r="T25" i="36"/>
  <c r="S25" i="36"/>
  <c r="R25" i="36"/>
  <c r="Q25" i="36"/>
  <c r="P25" i="36"/>
  <c r="O25" i="36"/>
  <c r="N25" i="36"/>
  <c r="M25" i="36"/>
  <c r="L25" i="36"/>
  <c r="K25" i="36"/>
  <c r="K44" i="36" s="1"/>
  <c r="J25" i="36"/>
  <c r="I25" i="36"/>
  <c r="H25" i="36"/>
  <c r="G25" i="36"/>
  <c r="F25" i="36"/>
  <c r="E25" i="36"/>
  <c r="D25" i="36"/>
  <c r="C25" i="36"/>
  <c r="A25" i="36"/>
  <c r="A53" i="36" s="1"/>
  <c r="A63" i="36" s="1"/>
  <c r="A73" i="36" s="1"/>
  <c r="A83" i="36" s="1"/>
  <c r="A93" i="36" s="1"/>
  <c r="A103" i="36" s="1"/>
  <c r="A113" i="36" s="1"/>
  <c r="A123" i="36" s="1"/>
  <c r="A133" i="36" s="1"/>
  <c r="A143" i="36" s="1"/>
  <c r="A153" i="36" s="1"/>
  <c r="A163" i="36" s="1"/>
  <c r="A173" i="36" s="1"/>
  <c r="A183" i="36" s="1"/>
  <c r="A193" i="36" s="1"/>
  <c r="J124" i="19"/>
  <c r="H29" i="40"/>
  <c r="CB24" i="33"/>
  <c r="CB61" i="33" s="1"/>
  <c r="B38" i="36"/>
  <c r="B47" i="36" s="1"/>
  <c r="A47" i="36"/>
  <c r="AK75" i="20"/>
  <c r="CB25" i="33"/>
  <c r="CB62" i="33" s="1"/>
  <c r="J125" i="19"/>
  <c r="H30" i="40"/>
  <c r="AM75" i="20"/>
  <c r="J126" i="19"/>
  <c r="H31" i="40"/>
  <c r="CB26" i="33"/>
  <c r="CB63" i="33" s="1"/>
  <c r="AO75" i="20"/>
  <c r="J100" i="19"/>
  <c r="J127" i="19"/>
  <c r="H32" i="40"/>
  <c r="CB27" i="33"/>
  <c r="CB64" i="33" s="1"/>
  <c r="AQ75" i="20"/>
  <c r="CB28" i="33"/>
  <c r="CB65" i="33" s="1"/>
  <c r="J128" i="19"/>
  <c r="H33" i="40"/>
  <c r="AS75" i="20"/>
  <c r="CB29" i="33"/>
  <c r="CB66" i="33" s="1"/>
  <c r="J129" i="19"/>
  <c r="H34" i="40"/>
  <c r="AU75" i="20"/>
  <c r="FT36" i="20"/>
  <c r="FQ34" i="20"/>
  <c r="FR34" i="20"/>
  <c r="FQ35" i="20"/>
  <c r="FR35" i="20"/>
  <c r="FQ36" i="20"/>
  <c r="FR36" i="20"/>
  <c r="FQ37" i="20"/>
  <c r="FR37" i="20"/>
  <c r="FR33" i="20"/>
  <c r="FQ33" i="20"/>
  <c r="J130" i="19"/>
  <c r="H35" i="40"/>
  <c r="CB30" i="33"/>
  <c r="CB67" i="33" s="1"/>
  <c r="AW75" i="20"/>
  <c r="J131" i="19"/>
  <c r="H36" i="40"/>
  <c r="CB31" i="33"/>
  <c r="CB68" i="33" s="1"/>
  <c r="AY75" i="20"/>
  <c r="BA75" i="20"/>
  <c r="A1" i="19"/>
  <c r="J132" i="19"/>
  <c r="H37" i="40"/>
  <c r="CB32" i="33"/>
  <c r="CB69" i="33"/>
  <c r="BC75" i="20"/>
  <c r="H5" i="19"/>
  <c r="J133" i="19"/>
  <c r="H38" i="40"/>
  <c r="CB33" i="33"/>
  <c r="CB70" i="33" s="1"/>
  <c r="BE75" i="20"/>
  <c r="W33" i="36"/>
  <c r="V33" i="36"/>
  <c r="U33" i="36"/>
  <c r="T33" i="36"/>
  <c r="S33" i="36"/>
  <c r="R33" i="36"/>
  <c r="Q33" i="36"/>
  <c r="P33" i="36"/>
  <c r="O33" i="36"/>
  <c r="N33" i="36"/>
  <c r="M33" i="36"/>
  <c r="L33" i="36"/>
  <c r="K33" i="36"/>
  <c r="J33" i="36"/>
  <c r="I33" i="36"/>
  <c r="H33" i="36"/>
  <c r="G33" i="36"/>
  <c r="F33" i="36"/>
  <c r="E33" i="36"/>
  <c r="D33" i="36"/>
  <c r="W23" i="36"/>
  <c r="V23" i="36"/>
  <c r="U23" i="36"/>
  <c r="T23" i="36"/>
  <c r="S23" i="36"/>
  <c r="R23" i="36"/>
  <c r="Q23" i="36"/>
  <c r="P23" i="36"/>
  <c r="O23" i="36"/>
  <c r="N23" i="36"/>
  <c r="M23" i="36"/>
  <c r="L23" i="36"/>
  <c r="K23" i="36"/>
  <c r="J23" i="36"/>
  <c r="I23" i="36"/>
  <c r="H23" i="36"/>
  <c r="G23" i="36"/>
  <c r="F23" i="36"/>
  <c r="E23" i="36"/>
  <c r="D23" i="36"/>
  <c r="C23" i="36"/>
  <c r="C9" i="1"/>
  <c r="D9" i="1" s="1"/>
  <c r="E9" i="1" s="1"/>
  <c r="F9" i="1" s="1"/>
  <c r="G9" i="1" s="1"/>
  <c r="H9" i="1" s="1"/>
  <c r="I9" i="1" s="1"/>
  <c r="J9" i="1" s="1"/>
  <c r="K9" i="1" s="1"/>
  <c r="L9" i="1" s="1"/>
  <c r="M9" i="1" s="1"/>
  <c r="N9" i="1" s="1"/>
  <c r="O9" i="1" s="1"/>
  <c r="P9" i="1" s="1"/>
  <c r="Q9" i="1" s="1"/>
  <c r="R9" i="1" s="1"/>
  <c r="S9" i="1" s="1"/>
  <c r="T9" i="1" s="1"/>
  <c r="U9" i="1" s="1"/>
  <c r="V9" i="1" s="1"/>
  <c r="W9" i="1" s="1"/>
  <c r="X9" i="1" s="1"/>
  <c r="Y9" i="1" s="1"/>
  <c r="Z9" i="1" s="1"/>
  <c r="AA9" i="1" s="1"/>
  <c r="D11" i="1"/>
  <c r="E11" i="1"/>
  <c r="F11" i="1"/>
  <c r="G11" i="1"/>
  <c r="H11" i="1"/>
  <c r="I11" i="1"/>
  <c r="J11" i="1"/>
  <c r="K11" i="1"/>
  <c r="L11" i="1"/>
  <c r="M11" i="1"/>
  <c r="N11" i="1"/>
  <c r="O11" i="1"/>
  <c r="P11" i="1"/>
  <c r="Q11" i="1"/>
  <c r="R11" i="1"/>
  <c r="S11" i="1"/>
  <c r="T11" i="1"/>
  <c r="U11" i="1"/>
  <c r="V11" i="1"/>
  <c r="W11" i="1"/>
  <c r="X11" i="1"/>
  <c r="Y11" i="1"/>
  <c r="Z11" i="1"/>
  <c r="AA11" i="1"/>
  <c r="D10" i="1"/>
  <c r="E10" i="1"/>
  <c r="F10" i="1"/>
  <c r="G10" i="1"/>
  <c r="H10" i="1"/>
  <c r="I10" i="1"/>
  <c r="J10" i="1"/>
  <c r="K10" i="1"/>
  <c r="L10" i="1"/>
  <c r="M10" i="1"/>
  <c r="N10" i="1"/>
  <c r="O10" i="1"/>
  <c r="P10" i="1"/>
  <c r="Q10" i="1"/>
  <c r="R10" i="1"/>
  <c r="S10" i="1"/>
  <c r="T10" i="1"/>
  <c r="U10" i="1"/>
  <c r="V10" i="1"/>
  <c r="W10" i="1"/>
  <c r="X10" i="1"/>
  <c r="Y10" i="1"/>
  <c r="Z10" i="1"/>
  <c r="AA10" i="1"/>
  <c r="D8" i="1"/>
  <c r="E8" i="1"/>
  <c r="F8" i="1"/>
  <c r="G8" i="1"/>
  <c r="H8" i="1"/>
  <c r="I8" i="1"/>
  <c r="J8" i="1"/>
  <c r="K8" i="1"/>
  <c r="L8" i="1"/>
  <c r="M8" i="1"/>
  <c r="N8" i="1"/>
  <c r="O8" i="1"/>
  <c r="P8" i="1"/>
  <c r="Q8" i="1"/>
  <c r="R8" i="1"/>
  <c r="S8" i="1"/>
  <c r="T8" i="1"/>
  <c r="U8" i="1"/>
  <c r="V8" i="1"/>
  <c r="W8" i="1"/>
  <c r="X8" i="1"/>
  <c r="Y8" i="1"/>
  <c r="Z8" i="1"/>
  <c r="AA8" i="1"/>
  <c r="J134" i="19"/>
  <c r="H39" i="40"/>
  <c r="CB34" i="33"/>
  <c r="CB71" i="33" s="1"/>
  <c r="BG75" i="20"/>
  <c r="J135" i="19"/>
  <c r="H40" i="40"/>
  <c r="CB35" i="33"/>
  <c r="CB72" i="33" s="1"/>
  <c r="BI75" i="20"/>
  <c r="BB105" i="19"/>
  <c r="J136" i="19"/>
  <c r="H41" i="40"/>
  <c r="CB36" i="33"/>
  <c r="CB73" i="33" s="1"/>
  <c r="BK75" i="20"/>
  <c r="BE105" i="19"/>
  <c r="AA104" i="19"/>
  <c r="J137" i="19"/>
  <c r="H42" i="40"/>
  <c r="CB37" i="33"/>
  <c r="CB74" i="33" s="1"/>
  <c r="D9" i="34"/>
  <c r="CB38" i="33"/>
  <c r="CB75" i="33" s="1"/>
  <c r="J138" i="19"/>
  <c r="H43" i="40"/>
  <c r="Y9" i="34"/>
  <c r="Y10" i="34"/>
  <c r="Y11" i="34"/>
  <c r="Y12" i="34"/>
  <c r="Y13" i="34"/>
  <c r="Y14" i="34"/>
  <c r="Y15" i="34"/>
  <c r="Y16" i="34"/>
  <c r="Y17" i="34"/>
  <c r="Y18" i="34"/>
  <c r="Y19" i="34"/>
  <c r="Y20" i="34"/>
  <c r="Y21" i="34"/>
  <c r="Y22" i="34"/>
  <c r="Y23" i="34"/>
  <c r="Y24" i="34"/>
  <c r="Y25" i="34"/>
  <c r="Y26" i="34"/>
  <c r="Y27" i="34"/>
  <c r="Y28" i="34"/>
  <c r="Y29" i="34"/>
  <c r="Y30" i="34"/>
  <c r="Y31" i="34"/>
  <c r="Y32" i="34"/>
  <c r="Y33" i="34"/>
  <c r="Y34" i="34"/>
  <c r="Y35" i="34"/>
  <c r="Y36" i="34"/>
  <c r="Y37" i="34"/>
  <c r="Y38" i="34"/>
  <c r="Y39" i="34"/>
  <c r="Y40" i="34"/>
  <c r="Y41" i="34"/>
  <c r="Y42" i="34"/>
  <c r="Y43" i="34"/>
  <c r="J139" i="19"/>
  <c r="H44" i="40"/>
  <c r="CB39" i="33"/>
  <c r="CB76" i="33" s="1"/>
  <c r="CB40" i="33"/>
  <c r="CB77" i="33"/>
  <c r="CM123" i="33" a="1"/>
  <c r="CL124" i="33"/>
  <c r="CA15" i="33"/>
  <c r="CA16" i="33"/>
  <c r="CA17" i="33"/>
  <c r="CA18" i="33"/>
  <c r="CA19" i="33"/>
  <c r="CA20" i="33"/>
  <c r="CA14" i="33"/>
  <c r="BF13" i="33"/>
  <c r="BG13" i="33"/>
  <c r="BH13" i="33"/>
  <c r="BI13" i="33"/>
  <c r="BJ13" i="33"/>
  <c r="BK13" i="33"/>
  <c r="BL13" i="33"/>
  <c r="BM13" i="33"/>
  <c r="BN13" i="33"/>
  <c r="BO13" i="33"/>
  <c r="BP13" i="33"/>
  <c r="BQ13" i="33"/>
  <c r="BR13" i="33"/>
  <c r="BS13" i="33"/>
  <c r="BT13" i="33"/>
  <c r="BU13" i="33"/>
  <c r="BV13" i="33"/>
  <c r="BW13" i="33"/>
  <c r="BX13" i="33"/>
  <c r="BY13" i="33"/>
  <c r="BZ13" i="33"/>
  <c r="CX81" i="33"/>
  <c r="CX80" i="33"/>
  <c r="CX79" i="33"/>
  <c r="BD143" i="33"/>
  <c r="BD142" i="33"/>
  <c r="BD141" i="33"/>
  <c r="T6" i="33"/>
  <c r="K10" i="19"/>
  <c r="B31" i="33"/>
  <c r="BF7" i="33"/>
  <c r="BG7" i="33"/>
  <c r="BH7" i="33"/>
  <c r="BI7" i="33"/>
  <c r="BJ7" i="33"/>
  <c r="BF8" i="33"/>
  <c r="BG8" i="33"/>
  <c r="BH8" i="33"/>
  <c r="BI8" i="33"/>
  <c r="BJ8" i="33"/>
  <c r="BF9" i="33"/>
  <c r="BG9" i="33"/>
  <c r="BH9" i="33"/>
  <c r="BI9" i="33"/>
  <c r="BJ9" i="33"/>
  <c r="BF10" i="33"/>
  <c r="BG10" i="33"/>
  <c r="BH10" i="33"/>
  <c r="BI10" i="33"/>
  <c r="BJ10" i="33"/>
  <c r="BF11" i="33"/>
  <c r="BG11" i="33"/>
  <c r="BH11" i="33"/>
  <c r="BI11" i="33"/>
  <c r="BJ11" i="33"/>
  <c r="BF12" i="33"/>
  <c r="BG12" i="33"/>
  <c r="BH12" i="33"/>
  <c r="BI12" i="33"/>
  <c r="BJ12" i="33"/>
  <c r="AA8" i="34" a="1"/>
  <c r="AA10" i="34"/>
  <c r="BH14" i="33"/>
  <c r="BH15" i="33"/>
  <c r="BH16" i="33"/>
  <c r="BH17" i="33"/>
  <c r="BH18" i="33"/>
  <c r="BH19" i="33"/>
  <c r="BH20" i="33"/>
  <c r="BJ14" i="33"/>
  <c r="BJ15" i="33"/>
  <c r="BJ16" i="33"/>
  <c r="BJ17" i="33"/>
  <c r="BJ18" i="33"/>
  <c r="BJ19" i="33"/>
  <c r="BF14" i="33"/>
  <c r="BF15" i="33"/>
  <c r="BI14" i="33"/>
  <c r="BI15" i="33"/>
  <c r="BI16" i="33"/>
  <c r="BI17" i="33"/>
  <c r="BI18" i="33"/>
  <c r="BI19" i="33"/>
  <c r="BI20" i="33"/>
  <c r="AA9" i="34"/>
  <c r="AA24" i="34"/>
  <c r="AA20" i="34"/>
  <c r="AA8" i="34"/>
  <c r="AA17" i="34"/>
  <c r="AA28" i="34"/>
  <c r="AA15" i="34"/>
  <c r="BG14" i="33"/>
  <c r="BG15" i="33"/>
  <c r="BG16" i="33"/>
  <c r="BG17" i="33"/>
  <c r="BG18" i="33"/>
  <c r="BG19" i="33"/>
  <c r="AA23" i="34"/>
  <c r="AA13" i="34"/>
  <c r="AA25" i="34"/>
  <c r="AA19" i="34"/>
  <c r="AA12" i="34"/>
  <c r="AA27" i="34"/>
  <c r="AA21" i="34"/>
  <c r="AA16" i="34"/>
  <c r="AA11" i="34"/>
  <c r="AA26" i="34"/>
  <c r="AA22" i="34"/>
  <c r="AA18" i="34"/>
  <c r="AA14" i="34"/>
  <c r="BL7" i="33"/>
  <c r="BM7" i="33"/>
  <c r="BN7" i="33"/>
  <c r="BO7" i="33"/>
  <c r="BP7" i="33"/>
  <c r="BQ7" i="33"/>
  <c r="BR7" i="33"/>
  <c r="BS7" i="33"/>
  <c r="BT7" i="33"/>
  <c r="BU7" i="33"/>
  <c r="BV7" i="33"/>
  <c r="BW7" i="33"/>
  <c r="BX7" i="33"/>
  <c r="BY7" i="33"/>
  <c r="BZ7" i="33"/>
  <c r="BL8" i="33"/>
  <c r="BM8" i="33"/>
  <c r="BN8" i="33"/>
  <c r="BO8" i="33"/>
  <c r="BP8" i="33"/>
  <c r="BQ8" i="33"/>
  <c r="BR8" i="33"/>
  <c r="BS8" i="33"/>
  <c r="BT8" i="33"/>
  <c r="BU8" i="33"/>
  <c r="BV8" i="33"/>
  <c r="BW8" i="33"/>
  <c r="BX8" i="33"/>
  <c r="BY8" i="33"/>
  <c r="BZ8" i="33"/>
  <c r="BL9" i="33"/>
  <c r="BM9" i="33"/>
  <c r="BN9" i="33"/>
  <c r="BO9" i="33"/>
  <c r="BP9" i="33"/>
  <c r="BQ9" i="33"/>
  <c r="BR9" i="33"/>
  <c r="BS9" i="33"/>
  <c r="BT9" i="33"/>
  <c r="BU9" i="33"/>
  <c r="BV9" i="33"/>
  <c r="BW9" i="33"/>
  <c r="BX9" i="33"/>
  <c r="BY9" i="33"/>
  <c r="BZ9" i="33"/>
  <c r="BL10" i="33"/>
  <c r="BM10" i="33"/>
  <c r="BN10" i="33"/>
  <c r="BO10" i="33"/>
  <c r="BP10" i="33"/>
  <c r="BQ10" i="33"/>
  <c r="BR10" i="33"/>
  <c r="BS10" i="33"/>
  <c r="BT10" i="33"/>
  <c r="BU10" i="33"/>
  <c r="BV10" i="33"/>
  <c r="BW10" i="33"/>
  <c r="BX10" i="33"/>
  <c r="BY10" i="33"/>
  <c r="BZ10" i="33"/>
  <c r="BL11" i="33"/>
  <c r="BM11" i="33"/>
  <c r="BN11" i="33"/>
  <c r="BO11" i="33"/>
  <c r="BP11" i="33"/>
  <c r="BQ11" i="33"/>
  <c r="BR11" i="33"/>
  <c r="BS11" i="33"/>
  <c r="BT11" i="33"/>
  <c r="BU11" i="33"/>
  <c r="BV11" i="33"/>
  <c r="BW11" i="33"/>
  <c r="BX11" i="33"/>
  <c r="BY11" i="33"/>
  <c r="BZ11" i="33"/>
  <c r="BL12" i="33"/>
  <c r="BM12" i="33"/>
  <c r="BN12" i="33"/>
  <c r="BO12" i="33"/>
  <c r="BP12" i="33"/>
  <c r="BQ12" i="33"/>
  <c r="BR12" i="33"/>
  <c r="BS12" i="33"/>
  <c r="BT12" i="33"/>
  <c r="BU12" i="33"/>
  <c r="BV12" i="33"/>
  <c r="BW12" i="33"/>
  <c r="BX12" i="33"/>
  <c r="BY12" i="33"/>
  <c r="BZ12" i="33"/>
  <c r="BK12" i="33"/>
  <c r="BK11" i="33"/>
  <c r="BK10" i="33"/>
  <c r="BK9" i="33"/>
  <c r="BK8" i="33"/>
  <c r="BK7" i="33"/>
  <c r="BD53" i="33"/>
  <c r="BD54" i="33"/>
  <c r="BD55" i="33"/>
  <c r="BD56" i="33"/>
  <c r="BD57" i="33"/>
  <c r="BD58" i="33"/>
  <c r="BD59" i="33"/>
  <c r="BD60" i="33"/>
  <c r="BD61" i="33"/>
  <c r="BD62" i="33"/>
  <c r="BD63" i="33"/>
  <c r="BD64" i="33"/>
  <c r="BD65" i="33"/>
  <c r="BD66" i="33"/>
  <c r="BD67" i="33"/>
  <c r="BD68" i="33"/>
  <c r="BD69" i="33"/>
  <c r="BD70" i="33"/>
  <c r="BD71" i="33"/>
  <c r="BD72" i="33"/>
  <c r="BD73" i="33"/>
  <c r="BD74" i="33"/>
  <c r="BD75" i="33"/>
  <c r="BD76" i="33"/>
  <c r="BD77" i="33"/>
  <c r="BD78" i="33"/>
  <c r="BD79" i="33"/>
  <c r="BD80" i="33"/>
  <c r="BD81" i="33"/>
  <c r="BD82" i="33"/>
  <c r="BD83" i="33"/>
  <c r="BD84" i="33"/>
  <c r="BD85" i="33"/>
  <c r="BD86" i="33"/>
  <c r="BD87" i="33"/>
  <c r="BD88" i="33"/>
  <c r="BD89" i="33"/>
  <c r="BD90" i="33"/>
  <c r="BD91" i="33"/>
  <c r="BD92" i="33"/>
  <c r="BD93" i="33"/>
  <c r="BD94" i="33"/>
  <c r="BD95" i="33"/>
  <c r="BD96" i="33"/>
  <c r="BD97" i="33"/>
  <c r="BD98" i="33"/>
  <c r="BD99" i="33"/>
  <c r="BD100" i="33"/>
  <c r="BD101" i="33"/>
  <c r="BD102" i="33"/>
  <c r="BD103" i="33"/>
  <c r="BD104" i="33"/>
  <c r="BD105" i="33"/>
  <c r="BD106" i="33"/>
  <c r="BD107" i="33"/>
  <c r="BD108" i="33"/>
  <c r="BD109" i="33"/>
  <c r="BD110" i="33"/>
  <c r="BD111" i="33"/>
  <c r="BD112" i="33"/>
  <c r="BD113" i="33"/>
  <c r="BD114" i="33"/>
  <c r="BD115" i="33"/>
  <c r="BD116" i="33"/>
  <c r="BD117" i="33"/>
  <c r="BD118" i="33"/>
  <c r="BD119" i="33"/>
  <c r="BD120" i="33"/>
  <c r="BD121" i="33"/>
  <c r="BD122" i="33"/>
  <c r="BD123" i="33"/>
  <c r="BD124" i="33"/>
  <c r="BD125" i="33"/>
  <c r="BD126" i="33"/>
  <c r="BD127" i="33"/>
  <c r="BD128" i="33"/>
  <c r="BD129" i="33"/>
  <c r="BD130" i="33"/>
  <c r="BD131" i="33"/>
  <c r="BD132" i="33"/>
  <c r="BD134" i="33"/>
  <c r="BD135" i="33"/>
  <c r="BD136" i="33"/>
  <c r="BD137" i="33"/>
  <c r="BD138" i="33"/>
  <c r="BD139" i="33"/>
  <c r="BD140" i="33"/>
  <c r="BD52" i="33"/>
  <c r="R47" i="33"/>
  <c r="P47" i="33"/>
  <c r="L47" i="33"/>
  <c r="BG20" i="33"/>
  <c r="BJ20" i="33"/>
  <c r="BF16" i="33"/>
  <c r="BF17" i="33"/>
  <c r="BF18" i="33"/>
  <c r="BF19" i="33"/>
  <c r="BF20" i="33"/>
  <c r="BR14" i="33"/>
  <c r="BR15" i="33"/>
  <c r="BR16" i="33"/>
  <c r="BR17" i="33"/>
  <c r="BR18" i="33"/>
  <c r="BR19" i="33"/>
  <c r="T7" i="33"/>
  <c r="CD5" i="33"/>
  <c r="CD42" i="33" s="1"/>
  <c r="CH5" i="33"/>
  <c r="CL5" i="33"/>
  <c r="CP5" i="33"/>
  <c r="CP42" i="33" s="1"/>
  <c r="CT5" i="33"/>
  <c r="CT42" i="33" s="1"/>
  <c r="CE5" i="33"/>
  <c r="CE42" i="33" s="1"/>
  <c r="CI5" i="33"/>
  <c r="CM5" i="33"/>
  <c r="CM42" i="33" s="1"/>
  <c r="CM43" i="33" s="1"/>
  <c r="CM44" i="33" s="1"/>
  <c r="CQ5" i="33"/>
  <c r="CQ42" i="33" s="1"/>
  <c r="CQ43" i="33" s="1"/>
  <c r="CQ44" i="33" s="1"/>
  <c r="CQ45" i="33" s="1"/>
  <c r="CQ46" i="33" s="1"/>
  <c r="CQ47" i="33" s="1"/>
  <c r="CU5" i="33"/>
  <c r="CF5" i="33"/>
  <c r="CF42" i="33" s="1"/>
  <c r="CJ5" i="33"/>
  <c r="CN5" i="33"/>
  <c r="CR5" i="33"/>
  <c r="CV5" i="33"/>
  <c r="CV42" i="33" s="1"/>
  <c r="CG5" i="33"/>
  <c r="CG42" i="33" s="1"/>
  <c r="CK5" i="33"/>
  <c r="CO5" i="33"/>
  <c r="CS5" i="33"/>
  <c r="CS42" i="33" s="1"/>
  <c r="CW5" i="33"/>
  <c r="CW42" i="33" s="1"/>
  <c r="BG124" i="33" a="1"/>
  <c r="BG124" i="33" s="1"/>
  <c r="BH124" i="33" s="1"/>
  <c r="BI124" i="33" s="1"/>
  <c r="BJ124" i="33" s="1"/>
  <c r="BK124" i="33" s="1"/>
  <c r="BL124" i="33" s="1"/>
  <c r="BM124" i="33" s="1"/>
  <c r="T79" i="33"/>
  <c r="C27" i="33"/>
  <c r="C26" i="33"/>
  <c r="D47" i="33"/>
  <c r="F47" i="33"/>
  <c r="Z7" i="34"/>
  <c r="BK14" i="33"/>
  <c r="BK15" i="33"/>
  <c r="BK16" i="33"/>
  <c r="BK17" i="33"/>
  <c r="BK18" i="33"/>
  <c r="BK19" i="33"/>
  <c r="BK20" i="33"/>
  <c r="C25" i="33"/>
  <c r="U65" i="33"/>
  <c r="V65" i="33"/>
  <c r="U66" i="33"/>
  <c r="V66" i="33"/>
  <c r="W66" i="33"/>
  <c r="X66" i="33"/>
  <c r="Y66" i="33"/>
  <c r="Z66" i="33"/>
  <c r="AA66" i="33"/>
  <c r="AB66" i="33"/>
  <c r="AC66" i="33"/>
  <c r="AD66" i="33"/>
  <c r="AE66" i="33"/>
  <c r="AF66" i="33"/>
  <c r="AG66" i="33"/>
  <c r="AH66" i="33"/>
  <c r="AI66" i="33"/>
  <c r="AJ66" i="33"/>
  <c r="AK66" i="33"/>
  <c r="AL66" i="33"/>
  <c r="AM66" i="33"/>
  <c r="AN66" i="33"/>
  <c r="AO66" i="33"/>
  <c r="AP66" i="33"/>
  <c r="AQ66" i="33"/>
  <c r="AR66" i="33"/>
  <c r="AS66" i="33"/>
  <c r="AT66" i="33"/>
  <c r="AU66" i="33"/>
  <c r="AV66" i="33"/>
  <c r="AW66" i="33"/>
  <c r="AX66" i="33"/>
  <c r="AY66" i="33"/>
  <c r="AZ66" i="33"/>
  <c r="BA66" i="33"/>
  <c r="BB66" i="33"/>
  <c r="BC66" i="33"/>
  <c r="U68" i="33"/>
  <c r="V68" i="33"/>
  <c r="W68" i="33"/>
  <c r="X68" i="33"/>
  <c r="Y68" i="33"/>
  <c r="Z68" i="33"/>
  <c r="AA68" i="33"/>
  <c r="AB68" i="33"/>
  <c r="AC68" i="33"/>
  <c r="AD68" i="33"/>
  <c r="AE68" i="33"/>
  <c r="AF68" i="33"/>
  <c r="AG68" i="33"/>
  <c r="AH68" i="33"/>
  <c r="AI68" i="33"/>
  <c r="AJ68" i="33"/>
  <c r="AK68" i="33"/>
  <c r="AL68" i="33"/>
  <c r="AM68" i="33"/>
  <c r="AN68" i="33"/>
  <c r="AO68" i="33"/>
  <c r="AP68" i="33"/>
  <c r="AQ68" i="33"/>
  <c r="AR68" i="33"/>
  <c r="AS68" i="33"/>
  <c r="AT68" i="33"/>
  <c r="AU68" i="33"/>
  <c r="AV68" i="33"/>
  <c r="AW68" i="33"/>
  <c r="AX68" i="33"/>
  <c r="AY68" i="33"/>
  <c r="AZ68" i="33"/>
  <c r="BA68" i="33"/>
  <c r="BB68" i="33"/>
  <c r="BC68" i="33"/>
  <c r="U70" i="33"/>
  <c r="V70" i="33"/>
  <c r="W70" i="33"/>
  <c r="X70" i="33"/>
  <c r="Y70" i="33"/>
  <c r="Z70" i="33"/>
  <c r="AA70" i="33"/>
  <c r="AB70" i="33"/>
  <c r="AC70" i="33"/>
  <c r="AD70" i="33"/>
  <c r="AE70" i="33"/>
  <c r="AF70" i="33"/>
  <c r="AG70" i="33"/>
  <c r="AH70" i="33"/>
  <c r="AI70" i="33"/>
  <c r="AJ70" i="33"/>
  <c r="AK70" i="33"/>
  <c r="AL70" i="33"/>
  <c r="AM70" i="33"/>
  <c r="AN70" i="33"/>
  <c r="AO70" i="33"/>
  <c r="AP70" i="33"/>
  <c r="AQ70" i="33"/>
  <c r="AR70" i="33"/>
  <c r="AS70" i="33"/>
  <c r="AT70" i="33"/>
  <c r="AU70" i="33"/>
  <c r="AV70" i="33"/>
  <c r="AW70" i="33"/>
  <c r="AX70" i="33"/>
  <c r="AY70" i="33"/>
  <c r="AZ70" i="33"/>
  <c r="BA70" i="33"/>
  <c r="BB70" i="33"/>
  <c r="BC70" i="33"/>
  <c r="U71" i="33"/>
  <c r="V71" i="33"/>
  <c r="W71" i="33"/>
  <c r="X71" i="33"/>
  <c r="Y71" i="33"/>
  <c r="Z71" i="33"/>
  <c r="AA71" i="33"/>
  <c r="AB71" i="33"/>
  <c r="AC71" i="33"/>
  <c r="AD71" i="33"/>
  <c r="AE71" i="33"/>
  <c r="AF71" i="33"/>
  <c r="AG71" i="33"/>
  <c r="AH71" i="33"/>
  <c r="AI71" i="33"/>
  <c r="AJ71" i="33"/>
  <c r="AK71" i="33"/>
  <c r="AL71" i="33"/>
  <c r="AM71" i="33"/>
  <c r="AN71" i="33"/>
  <c r="AO71" i="33"/>
  <c r="AP71" i="33"/>
  <c r="AQ71" i="33"/>
  <c r="AR71" i="33"/>
  <c r="AS71" i="33"/>
  <c r="AT71" i="33"/>
  <c r="AU71" i="33"/>
  <c r="AV71" i="33"/>
  <c r="AW71" i="33"/>
  <c r="AX71" i="33"/>
  <c r="AY71" i="33"/>
  <c r="AZ71" i="33"/>
  <c r="BA71" i="33"/>
  <c r="BB71" i="33"/>
  <c r="BC71" i="33"/>
  <c r="U73" i="33"/>
  <c r="V73" i="33"/>
  <c r="W73" i="33"/>
  <c r="X73" i="33"/>
  <c r="Y73" i="33"/>
  <c r="Z73" i="33"/>
  <c r="AA73" i="33"/>
  <c r="AB73" i="33"/>
  <c r="AC73" i="33"/>
  <c r="AD73" i="33"/>
  <c r="AE73" i="33"/>
  <c r="AF73" i="33"/>
  <c r="AG73" i="33"/>
  <c r="AH73" i="33"/>
  <c r="AI73" i="33"/>
  <c r="AJ73" i="33"/>
  <c r="AK73" i="33"/>
  <c r="AL73" i="33"/>
  <c r="AM73" i="33"/>
  <c r="AN73" i="33"/>
  <c r="AO73" i="33"/>
  <c r="AP73" i="33"/>
  <c r="AQ73" i="33"/>
  <c r="AR73" i="33"/>
  <c r="AS73" i="33"/>
  <c r="AT73" i="33"/>
  <c r="AU73" i="33"/>
  <c r="AV73" i="33"/>
  <c r="AW73" i="33"/>
  <c r="AX73" i="33"/>
  <c r="AY73" i="33"/>
  <c r="AZ73" i="33"/>
  <c r="BA73" i="33"/>
  <c r="BB73" i="33"/>
  <c r="BC73" i="33"/>
  <c r="U76" i="33"/>
  <c r="V76" i="33"/>
  <c r="W76" i="33"/>
  <c r="X76" i="33"/>
  <c r="Y76" i="33"/>
  <c r="Z76" i="33"/>
  <c r="AA76" i="33"/>
  <c r="AB76" i="33"/>
  <c r="AC76" i="33"/>
  <c r="AD76" i="33"/>
  <c r="AE76" i="33"/>
  <c r="AF76" i="33"/>
  <c r="AG76" i="33"/>
  <c r="AH76" i="33"/>
  <c r="AI76" i="33"/>
  <c r="AJ76" i="33"/>
  <c r="AK76" i="33"/>
  <c r="AL76" i="33"/>
  <c r="AM76" i="33"/>
  <c r="AN76" i="33"/>
  <c r="AO76" i="33"/>
  <c r="AP76" i="33"/>
  <c r="AQ76" i="33"/>
  <c r="AR76" i="33"/>
  <c r="AS76" i="33"/>
  <c r="AT76" i="33"/>
  <c r="AU76" i="33"/>
  <c r="AV76" i="33"/>
  <c r="AW76" i="33"/>
  <c r="AX76" i="33"/>
  <c r="AY76" i="33"/>
  <c r="AZ76" i="33"/>
  <c r="BA76" i="33"/>
  <c r="BB76" i="33"/>
  <c r="BC76" i="33"/>
  <c r="T77" i="33"/>
  <c r="T81" i="33"/>
  <c r="U81" i="33"/>
  <c r="V81" i="33"/>
  <c r="W81" i="33"/>
  <c r="X81" i="33"/>
  <c r="Y81" i="33"/>
  <c r="Z81" i="33"/>
  <c r="AA81" i="33"/>
  <c r="AB81" i="33"/>
  <c r="AC81" i="33"/>
  <c r="AD81" i="33"/>
  <c r="AE81" i="33"/>
  <c r="AF81" i="33"/>
  <c r="AG81" i="33"/>
  <c r="AH81" i="33"/>
  <c r="AI81" i="33"/>
  <c r="AJ81" i="33"/>
  <c r="AK81" i="33"/>
  <c r="AL81" i="33"/>
  <c r="AM81" i="33"/>
  <c r="AN81" i="33"/>
  <c r="AO81" i="33"/>
  <c r="AP81" i="33"/>
  <c r="AQ81" i="33"/>
  <c r="AR81" i="33"/>
  <c r="AS81" i="33"/>
  <c r="AT81" i="33"/>
  <c r="AU81" i="33"/>
  <c r="AV81" i="33"/>
  <c r="AW81" i="33"/>
  <c r="AX81" i="33"/>
  <c r="AY81" i="33"/>
  <c r="AZ81" i="33"/>
  <c r="BA81" i="33"/>
  <c r="BB81" i="33"/>
  <c r="BC81" i="33"/>
  <c r="T82" i="33"/>
  <c r="U82" i="33"/>
  <c r="V82" i="33"/>
  <c r="W82" i="33"/>
  <c r="X82" i="33"/>
  <c r="Y82" i="33"/>
  <c r="Z82" i="33"/>
  <c r="AA82" i="33"/>
  <c r="AB82" i="33"/>
  <c r="AC82" i="33"/>
  <c r="AD82" i="33"/>
  <c r="AE82" i="33"/>
  <c r="AF82" i="33"/>
  <c r="AG82" i="33"/>
  <c r="AH82" i="33"/>
  <c r="AI82" i="33"/>
  <c r="AJ82" i="33"/>
  <c r="AK82" i="33"/>
  <c r="AL82" i="33"/>
  <c r="AM82" i="33"/>
  <c r="AN82" i="33"/>
  <c r="AO82" i="33"/>
  <c r="AP82" i="33"/>
  <c r="AQ82" i="33"/>
  <c r="AR82" i="33"/>
  <c r="AS82" i="33"/>
  <c r="AT82" i="33"/>
  <c r="AU82" i="33"/>
  <c r="AV82" i="33"/>
  <c r="AW82" i="33"/>
  <c r="AX82" i="33"/>
  <c r="AY82" i="33"/>
  <c r="AZ82" i="33"/>
  <c r="BA82" i="33"/>
  <c r="BB82" i="33"/>
  <c r="BC82" i="33"/>
  <c r="T84" i="33"/>
  <c r="T87" i="33"/>
  <c r="T92" i="33"/>
  <c r="T93" i="33"/>
  <c r="T95" i="33"/>
  <c r="U84" i="33"/>
  <c r="V84" i="33"/>
  <c r="W84" i="33"/>
  <c r="X84" i="33"/>
  <c r="Y84" i="33"/>
  <c r="Z84" i="33"/>
  <c r="AA84" i="33"/>
  <c r="AB84" i="33"/>
  <c r="AC84" i="33"/>
  <c r="AD84" i="33"/>
  <c r="AE84" i="33"/>
  <c r="AF84" i="33"/>
  <c r="AG84" i="33"/>
  <c r="AH84" i="33"/>
  <c r="AI84" i="33"/>
  <c r="AJ84" i="33"/>
  <c r="AK84" i="33"/>
  <c r="AL84" i="33"/>
  <c r="AM84" i="33"/>
  <c r="AN84" i="33"/>
  <c r="AO84" i="33"/>
  <c r="AP84" i="33"/>
  <c r="AQ84" i="33"/>
  <c r="AR84" i="33"/>
  <c r="AS84" i="33"/>
  <c r="AT84" i="33"/>
  <c r="AU84" i="33"/>
  <c r="AV84" i="33"/>
  <c r="AW84" i="33"/>
  <c r="AX84" i="33"/>
  <c r="AY84" i="33"/>
  <c r="AZ84" i="33"/>
  <c r="BA84" i="33"/>
  <c r="BB84" i="33"/>
  <c r="BC84" i="33"/>
  <c r="U79" i="33"/>
  <c r="V79" i="33"/>
  <c r="W79" i="33"/>
  <c r="X79" i="33"/>
  <c r="Y79" i="33"/>
  <c r="Z79" i="33"/>
  <c r="AA79" i="33"/>
  <c r="AB79" i="33"/>
  <c r="AC79" i="33"/>
  <c r="AD79" i="33"/>
  <c r="AE79" i="33"/>
  <c r="AF79" i="33"/>
  <c r="AG79" i="33"/>
  <c r="AH79" i="33"/>
  <c r="AI79" i="33"/>
  <c r="AJ79" i="33"/>
  <c r="AK79" i="33"/>
  <c r="AL79" i="33"/>
  <c r="AM79" i="33"/>
  <c r="AN79" i="33"/>
  <c r="AO79" i="33"/>
  <c r="AP79" i="33"/>
  <c r="AQ79" i="33"/>
  <c r="AR79" i="33"/>
  <c r="AS79" i="33"/>
  <c r="AT79" i="33"/>
  <c r="AU79" i="33"/>
  <c r="AV79" i="33"/>
  <c r="AW79" i="33"/>
  <c r="AX79" i="33"/>
  <c r="AY79" i="33"/>
  <c r="AZ79" i="33"/>
  <c r="BA79" i="33"/>
  <c r="BB79" i="33"/>
  <c r="BC79" i="33"/>
  <c r="T90" i="33"/>
  <c r="T98" i="33"/>
  <c r="U87" i="33"/>
  <c r="V87" i="33"/>
  <c r="W87" i="33"/>
  <c r="X87" i="33"/>
  <c r="Y87" i="33"/>
  <c r="Z87" i="33"/>
  <c r="AA87" i="33"/>
  <c r="AB87" i="33"/>
  <c r="AC87" i="33"/>
  <c r="AD87" i="33"/>
  <c r="AE87" i="33"/>
  <c r="AF87" i="33"/>
  <c r="AG87" i="33"/>
  <c r="AH87" i="33"/>
  <c r="AI87" i="33"/>
  <c r="AJ87" i="33"/>
  <c r="AK87" i="33"/>
  <c r="AL87" i="33"/>
  <c r="AM87" i="33"/>
  <c r="AN87" i="33"/>
  <c r="AO87" i="33"/>
  <c r="AP87" i="33"/>
  <c r="AQ87" i="33"/>
  <c r="AR87" i="33"/>
  <c r="AS87" i="33"/>
  <c r="AT87" i="33"/>
  <c r="AU87" i="33"/>
  <c r="AV87" i="33"/>
  <c r="AW87" i="33"/>
  <c r="AX87" i="33"/>
  <c r="AY87" i="33"/>
  <c r="AZ87" i="33"/>
  <c r="BA87" i="33"/>
  <c r="BB87" i="33"/>
  <c r="BC87" i="33"/>
  <c r="U77" i="33"/>
  <c r="V77" i="33"/>
  <c r="W77" i="33"/>
  <c r="X77" i="33"/>
  <c r="Y77" i="33"/>
  <c r="Z77" i="33"/>
  <c r="AA77" i="33"/>
  <c r="AB77" i="33"/>
  <c r="AC77" i="33"/>
  <c r="AD77" i="33"/>
  <c r="AE77" i="33"/>
  <c r="AF77" i="33"/>
  <c r="AG77" i="33"/>
  <c r="AH77" i="33"/>
  <c r="AI77" i="33"/>
  <c r="AJ77" i="33"/>
  <c r="AK77" i="33"/>
  <c r="AL77" i="33"/>
  <c r="AM77" i="33"/>
  <c r="AN77" i="33"/>
  <c r="AO77" i="33"/>
  <c r="AP77" i="33"/>
  <c r="AQ77" i="33"/>
  <c r="AR77" i="33"/>
  <c r="AS77" i="33"/>
  <c r="AT77" i="33"/>
  <c r="AU77" i="33"/>
  <c r="AV77" i="33"/>
  <c r="AW77" i="33"/>
  <c r="AX77" i="33"/>
  <c r="AY77" i="33"/>
  <c r="AZ77" i="33"/>
  <c r="BA77" i="33"/>
  <c r="BB77" i="33"/>
  <c r="BC77" i="33"/>
  <c r="T88" i="33"/>
  <c r="W65" i="33"/>
  <c r="U92" i="33"/>
  <c r="V92" i="33"/>
  <c r="W92" i="33"/>
  <c r="X92" i="33"/>
  <c r="Y92" i="33"/>
  <c r="Z92" i="33"/>
  <c r="AA92" i="33"/>
  <c r="AB92" i="33"/>
  <c r="AC92" i="33"/>
  <c r="AD92" i="33"/>
  <c r="AE92" i="33"/>
  <c r="AF92" i="33"/>
  <c r="AG92" i="33"/>
  <c r="AH92" i="33"/>
  <c r="AI92" i="33"/>
  <c r="AJ92" i="33"/>
  <c r="AK92" i="33"/>
  <c r="AL92" i="33"/>
  <c r="AM92" i="33"/>
  <c r="AN92" i="33"/>
  <c r="AO92" i="33"/>
  <c r="AP92" i="33"/>
  <c r="AQ92" i="33"/>
  <c r="AR92" i="33"/>
  <c r="AS92" i="33"/>
  <c r="AT92" i="33"/>
  <c r="AU92" i="33"/>
  <c r="AV92" i="33"/>
  <c r="AW92" i="33"/>
  <c r="AX92" i="33"/>
  <c r="AY92" i="33"/>
  <c r="AZ92" i="33"/>
  <c r="BA92" i="33"/>
  <c r="BB92" i="33"/>
  <c r="BC92" i="33"/>
  <c r="T103" i="33"/>
  <c r="U93" i="33"/>
  <c r="V93" i="33"/>
  <c r="W93" i="33"/>
  <c r="X93" i="33"/>
  <c r="Y93" i="33"/>
  <c r="Z93" i="33"/>
  <c r="AA93" i="33"/>
  <c r="AB93" i="33"/>
  <c r="AC93" i="33"/>
  <c r="AD93" i="33"/>
  <c r="AE93" i="33"/>
  <c r="AF93" i="33"/>
  <c r="AG93" i="33"/>
  <c r="AH93" i="33"/>
  <c r="AI93" i="33"/>
  <c r="AJ93" i="33"/>
  <c r="AK93" i="33"/>
  <c r="AL93" i="33"/>
  <c r="AM93" i="33"/>
  <c r="AN93" i="33"/>
  <c r="AO93" i="33"/>
  <c r="AP93" i="33"/>
  <c r="AQ93" i="33"/>
  <c r="AR93" i="33"/>
  <c r="AS93" i="33"/>
  <c r="AT93" i="33"/>
  <c r="AU93" i="33"/>
  <c r="AV93" i="33"/>
  <c r="AW93" i="33"/>
  <c r="AX93" i="33"/>
  <c r="AY93" i="33"/>
  <c r="AZ93" i="33"/>
  <c r="BA93" i="33"/>
  <c r="BB93" i="33"/>
  <c r="BC93" i="33"/>
  <c r="T104" i="33"/>
  <c r="U98" i="33"/>
  <c r="V98" i="33"/>
  <c r="W98" i="33"/>
  <c r="X98" i="33"/>
  <c r="Y98" i="33"/>
  <c r="Z98" i="33"/>
  <c r="AA98" i="33"/>
  <c r="AB98" i="33"/>
  <c r="AC98" i="33"/>
  <c r="AD98" i="33"/>
  <c r="AE98" i="33"/>
  <c r="AF98" i="33"/>
  <c r="AG98" i="33"/>
  <c r="AH98" i="33"/>
  <c r="AI98" i="33"/>
  <c r="AJ98" i="33"/>
  <c r="AK98" i="33"/>
  <c r="AL98" i="33"/>
  <c r="AM98" i="33"/>
  <c r="AN98" i="33"/>
  <c r="AO98" i="33"/>
  <c r="AP98" i="33"/>
  <c r="AQ98" i="33"/>
  <c r="AR98" i="33"/>
  <c r="AS98" i="33"/>
  <c r="AT98" i="33"/>
  <c r="AU98" i="33"/>
  <c r="AV98" i="33"/>
  <c r="AW98" i="33"/>
  <c r="AX98" i="33"/>
  <c r="AY98" i="33"/>
  <c r="AZ98" i="33"/>
  <c r="BA98" i="33"/>
  <c r="BB98" i="33"/>
  <c r="BC98" i="33"/>
  <c r="T109" i="33"/>
  <c r="U88" i="33"/>
  <c r="V88" i="33"/>
  <c r="W88" i="33"/>
  <c r="X88" i="33"/>
  <c r="Y88" i="33"/>
  <c r="Z88" i="33"/>
  <c r="AA88" i="33"/>
  <c r="AB88" i="33"/>
  <c r="AC88" i="33"/>
  <c r="AD88" i="33"/>
  <c r="AE88" i="33"/>
  <c r="AF88" i="33"/>
  <c r="AG88" i="33"/>
  <c r="AH88" i="33"/>
  <c r="AI88" i="33"/>
  <c r="AJ88" i="33"/>
  <c r="AK88" i="33"/>
  <c r="AL88" i="33"/>
  <c r="AM88" i="33"/>
  <c r="AN88" i="33"/>
  <c r="AO88" i="33"/>
  <c r="AP88" i="33"/>
  <c r="AQ88" i="33"/>
  <c r="AR88" i="33"/>
  <c r="AS88" i="33"/>
  <c r="AT88" i="33"/>
  <c r="AU88" i="33"/>
  <c r="AV88" i="33"/>
  <c r="AW88" i="33"/>
  <c r="AX88" i="33"/>
  <c r="AY88" i="33"/>
  <c r="AZ88" i="33"/>
  <c r="BA88" i="33"/>
  <c r="BB88" i="33"/>
  <c r="BC88" i="33"/>
  <c r="T99" i="33"/>
  <c r="X65" i="33"/>
  <c r="U90" i="33"/>
  <c r="V90" i="33"/>
  <c r="W90" i="33"/>
  <c r="X90" i="33"/>
  <c r="Y90" i="33"/>
  <c r="Z90" i="33"/>
  <c r="AA90" i="33"/>
  <c r="AB90" i="33"/>
  <c r="AC90" i="33"/>
  <c r="AD90" i="33"/>
  <c r="AE90" i="33"/>
  <c r="AF90" i="33"/>
  <c r="AG90" i="33"/>
  <c r="AH90" i="33"/>
  <c r="AI90" i="33"/>
  <c r="AJ90" i="33"/>
  <c r="AK90" i="33"/>
  <c r="AL90" i="33"/>
  <c r="AM90" i="33"/>
  <c r="AN90" i="33"/>
  <c r="AO90" i="33"/>
  <c r="AP90" i="33"/>
  <c r="AQ90" i="33"/>
  <c r="AR90" i="33"/>
  <c r="AS90" i="33"/>
  <c r="AT90" i="33"/>
  <c r="AU90" i="33"/>
  <c r="AV90" i="33"/>
  <c r="AW90" i="33"/>
  <c r="AX90" i="33"/>
  <c r="AY90" i="33"/>
  <c r="AZ90" i="33"/>
  <c r="BA90" i="33"/>
  <c r="BB90" i="33"/>
  <c r="BC90" i="33"/>
  <c r="T101" i="33"/>
  <c r="T106" i="33"/>
  <c r="U95" i="33"/>
  <c r="V95" i="33"/>
  <c r="W95" i="33"/>
  <c r="X95" i="33"/>
  <c r="Y95" i="33"/>
  <c r="Z95" i="33"/>
  <c r="AA95" i="33"/>
  <c r="AB95" i="33"/>
  <c r="AC95" i="33"/>
  <c r="AD95" i="33"/>
  <c r="AE95" i="33"/>
  <c r="AF95" i="33"/>
  <c r="AG95" i="33"/>
  <c r="AH95" i="33"/>
  <c r="AI95" i="33"/>
  <c r="AJ95" i="33"/>
  <c r="AK95" i="33"/>
  <c r="AL95" i="33"/>
  <c r="AM95" i="33"/>
  <c r="AN95" i="33"/>
  <c r="AO95" i="33"/>
  <c r="AP95" i="33"/>
  <c r="AQ95" i="33"/>
  <c r="AR95" i="33"/>
  <c r="AS95" i="33"/>
  <c r="AT95" i="33"/>
  <c r="AU95" i="33"/>
  <c r="AV95" i="33"/>
  <c r="AW95" i="33"/>
  <c r="AX95" i="33"/>
  <c r="AY95" i="33"/>
  <c r="AZ95" i="33"/>
  <c r="BA95" i="33"/>
  <c r="BB95" i="33"/>
  <c r="BC95" i="33"/>
  <c r="U103" i="33"/>
  <c r="V103" i="33"/>
  <c r="W103" i="33"/>
  <c r="X103" i="33"/>
  <c r="Y103" i="33"/>
  <c r="Z103" i="33"/>
  <c r="AA103" i="33"/>
  <c r="AB103" i="33"/>
  <c r="AC103" i="33"/>
  <c r="AD103" i="33"/>
  <c r="AE103" i="33"/>
  <c r="AF103" i="33"/>
  <c r="AG103" i="33"/>
  <c r="AH103" i="33"/>
  <c r="AI103" i="33"/>
  <c r="AJ103" i="33"/>
  <c r="AK103" i="33"/>
  <c r="AL103" i="33"/>
  <c r="AM103" i="33"/>
  <c r="AN103" i="33"/>
  <c r="AO103" i="33"/>
  <c r="AP103" i="33"/>
  <c r="AQ103" i="33"/>
  <c r="AR103" i="33"/>
  <c r="AS103" i="33"/>
  <c r="AT103" i="33"/>
  <c r="AU103" i="33"/>
  <c r="AV103" i="33"/>
  <c r="AW103" i="33"/>
  <c r="AX103" i="33"/>
  <c r="AY103" i="33"/>
  <c r="AZ103" i="33"/>
  <c r="BA103" i="33"/>
  <c r="BB103" i="33"/>
  <c r="BC103" i="33"/>
  <c r="T114" i="33"/>
  <c r="T115" i="33"/>
  <c r="U104" i="33"/>
  <c r="V104" i="33"/>
  <c r="W104" i="33"/>
  <c r="X104" i="33"/>
  <c r="Y104" i="33"/>
  <c r="Z104" i="33"/>
  <c r="AA104" i="33"/>
  <c r="AB104" i="33"/>
  <c r="AC104" i="33"/>
  <c r="AD104" i="33"/>
  <c r="AE104" i="33"/>
  <c r="AF104" i="33"/>
  <c r="AG104" i="33"/>
  <c r="AH104" i="33"/>
  <c r="AI104" i="33"/>
  <c r="AJ104" i="33"/>
  <c r="AK104" i="33"/>
  <c r="AL104" i="33"/>
  <c r="AM104" i="33"/>
  <c r="AN104" i="33"/>
  <c r="AO104" i="33"/>
  <c r="AP104" i="33"/>
  <c r="AQ104" i="33"/>
  <c r="AR104" i="33"/>
  <c r="AS104" i="33"/>
  <c r="AT104" i="33"/>
  <c r="AU104" i="33"/>
  <c r="AV104" i="33"/>
  <c r="AW104" i="33"/>
  <c r="AX104" i="33"/>
  <c r="AY104" i="33"/>
  <c r="AZ104" i="33"/>
  <c r="BA104" i="33"/>
  <c r="BB104" i="33"/>
  <c r="BC104" i="33"/>
  <c r="U101" i="33"/>
  <c r="V101" i="33"/>
  <c r="W101" i="33"/>
  <c r="X101" i="33"/>
  <c r="Y101" i="33"/>
  <c r="Z101" i="33"/>
  <c r="AA101" i="33"/>
  <c r="AB101" i="33"/>
  <c r="AC101" i="33"/>
  <c r="AD101" i="33"/>
  <c r="AE101" i="33"/>
  <c r="AF101" i="33"/>
  <c r="AG101" i="33"/>
  <c r="AH101" i="33"/>
  <c r="AI101" i="33"/>
  <c r="AJ101" i="33"/>
  <c r="AK101" i="33"/>
  <c r="AL101" i="33"/>
  <c r="AM101" i="33"/>
  <c r="AN101" i="33"/>
  <c r="AO101" i="33"/>
  <c r="AP101" i="33"/>
  <c r="AQ101" i="33"/>
  <c r="AR101" i="33"/>
  <c r="AS101" i="33"/>
  <c r="AT101" i="33"/>
  <c r="AU101" i="33"/>
  <c r="AV101" i="33"/>
  <c r="AW101" i="33"/>
  <c r="AX101" i="33"/>
  <c r="AY101" i="33"/>
  <c r="AZ101" i="33"/>
  <c r="BA101" i="33"/>
  <c r="BB101" i="33"/>
  <c r="BC101" i="33"/>
  <c r="T112" i="33"/>
  <c r="Y65" i="33"/>
  <c r="U109" i="33"/>
  <c r="V109" i="33"/>
  <c r="W109" i="33"/>
  <c r="X109" i="33"/>
  <c r="Y109" i="33"/>
  <c r="Z109" i="33"/>
  <c r="AA109" i="33"/>
  <c r="AB109" i="33"/>
  <c r="AC109" i="33"/>
  <c r="AD109" i="33"/>
  <c r="AE109" i="33"/>
  <c r="AF109" i="33"/>
  <c r="AG109" i="33"/>
  <c r="AH109" i="33"/>
  <c r="AI109" i="33"/>
  <c r="AJ109" i="33"/>
  <c r="AK109" i="33"/>
  <c r="AL109" i="33"/>
  <c r="AM109" i="33"/>
  <c r="AN109" i="33"/>
  <c r="AO109" i="33"/>
  <c r="AP109" i="33"/>
  <c r="AQ109" i="33"/>
  <c r="AR109" i="33"/>
  <c r="AS109" i="33"/>
  <c r="AT109" i="33"/>
  <c r="AU109" i="33"/>
  <c r="AV109" i="33"/>
  <c r="AW109" i="33"/>
  <c r="AX109" i="33"/>
  <c r="AY109" i="33"/>
  <c r="AZ109" i="33"/>
  <c r="BA109" i="33"/>
  <c r="BB109" i="33"/>
  <c r="BC109" i="33"/>
  <c r="T120" i="33"/>
  <c r="U106" i="33"/>
  <c r="V106" i="33"/>
  <c r="W106" i="33"/>
  <c r="X106" i="33"/>
  <c r="Y106" i="33"/>
  <c r="Z106" i="33"/>
  <c r="AA106" i="33"/>
  <c r="AB106" i="33"/>
  <c r="AC106" i="33"/>
  <c r="AD106" i="33"/>
  <c r="AE106" i="33"/>
  <c r="AF106" i="33"/>
  <c r="AG106" i="33"/>
  <c r="AH106" i="33"/>
  <c r="AI106" i="33"/>
  <c r="AJ106" i="33"/>
  <c r="AK106" i="33"/>
  <c r="AL106" i="33"/>
  <c r="AM106" i="33"/>
  <c r="AN106" i="33"/>
  <c r="AO106" i="33"/>
  <c r="AP106" i="33"/>
  <c r="AQ106" i="33"/>
  <c r="AR106" i="33"/>
  <c r="AS106" i="33"/>
  <c r="AT106" i="33"/>
  <c r="AU106" i="33"/>
  <c r="AV106" i="33"/>
  <c r="AW106" i="33"/>
  <c r="AX106" i="33"/>
  <c r="AY106" i="33"/>
  <c r="AZ106" i="33"/>
  <c r="BA106" i="33"/>
  <c r="BB106" i="33"/>
  <c r="BC106" i="33"/>
  <c r="T117" i="33"/>
  <c r="T110" i="33"/>
  <c r="U99" i="33"/>
  <c r="V99" i="33"/>
  <c r="W99" i="33"/>
  <c r="X99" i="33"/>
  <c r="Y99" i="33"/>
  <c r="Z99" i="33"/>
  <c r="AA99" i="33"/>
  <c r="AB99" i="33"/>
  <c r="AC99" i="33"/>
  <c r="AD99" i="33"/>
  <c r="AE99" i="33"/>
  <c r="AF99" i="33"/>
  <c r="AG99" i="33"/>
  <c r="AH99" i="33"/>
  <c r="AI99" i="33"/>
  <c r="AJ99" i="33"/>
  <c r="AK99" i="33"/>
  <c r="AL99" i="33"/>
  <c r="AM99" i="33"/>
  <c r="AN99" i="33"/>
  <c r="AO99" i="33"/>
  <c r="AP99" i="33"/>
  <c r="AQ99" i="33"/>
  <c r="AR99" i="33"/>
  <c r="AS99" i="33"/>
  <c r="AT99" i="33"/>
  <c r="AU99" i="33"/>
  <c r="AV99" i="33"/>
  <c r="AW99" i="33"/>
  <c r="AX99" i="33"/>
  <c r="AY99" i="33"/>
  <c r="AZ99" i="33"/>
  <c r="BA99" i="33"/>
  <c r="BB99" i="33"/>
  <c r="BC99" i="33"/>
  <c r="B32" i="33"/>
  <c r="U114" i="33"/>
  <c r="V114" i="33"/>
  <c r="W114" i="33"/>
  <c r="X114" i="33"/>
  <c r="Y114" i="33"/>
  <c r="Z114" i="33"/>
  <c r="AA114" i="33"/>
  <c r="AB114" i="33"/>
  <c r="AC114" i="33"/>
  <c r="AD114" i="33"/>
  <c r="AE114" i="33"/>
  <c r="AF114" i="33"/>
  <c r="AG114" i="33"/>
  <c r="AH114" i="33"/>
  <c r="AI114" i="33"/>
  <c r="AJ114" i="33"/>
  <c r="AK114" i="33"/>
  <c r="AL114" i="33"/>
  <c r="AM114" i="33"/>
  <c r="AN114" i="33"/>
  <c r="AO114" i="33"/>
  <c r="AP114" i="33"/>
  <c r="AQ114" i="33"/>
  <c r="AR114" i="33"/>
  <c r="AS114" i="33"/>
  <c r="AT114" i="33"/>
  <c r="AU114" i="33"/>
  <c r="AV114" i="33"/>
  <c r="AW114" i="33"/>
  <c r="AX114" i="33"/>
  <c r="AY114" i="33"/>
  <c r="AZ114" i="33"/>
  <c r="BA114" i="33"/>
  <c r="BB114" i="33"/>
  <c r="BC114" i="33"/>
  <c r="T125" i="33"/>
  <c r="U115" i="33"/>
  <c r="V115" i="33"/>
  <c r="W115" i="33"/>
  <c r="X115" i="33"/>
  <c r="Y115" i="33"/>
  <c r="Z115" i="33"/>
  <c r="AA115" i="33"/>
  <c r="AB115" i="33"/>
  <c r="AC115" i="33"/>
  <c r="AD115" i="33"/>
  <c r="AE115" i="33"/>
  <c r="AF115" i="33"/>
  <c r="AG115" i="33"/>
  <c r="AH115" i="33"/>
  <c r="AI115" i="33"/>
  <c r="AJ115" i="33"/>
  <c r="AK115" i="33"/>
  <c r="AL115" i="33"/>
  <c r="AM115" i="33"/>
  <c r="AN115" i="33"/>
  <c r="AO115" i="33"/>
  <c r="AP115" i="33"/>
  <c r="AQ115" i="33"/>
  <c r="AR115" i="33"/>
  <c r="AS115" i="33"/>
  <c r="AT115" i="33"/>
  <c r="AU115" i="33"/>
  <c r="AV115" i="33"/>
  <c r="AW115" i="33"/>
  <c r="AX115" i="33"/>
  <c r="AY115" i="33"/>
  <c r="AZ115" i="33"/>
  <c r="BA115" i="33"/>
  <c r="BB115" i="33"/>
  <c r="BC115" i="33"/>
  <c r="T126" i="33"/>
  <c r="X37" i="33"/>
  <c r="Y7" i="33"/>
  <c r="AO7" i="33"/>
  <c r="V7" i="33"/>
  <c r="AL7" i="33"/>
  <c r="BB7" i="33"/>
  <c r="AY7" i="33"/>
  <c r="W7" i="33"/>
  <c r="AB7" i="33"/>
  <c r="X7" i="33"/>
  <c r="AC7" i="33"/>
  <c r="AS7" i="33"/>
  <c r="Z7" i="33"/>
  <c r="AP7" i="33"/>
  <c r="AA7" i="33"/>
  <c r="AE7" i="33"/>
  <c r="AR7" i="33"/>
  <c r="AF7" i="33"/>
  <c r="AG7" i="33"/>
  <c r="AW7" i="33"/>
  <c r="AD7" i="33"/>
  <c r="AT7" i="33"/>
  <c r="AI7" i="33"/>
  <c r="AJ7" i="33"/>
  <c r="AU7" i="33"/>
  <c r="AM7" i="33"/>
  <c r="AN7" i="33"/>
  <c r="U7" i="33"/>
  <c r="AK7" i="33"/>
  <c r="BA7" i="33"/>
  <c r="AH7" i="33"/>
  <c r="AX7" i="33"/>
  <c r="AQ7" i="33"/>
  <c r="AZ7" i="33"/>
  <c r="AV7" i="33"/>
  <c r="BC7" i="33"/>
  <c r="E27" i="33"/>
  <c r="F46" i="33"/>
  <c r="E26" i="33"/>
  <c r="D46" i="33"/>
  <c r="U117" i="33"/>
  <c r="V117" i="33"/>
  <c r="W117" i="33"/>
  <c r="X117" i="33"/>
  <c r="Y117" i="33"/>
  <c r="Z117" i="33"/>
  <c r="AA117" i="33"/>
  <c r="AB117" i="33"/>
  <c r="AC117" i="33"/>
  <c r="AD117" i="33"/>
  <c r="AE117" i="33"/>
  <c r="AF117" i="33"/>
  <c r="AG117" i="33"/>
  <c r="AH117" i="33"/>
  <c r="AI117" i="33"/>
  <c r="AJ117" i="33"/>
  <c r="AK117" i="33"/>
  <c r="AL117" i="33"/>
  <c r="AM117" i="33"/>
  <c r="AN117" i="33"/>
  <c r="AO117" i="33"/>
  <c r="AP117" i="33"/>
  <c r="AQ117" i="33"/>
  <c r="AR117" i="33"/>
  <c r="AS117" i="33"/>
  <c r="AT117" i="33"/>
  <c r="AU117" i="33"/>
  <c r="AV117" i="33"/>
  <c r="AW117" i="33"/>
  <c r="AX117" i="33"/>
  <c r="AY117" i="33"/>
  <c r="AZ117" i="33"/>
  <c r="BA117" i="33"/>
  <c r="BB117" i="33"/>
  <c r="BC117" i="33"/>
  <c r="T128" i="33"/>
  <c r="T123" i="33"/>
  <c r="U112" i="33"/>
  <c r="V112" i="33"/>
  <c r="W112" i="33"/>
  <c r="X112" i="33"/>
  <c r="Y112" i="33"/>
  <c r="Z112" i="33"/>
  <c r="AA112" i="33"/>
  <c r="AB112" i="33"/>
  <c r="AC112" i="33"/>
  <c r="AD112" i="33"/>
  <c r="AE112" i="33"/>
  <c r="AF112" i="33"/>
  <c r="AG112" i="33"/>
  <c r="AH112" i="33"/>
  <c r="AI112" i="33"/>
  <c r="AJ112" i="33"/>
  <c r="AK112" i="33"/>
  <c r="AL112" i="33"/>
  <c r="AM112" i="33"/>
  <c r="AN112" i="33"/>
  <c r="AO112" i="33"/>
  <c r="AP112" i="33"/>
  <c r="AQ112" i="33"/>
  <c r="AR112" i="33"/>
  <c r="AS112" i="33"/>
  <c r="AT112" i="33"/>
  <c r="AU112" i="33"/>
  <c r="AV112" i="33"/>
  <c r="AW112" i="33"/>
  <c r="AX112" i="33"/>
  <c r="AY112" i="33"/>
  <c r="AZ112" i="33"/>
  <c r="BA112" i="33"/>
  <c r="BB112" i="33"/>
  <c r="BC112" i="33"/>
  <c r="U110" i="33"/>
  <c r="V110" i="33"/>
  <c r="W110" i="33"/>
  <c r="X110" i="33"/>
  <c r="Y110" i="33"/>
  <c r="Z110" i="33"/>
  <c r="AA110" i="33"/>
  <c r="AB110" i="33"/>
  <c r="AC110" i="33"/>
  <c r="AD110" i="33"/>
  <c r="AE110" i="33"/>
  <c r="AF110" i="33"/>
  <c r="AG110" i="33"/>
  <c r="AH110" i="33"/>
  <c r="AI110" i="33"/>
  <c r="AJ110" i="33"/>
  <c r="AK110" i="33"/>
  <c r="AL110" i="33"/>
  <c r="AM110" i="33"/>
  <c r="AN110" i="33"/>
  <c r="AO110" i="33"/>
  <c r="AP110" i="33"/>
  <c r="AQ110" i="33"/>
  <c r="AR110" i="33"/>
  <c r="AS110" i="33"/>
  <c r="AT110" i="33"/>
  <c r="AU110" i="33"/>
  <c r="AV110" i="33"/>
  <c r="AW110" i="33"/>
  <c r="AX110" i="33"/>
  <c r="AY110" i="33"/>
  <c r="AZ110" i="33"/>
  <c r="BA110" i="33"/>
  <c r="BB110" i="33"/>
  <c r="BC110" i="33"/>
  <c r="T121" i="33"/>
  <c r="T131" i="33"/>
  <c r="U131" i="33"/>
  <c r="V131" i="33"/>
  <c r="W131" i="33"/>
  <c r="X131" i="33"/>
  <c r="Y131" i="33"/>
  <c r="Z131" i="33"/>
  <c r="AA131" i="33"/>
  <c r="AB131" i="33"/>
  <c r="AC131" i="33"/>
  <c r="AD131" i="33"/>
  <c r="AE131" i="33"/>
  <c r="AF131" i="33"/>
  <c r="AG131" i="33"/>
  <c r="AH131" i="33"/>
  <c r="AI131" i="33"/>
  <c r="AJ131" i="33"/>
  <c r="AK131" i="33"/>
  <c r="AL131" i="33"/>
  <c r="AM131" i="33"/>
  <c r="AN131" i="33"/>
  <c r="AO131" i="33"/>
  <c r="AP131" i="33"/>
  <c r="AQ131" i="33"/>
  <c r="AR131" i="33"/>
  <c r="AS131" i="33"/>
  <c r="AT131" i="33"/>
  <c r="AU131" i="33"/>
  <c r="AV131" i="33"/>
  <c r="AW131" i="33"/>
  <c r="AX131" i="33"/>
  <c r="AY131" i="33"/>
  <c r="AZ131" i="33"/>
  <c r="BA131" i="33"/>
  <c r="BB131" i="33"/>
  <c r="BC131" i="33"/>
  <c r="U120" i="33"/>
  <c r="V120" i="33"/>
  <c r="W120" i="33"/>
  <c r="X120" i="33"/>
  <c r="Y120" i="33"/>
  <c r="Z120" i="33"/>
  <c r="AA120" i="33"/>
  <c r="AB120" i="33"/>
  <c r="AC120" i="33"/>
  <c r="AD120" i="33"/>
  <c r="AE120" i="33"/>
  <c r="AF120" i="33"/>
  <c r="AG120" i="33"/>
  <c r="AH120" i="33"/>
  <c r="AI120" i="33"/>
  <c r="AJ120" i="33"/>
  <c r="AK120" i="33"/>
  <c r="AL120" i="33"/>
  <c r="AM120" i="33"/>
  <c r="AN120" i="33"/>
  <c r="AO120" i="33"/>
  <c r="AP120" i="33"/>
  <c r="AQ120" i="33"/>
  <c r="AR120" i="33"/>
  <c r="AS120" i="33"/>
  <c r="AT120" i="33"/>
  <c r="AU120" i="33"/>
  <c r="AV120" i="33"/>
  <c r="AW120" i="33"/>
  <c r="AX120" i="33"/>
  <c r="AY120" i="33"/>
  <c r="AZ120" i="33"/>
  <c r="BA120" i="33"/>
  <c r="BB120" i="33"/>
  <c r="BC120" i="33"/>
  <c r="Z65" i="33"/>
  <c r="BZ14" i="33"/>
  <c r="BZ15" i="33"/>
  <c r="BZ16" i="33"/>
  <c r="BZ17" i="33"/>
  <c r="BZ18" i="33"/>
  <c r="BZ19" i="33"/>
  <c r="BX14" i="33"/>
  <c r="BX15" i="33"/>
  <c r="BX16" i="33"/>
  <c r="BX17" i="33"/>
  <c r="BX18" i="33"/>
  <c r="BX19" i="33"/>
  <c r="BT14" i="33"/>
  <c r="BT15" i="33"/>
  <c r="BT16" i="33"/>
  <c r="BT17" i="33"/>
  <c r="BT18" i="33"/>
  <c r="BT19" i="33"/>
  <c r="BP14" i="33"/>
  <c r="BP15" i="33"/>
  <c r="BP16" i="33"/>
  <c r="BP17" i="33"/>
  <c r="BP18" i="33"/>
  <c r="BP19" i="33"/>
  <c r="BN14" i="33"/>
  <c r="BN15" i="33"/>
  <c r="BN16" i="33"/>
  <c r="BN17" i="33"/>
  <c r="BN18" i="33"/>
  <c r="BN19" i="33"/>
  <c r="BL14" i="33"/>
  <c r="BL15" i="33"/>
  <c r="BL16" i="33"/>
  <c r="BL17" i="33"/>
  <c r="BL18" i="33"/>
  <c r="BL19" i="33"/>
  <c r="X47" i="33"/>
  <c r="X48" i="33"/>
  <c r="X49" i="33"/>
  <c r="X50" i="33"/>
  <c r="X51" i="33"/>
  <c r="Z47" i="33"/>
  <c r="Z48" i="33"/>
  <c r="Z49" i="33"/>
  <c r="Z50" i="33"/>
  <c r="Z51" i="33"/>
  <c r="Y47" i="33"/>
  <c r="Y48" i="33"/>
  <c r="Y49" i="33"/>
  <c r="Y50" i="33"/>
  <c r="Y51" i="33"/>
  <c r="V47" i="33"/>
  <c r="V48" i="33"/>
  <c r="V49" i="33"/>
  <c r="V50" i="33"/>
  <c r="V51" i="33"/>
  <c r="W47" i="33"/>
  <c r="W48" i="33"/>
  <c r="W49" i="33"/>
  <c r="W50" i="33"/>
  <c r="W51" i="33"/>
  <c r="AE47" i="33"/>
  <c r="AE48" i="33"/>
  <c r="AE49" i="33"/>
  <c r="AE50" i="33"/>
  <c r="AE51" i="33"/>
  <c r="AI47" i="33"/>
  <c r="AM47" i="33"/>
  <c r="AM48" i="33"/>
  <c r="AM49" i="33"/>
  <c r="AM50" i="33"/>
  <c r="AM51" i="33"/>
  <c r="AA47" i="33"/>
  <c r="AB47" i="33"/>
  <c r="AB48" i="33"/>
  <c r="AB49" i="33"/>
  <c r="AB50" i="33"/>
  <c r="AB51" i="33"/>
  <c r="AF47" i="33"/>
  <c r="AF48" i="33"/>
  <c r="AF49" i="33"/>
  <c r="AF50" i="33"/>
  <c r="AF51" i="33"/>
  <c r="AJ47" i="33"/>
  <c r="AJ48" i="33"/>
  <c r="AJ49" i="33"/>
  <c r="AJ50" i="33"/>
  <c r="AJ51" i="33"/>
  <c r="AN47" i="33"/>
  <c r="AN48" i="33"/>
  <c r="AN49" i="33"/>
  <c r="AN50" i="33"/>
  <c r="AN51" i="33"/>
  <c r="AC47" i="33"/>
  <c r="AC48" i="33"/>
  <c r="AC49" i="33"/>
  <c r="AC50" i="33"/>
  <c r="AC51" i="33"/>
  <c r="AG47" i="33"/>
  <c r="AG48" i="33"/>
  <c r="AG49" i="33"/>
  <c r="AG50" i="33"/>
  <c r="AG51" i="33"/>
  <c r="AK47" i="33"/>
  <c r="AK48" i="33"/>
  <c r="AK49" i="33"/>
  <c r="AK50" i="33"/>
  <c r="AK51" i="33"/>
  <c r="AO47" i="33"/>
  <c r="AO48" i="33"/>
  <c r="AO49" i="33"/>
  <c r="AO50" i="33"/>
  <c r="AO51" i="33"/>
  <c r="AH47" i="33"/>
  <c r="AH48" i="33"/>
  <c r="AH49" i="33"/>
  <c r="AH50" i="33"/>
  <c r="AH51" i="33"/>
  <c r="AL47" i="33"/>
  <c r="AL48" i="33"/>
  <c r="AL49" i="33"/>
  <c r="AL50" i="33"/>
  <c r="AL51" i="33"/>
  <c r="AP47" i="33"/>
  <c r="AP48" i="33"/>
  <c r="AP49" i="33"/>
  <c r="AP50" i="33"/>
  <c r="AP51" i="33"/>
  <c r="AD47" i="33"/>
  <c r="AD48" i="33"/>
  <c r="AD49" i="33"/>
  <c r="AD50" i="33"/>
  <c r="AD51" i="33"/>
  <c r="T136" i="33"/>
  <c r="U136" i="33"/>
  <c r="V136" i="33"/>
  <c r="W136" i="33"/>
  <c r="X136" i="33"/>
  <c r="Y136" i="33"/>
  <c r="Z136" i="33"/>
  <c r="AA136" i="33"/>
  <c r="AB136" i="33"/>
  <c r="AC136" i="33"/>
  <c r="AD136" i="33"/>
  <c r="AE136" i="33"/>
  <c r="AF136" i="33"/>
  <c r="AG136" i="33"/>
  <c r="AH136" i="33"/>
  <c r="AI136" i="33"/>
  <c r="AJ136" i="33"/>
  <c r="AK136" i="33"/>
  <c r="AL136" i="33"/>
  <c r="AM136" i="33"/>
  <c r="AN136" i="33"/>
  <c r="AO136" i="33"/>
  <c r="AP136" i="33"/>
  <c r="AQ136" i="33"/>
  <c r="AR136" i="33"/>
  <c r="AS136" i="33"/>
  <c r="AT136" i="33"/>
  <c r="AU136" i="33"/>
  <c r="AV136" i="33"/>
  <c r="AW136" i="33"/>
  <c r="AX136" i="33"/>
  <c r="AY136" i="33"/>
  <c r="AZ136" i="33"/>
  <c r="BA136" i="33"/>
  <c r="BB136" i="33"/>
  <c r="BC136" i="33"/>
  <c r="U125" i="33"/>
  <c r="V125" i="33"/>
  <c r="W125" i="33"/>
  <c r="X125" i="33"/>
  <c r="Y125" i="33"/>
  <c r="Z125" i="33"/>
  <c r="AA125" i="33"/>
  <c r="AB125" i="33"/>
  <c r="AC125" i="33"/>
  <c r="AD125" i="33"/>
  <c r="AE125" i="33"/>
  <c r="AF125" i="33"/>
  <c r="AG125" i="33"/>
  <c r="AH125" i="33"/>
  <c r="AI125" i="33"/>
  <c r="AJ125" i="33"/>
  <c r="AK125" i="33"/>
  <c r="AL125" i="33"/>
  <c r="AM125" i="33"/>
  <c r="AN125" i="33"/>
  <c r="AO125" i="33"/>
  <c r="AP125" i="33"/>
  <c r="AQ125" i="33"/>
  <c r="AR125" i="33"/>
  <c r="AS125" i="33"/>
  <c r="AT125" i="33"/>
  <c r="AU125" i="33"/>
  <c r="AV125" i="33"/>
  <c r="AW125" i="33"/>
  <c r="AX125" i="33"/>
  <c r="AY125" i="33"/>
  <c r="AZ125" i="33"/>
  <c r="BA125" i="33"/>
  <c r="BB125" i="33"/>
  <c r="BC125" i="33"/>
  <c r="T137" i="33"/>
  <c r="U137" i="33"/>
  <c r="V137" i="33"/>
  <c r="W137" i="33"/>
  <c r="X137" i="33"/>
  <c r="Y137" i="33"/>
  <c r="Z137" i="33"/>
  <c r="AA137" i="33"/>
  <c r="AB137" i="33"/>
  <c r="AC137" i="33"/>
  <c r="AD137" i="33"/>
  <c r="AE137" i="33"/>
  <c r="AF137" i="33"/>
  <c r="AG137" i="33"/>
  <c r="AH137" i="33"/>
  <c r="AI137" i="33"/>
  <c r="AJ137" i="33"/>
  <c r="AK137" i="33"/>
  <c r="AL137" i="33"/>
  <c r="AM137" i="33"/>
  <c r="AN137" i="33"/>
  <c r="AO137" i="33"/>
  <c r="AP137" i="33"/>
  <c r="AQ137" i="33"/>
  <c r="AR137" i="33"/>
  <c r="AS137" i="33"/>
  <c r="AT137" i="33"/>
  <c r="AU137" i="33"/>
  <c r="AV137" i="33"/>
  <c r="AW137" i="33"/>
  <c r="AX137" i="33"/>
  <c r="AY137" i="33"/>
  <c r="AZ137" i="33"/>
  <c r="BA137" i="33"/>
  <c r="BB137" i="33"/>
  <c r="BC137" i="33"/>
  <c r="U126" i="33"/>
  <c r="V126" i="33"/>
  <c r="W126" i="33"/>
  <c r="X126" i="33"/>
  <c r="Y126" i="33"/>
  <c r="Z126" i="33"/>
  <c r="AA126" i="33"/>
  <c r="AB126" i="33"/>
  <c r="AC126" i="33"/>
  <c r="AD126" i="33"/>
  <c r="AE126" i="33"/>
  <c r="AF126" i="33"/>
  <c r="AG126" i="33"/>
  <c r="AH126" i="33"/>
  <c r="AI126" i="33"/>
  <c r="AJ126" i="33"/>
  <c r="AK126" i="33"/>
  <c r="AL126" i="33"/>
  <c r="AM126" i="33"/>
  <c r="AN126" i="33"/>
  <c r="AO126" i="33"/>
  <c r="AP126" i="33"/>
  <c r="AQ126" i="33"/>
  <c r="AR126" i="33"/>
  <c r="AS126" i="33"/>
  <c r="AT126" i="33"/>
  <c r="AU126" i="33"/>
  <c r="AV126" i="33"/>
  <c r="AW126" i="33"/>
  <c r="AX126" i="33"/>
  <c r="AY126" i="33"/>
  <c r="AZ126" i="33"/>
  <c r="BA126" i="33"/>
  <c r="BB126" i="33"/>
  <c r="BC126" i="33"/>
  <c r="AP37" i="33"/>
  <c r="AE37" i="33"/>
  <c r="W37" i="33"/>
  <c r="T37" i="33"/>
  <c r="AB37" i="33"/>
  <c r="AX37" i="33"/>
  <c r="AT37" i="33"/>
  <c r="AI37" i="33"/>
  <c r="AA37" i="33"/>
  <c r="AW37" i="33"/>
  <c r="AH37" i="33"/>
  <c r="Z37" i="33"/>
  <c r="BA37" i="33"/>
  <c r="AF37" i="33"/>
  <c r="AM37" i="33"/>
  <c r="AY37" i="33"/>
  <c r="AU37" i="33"/>
  <c r="AQ37" i="33"/>
  <c r="AG37" i="33"/>
  <c r="BB37" i="33"/>
  <c r="AS37" i="33"/>
  <c r="AL37" i="33"/>
  <c r="AO37" i="33"/>
  <c r="V37" i="33"/>
  <c r="AK37" i="33"/>
  <c r="AN37" i="33"/>
  <c r="AJ37" i="33"/>
  <c r="BC37" i="33"/>
  <c r="AD37" i="33"/>
  <c r="AC37" i="33"/>
  <c r="AZ37" i="33"/>
  <c r="Y37" i="33"/>
  <c r="AR37" i="33"/>
  <c r="U37" i="33"/>
  <c r="AV37" i="33"/>
  <c r="BZ20" i="33"/>
  <c r="BR20" i="33"/>
  <c r="BN20" i="33"/>
  <c r="DC8" i="33"/>
  <c r="X13" i="19"/>
  <c r="BV14" i="33"/>
  <c r="BO14" i="33"/>
  <c r="BS14" i="33"/>
  <c r="BW14" i="33"/>
  <c r="BL20" i="33"/>
  <c r="BP20" i="33"/>
  <c r="BT20" i="33"/>
  <c r="BX20" i="33"/>
  <c r="BM14" i="33"/>
  <c r="BQ14" i="33"/>
  <c r="BU14" i="33"/>
  <c r="BY14" i="33"/>
  <c r="U121" i="33"/>
  <c r="V121" i="33"/>
  <c r="W121" i="33"/>
  <c r="X121" i="33"/>
  <c r="Y121" i="33"/>
  <c r="Z121" i="33"/>
  <c r="AA121" i="33"/>
  <c r="AB121" i="33"/>
  <c r="AC121" i="33"/>
  <c r="AD121" i="33"/>
  <c r="AE121" i="33"/>
  <c r="AF121" i="33"/>
  <c r="AG121" i="33"/>
  <c r="AH121" i="33"/>
  <c r="AI121" i="33"/>
  <c r="AJ121" i="33"/>
  <c r="AK121" i="33"/>
  <c r="AL121" i="33"/>
  <c r="AM121" i="33"/>
  <c r="AN121" i="33"/>
  <c r="AO121" i="33"/>
  <c r="AP121" i="33"/>
  <c r="AQ121" i="33"/>
  <c r="AR121" i="33"/>
  <c r="AS121" i="33"/>
  <c r="AT121" i="33"/>
  <c r="AU121" i="33"/>
  <c r="AV121" i="33"/>
  <c r="AW121" i="33"/>
  <c r="AX121" i="33"/>
  <c r="AY121" i="33"/>
  <c r="AZ121" i="33"/>
  <c r="BA121" i="33"/>
  <c r="BB121" i="33"/>
  <c r="BC121" i="33"/>
  <c r="T132" i="33"/>
  <c r="U132" i="33"/>
  <c r="V132" i="33"/>
  <c r="W132" i="33"/>
  <c r="X132" i="33"/>
  <c r="Y132" i="33"/>
  <c r="Z132" i="33"/>
  <c r="AA132" i="33"/>
  <c r="AB132" i="33"/>
  <c r="AC132" i="33"/>
  <c r="AD132" i="33"/>
  <c r="AE132" i="33"/>
  <c r="AF132" i="33"/>
  <c r="AG132" i="33"/>
  <c r="AH132" i="33"/>
  <c r="AI132" i="33"/>
  <c r="AJ132" i="33"/>
  <c r="AK132" i="33"/>
  <c r="AL132" i="33"/>
  <c r="AM132" i="33"/>
  <c r="AN132" i="33"/>
  <c r="AO132" i="33"/>
  <c r="AP132" i="33"/>
  <c r="AQ132" i="33"/>
  <c r="AR132" i="33"/>
  <c r="AS132" i="33"/>
  <c r="AT132" i="33"/>
  <c r="AU132" i="33"/>
  <c r="AV132" i="33"/>
  <c r="AW132" i="33"/>
  <c r="AX132" i="33"/>
  <c r="AY132" i="33"/>
  <c r="AZ132" i="33"/>
  <c r="BA132" i="33"/>
  <c r="BB132" i="33"/>
  <c r="BC132" i="33"/>
  <c r="U123" i="33"/>
  <c r="V123" i="33"/>
  <c r="W123" i="33"/>
  <c r="X123" i="33"/>
  <c r="Y123" i="33"/>
  <c r="Z123" i="33"/>
  <c r="AA123" i="33"/>
  <c r="AB123" i="33"/>
  <c r="AC123" i="33"/>
  <c r="AD123" i="33"/>
  <c r="AE123" i="33"/>
  <c r="AF123" i="33"/>
  <c r="AG123" i="33"/>
  <c r="AH123" i="33"/>
  <c r="AI123" i="33"/>
  <c r="AJ123" i="33"/>
  <c r="AK123" i="33"/>
  <c r="AL123" i="33"/>
  <c r="AM123" i="33"/>
  <c r="AN123" i="33"/>
  <c r="AO123" i="33"/>
  <c r="AP123" i="33"/>
  <c r="AQ123" i="33"/>
  <c r="AR123" i="33"/>
  <c r="AS123" i="33"/>
  <c r="AT123" i="33"/>
  <c r="AU123" i="33"/>
  <c r="AV123" i="33"/>
  <c r="AW123" i="33"/>
  <c r="AX123" i="33"/>
  <c r="AY123" i="33"/>
  <c r="AZ123" i="33"/>
  <c r="BA123" i="33"/>
  <c r="BB123" i="33"/>
  <c r="BC123" i="33"/>
  <c r="T134" i="33"/>
  <c r="U134" i="33"/>
  <c r="V134" i="33"/>
  <c r="W134" i="33"/>
  <c r="X134" i="33"/>
  <c r="Y134" i="33"/>
  <c r="Z134" i="33"/>
  <c r="AA134" i="33"/>
  <c r="AB134" i="33"/>
  <c r="AC134" i="33"/>
  <c r="AD134" i="33"/>
  <c r="AE134" i="33"/>
  <c r="AF134" i="33"/>
  <c r="AG134" i="33"/>
  <c r="AH134" i="33"/>
  <c r="AI134" i="33"/>
  <c r="AJ134" i="33"/>
  <c r="AK134" i="33"/>
  <c r="AL134" i="33"/>
  <c r="AM134" i="33"/>
  <c r="AN134" i="33"/>
  <c r="AO134" i="33"/>
  <c r="AP134" i="33"/>
  <c r="AQ134" i="33"/>
  <c r="AR134" i="33"/>
  <c r="AS134" i="33"/>
  <c r="AT134" i="33"/>
  <c r="AU134" i="33"/>
  <c r="AV134" i="33"/>
  <c r="AW134" i="33"/>
  <c r="AX134" i="33"/>
  <c r="AY134" i="33"/>
  <c r="AZ134" i="33"/>
  <c r="BA134" i="33"/>
  <c r="BB134" i="33"/>
  <c r="BC134" i="33"/>
  <c r="T139" i="33"/>
  <c r="U139" i="33"/>
  <c r="V139" i="33"/>
  <c r="W139" i="33"/>
  <c r="X139" i="33"/>
  <c r="Y139" i="33"/>
  <c r="Z139" i="33"/>
  <c r="AA139" i="33"/>
  <c r="AB139" i="33"/>
  <c r="AC139" i="33"/>
  <c r="AD139" i="33"/>
  <c r="AE139" i="33"/>
  <c r="AF139" i="33"/>
  <c r="AG139" i="33"/>
  <c r="AH139" i="33"/>
  <c r="AI139" i="33"/>
  <c r="AJ139" i="33"/>
  <c r="AK139" i="33"/>
  <c r="AL139" i="33"/>
  <c r="AM139" i="33"/>
  <c r="AN139" i="33"/>
  <c r="AO139" i="33"/>
  <c r="AP139" i="33"/>
  <c r="AQ139" i="33"/>
  <c r="AR139" i="33"/>
  <c r="AS139" i="33"/>
  <c r="AT139" i="33"/>
  <c r="AU139" i="33"/>
  <c r="AV139" i="33"/>
  <c r="AW139" i="33"/>
  <c r="AX139" i="33"/>
  <c r="AY139" i="33"/>
  <c r="AZ139" i="33"/>
  <c r="BA139" i="33"/>
  <c r="BB139" i="33"/>
  <c r="BC139" i="33"/>
  <c r="U128" i="33"/>
  <c r="V128" i="33"/>
  <c r="W128" i="33"/>
  <c r="X128" i="33"/>
  <c r="Y128" i="33"/>
  <c r="Z128" i="33"/>
  <c r="AA128" i="33"/>
  <c r="AB128" i="33"/>
  <c r="AC128" i="33"/>
  <c r="AD128" i="33"/>
  <c r="AE128" i="33"/>
  <c r="AF128" i="33"/>
  <c r="AG128" i="33"/>
  <c r="AH128" i="33"/>
  <c r="AI128" i="33"/>
  <c r="AJ128" i="33"/>
  <c r="AK128" i="33"/>
  <c r="AL128" i="33"/>
  <c r="AM128" i="33"/>
  <c r="AN128" i="33"/>
  <c r="AO128" i="33"/>
  <c r="AP128" i="33"/>
  <c r="AQ128" i="33"/>
  <c r="AR128" i="33"/>
  <c r="AS128" i="33"/>
  <c r="AT128" i="33"/>
  <c r="AU128" i="33"/>
  <c r="AV128" i="33"/>
  <c r="AW128" i="33"/>
  <c r="AX128" i="33"/>
  <c r="AY128" i="33"/>
  <c r="AZ128" i="33"/>
  <c r="BA128" i="33"/>
  <c r="BB128" i="33"/>
  <c r="BC128" i="33"/>
  <c r="AA65" i="33"/>
  <c r="BY15" i="33"/>
  <c r="BY16" i="33"/>
  <c r="BY17" i="33"/>
  <c r="BY18" i="33"/>
  <c r="BY19" i="33"/>
  <c r="BY20" i="33"/>
  <c r="BW15" i="33"/>
  <c r="BW16" i="33"/>
  <c r="BW17" i="33"/>
  <c r="BW18" i="33"/>
  <c r="BW19" i="33"/>
  <c r="BW20" i="33"/>
  <c r="BU15" i="33"/>
  <c r="BU16" i="33"/>
  <c r="BU17" i="33"/>
  <c r="BU18" i="33"/>
  <c r="BU19" i="33"/>
  <c r="BU20" i="33"/>
  <c r="BS15" i="33"/>
  <c r="BS16" i="33"/>
  <c r="BS17" i="33"/>
  <c r="BS18" i="33"/>
  <c r="BS19" i="33"/>
  <c r="BS20" i="33"/>
  <c r="BQ15" i="33"/>
  <c r="BQ16" i="33"/>
  <c r="BQ17" i="33"/>
  <c r="BQ18" i="33"/>
  <c r="BQ19" i="33"/>
  <c r="BQ20" i="33"/>
  <c r="BO15" i="33"/>
  <c r="BO16" i="33"/>
  <c r="BO17" i="33"/>
  <c r="BO18" i="33"/>
  <c r="BO19" i="33"/>
  <c r="BO20" i="33"/>
  <c r="BV15" i="33"/>
  <c r="BV16" i="33"/>
  <c r="BV17" i="33"/>
  <c r="BV18" i="33"/>
  <c r="BV19" i="33"/>
  <c r="BV20" i="33"/>
  <c r="BM15" i="33"/>
  <c r="BM16" i="33"/>
  <c r="BM17" i="33"/>
  <c r="BM18" i="33"/>
  <c r="BM19" i="33"/>
  <c r="BM20" i="33"/>
  <c r="AI48" i="33"/>
  <c r="AI49" i="33"/>
  <c r="AI50" i="33"/>
  <c r="AI51" i="33"/>
  <c r="T12" i="33"/>
  <c r="AA48" i="33"/>
  <c r="AB65" i="33"/>
  <c r="T17" i="33"/>
  <c r="AA49" i="33"/>
  <c r="T22" i="33"/>
  <c r="AC65" i="33"/>
  <c r="AA50" i="33"/>
  <c r="T27" i="33"/>
  <c r="AD65" i="33"/>
  <c r="AA51" i="33"/>
  <c r="T32" i="33"/>
  <c r="AE65" i="33"/>
  <c r="AF65" i="33"/>
  <c r="AG65" i="33"/>
  <c r="AH65" i="33"/>
  <c r="AI65" i="33"/>
  <c r="AJ65" i="33"/>
  <c r="AK65" i="33"/>
  <c r="AL65" i="33"/>
  <c r="AM65" i="33"/>
  <c r="AN65" i="33"/>
  <c r="AO65" i="33"/>
  <c r="AP65" i="33"/>
  <c r="AQ65" i="33"/>
  <c r="AR65" i="33"/>
  <c r="AS65" i="33"/>
  <c r="AT65" i="33"/>
  <c r="AU65" i="33"/>
  <c r="AV65" i="33"/>
  <c r="AW65" i="33"/>
  <c r="AX65" i="33"/>
  <c r="AY65" i="33"/>
  <c r="AZ65" i="33"/>
  <c r="BA65" i="33"/>
  <c r="BB65" i="33"/>
  <c r="BC65" i="33"/>
  <c r="BB106" i="19"/>
  <c r="H22" i="2"/>
  <c r="I31" i="2"/>
  <c r="J29" i="2"/>
  <c r="K27" i="2"/>
  <c r="L23" i="2"/>
  <c r="K29" i="2"/>
  <c r="L31" i="2"/>
  <c r="M31" i="2"/>
  <c r="N29" i="2"/>
  <c r="O25" i="2"/>
  <c r="O27" i="2"/>
  <c r="P23" i="2"/>
  <c r="P25" i="2"/>
  <c r="P31" i="2"/>
  <c r="Q31" i="2"/>
  <c r="H31" i="2"/>
  <c r="BP2" i="20"/>
  <c r="BW4" i="20" s="1"/>
  <c r="AX5" i="23"/>
  <c r="AY5" i="23"/>
  <c r="AZ5" i="23"/>
  <c r="BA5" i="23"/>
  <c r="BA47" i="23" s="1"/>
  <c r="BB5" i="23"/>
  <c r="BT5" i="23" s="1"/>
  <c r="BT48" i="23" s="1"/>
  <c r="BC5" i="23"/>
  <c r="BU5" i="23" s="1"/>
  <c r="BU48" i="23" s="1"/>
  <c r="BD5" i="23"/>
  <c r="BV5" i="23" s="1"/>
  <c r="BV48" i="23" s="1"/>
  <c r="BE5" i="23"/>
  <c r="BE47" i="23" s="1"/>
  <c r="BF5" i="23"/>
  <c r="BX5" i="23" s="1"/>
  <c r="BX48" i="23" s="1"/>
  <c r="BG5" i="23"/>
  <c r="BG47" i="23" s="1"/>
  <c r="BH5" i="23"/>
  <c r="BZ5" i="23" s="1"/>
  <c r="BZ48" i="23" s="1"/>
  <c r="BI5" i="23"/>
  <c r="CA5" i="23" s="1"/>
  <c r="CA48" i="23" s="1"/>
  <c r="BJ5" i="23"/>
  <c r="BK5" i="23"/>
  <c r="BK47" i="23" s="1"/>
  <c r="BL5" i="23"/>
  <c r="BL47" i="23" s="1"/>
  <c r="AW5" i="23"/>
  <c r="AW47" i="23" s="1"/>
  <c r="F30" i="20"/>
  <c r="G30" i="20" s="1"/>
  <c r="V42" i="20"/>
  <c r="AA105" i="19"/>
  <c r="O13" i="19"/>
  <c r="J21" i="2"/>
  <c r="AA13" i="19"/>
  <c r="V21" i="2"/>
  <c r="AB13" i="19"/>
  <c r="W21" i="2"/>
  <c r="Z13" i="19"/>
  <c r="U21" i="2"/>
  <c r="Y13" i="19"/>
  <c r="T21" i="2"/>
  <c r="S21" i="2"/>
  <c r="W13" i="19"/>
  <c r="R21" i="2"/>
  <c r="V13" i="19"/>
  <c r="Q21" i="2"/>
  <c r="U13" i="19"/>
  <c r="P21" i="2"/>
  <c r="T13" i="19"/>
  <c r="O21" i="2"/>
  <c r="S13" i="19"/>
  <c r="N21" i="2"/>
  <c r="R13" i="19"/>
  <c r="M21" i="2"/>
  <c r="N13" i="19"/>
  <c r="I21" i="2"/>
  <c r="M13" i="19"/>
  <c r="H21" i="2"/>
  <c r="I33" i="19"/>
  <c r="I34" i="19" s="1"/>
  <c r="J33" i="19"/>
  <c r="J34" i="19" s="1"/>
  <c r="K33" i="19"/>
  <c r="K34" i="19" s="1"/>
  <c r="L33" i="19"/>
  <c r="L34" i="19" s="1"/>
  <c r="M33" i="19"/>
  <c r="M34" i="19" s="1"/>
  <c r="N33" i="19"/>
  <c r="N34" i="19" s="1"/>
  <c r="O33" i="19"/>
  <c r="O34" i="19" s="1"/>
  <c r="P33" i="19"/>
  <c r="P34" i="19" s="1"/>
  <c r="Q33" i="19"/>
  <c r="Q34" i="19" s="1"/>
  <c r="R33" i="19"/>
  <c r="R34" i="19" s="1"/>
  <c r="S33" i="19"/>
  <c r="S34" i="19" s="1"/>
  <c r="T33" i="19"/>
  <c r="T34" i="19" s="1"/>
  <c r="U33" i="19"/>
  <c r="U34" i="19" s="1"/>
  <c r="V33" i="19"/>
  <c r="V34" i="19" s="1"/>
  <c r="W33" i="19"/>
  <c r="W34" i="19" s="1"/>
  <c r="X33" i="19"/>
  <c r="X34" i="19" s="1"/>
  <c r="Y33" i="19"/>
  <c r="Y34" i="19" s="1"/>
  <c r="Z33" i="19"/>
  <c r="Z34" i="19" s="1"/>
  <c r="AA33" i="19"/>
  <c r="AA34" i="19" s="1"/>
  <c r="AB33" i="19"/>
  <c r="AB34" i="19" s="1"/>
  <c r="H33" i="19"/>
  <c r="H34" i="19" s="1"/>
  <c r="AX26" i="23"/>
  <c r="AY26" i="23"/>
  <c r="AZ26" i="23"/>
  <c r="BA26" i="23"/>
  <c r="BB26" i="23"/>
  <c r="BC26" i="23"/>
  <c r="BD26" i="23"/>
  <c r="BE26" i="23"/>
  <c r="BF26" i="23"/>
  <c r="BG26" i="23"/>
  <c r="BH26" i="23"/>
  <c r="BI26" i="23"/>
  <c r="BJ26" i="23"/>
  <c r="BK26" i="23"/>
  <c r="BL26" i="23"/>
  <c r="AX27" i="23"/>
  <c r="AY27" i="23"/>
  <c r="AZ27" i="23"/>
  <c r="BA27" i="23"/>
  <c r="BB27" i="23"/>
  <c r="BC27" i="23"/>
  <c r="BD27" i="23"/>
  <c r="BE27" i="23"/>
  <c r="BF27" i="23"/>
  <c r="BG27" i="23"/>
  <c r="BH27" i="23"/>
  <c r="BI27" i="23"/>
  <c r="BJ27" i="23"/>
  <c r="BK27" i="23"/>
  <c r="BL27" i="23"/>
  <c r="AX28" i="23"/>
  <c r="AY28" i="23"/>
  <c r="AZ28" i="23"/>
  <c r="BA28" i="23"/>
  <c r="BB28" i="23"/>
  <c r="BC28" i="23"/>
  <c r="BD28" i="23"/>
  <c r="BE28" i="23"/>
  <c r="BF28" i="23"/>
  <c r="BG28" i="23"/>
  <c r="BH28" i="23"/>
  <c r="BI28" i="23"/>
  <c r="BJ28" i="23"/>
  <c r="BK28" i="23"/>
  <c r="BL28" i="23"/>
  <c r="AX29" i="23"/>
  <c r="AY29" i="23"/>
  <c r="AZ29" i="23"/>
  <c r="BA29" i="23"/>
  <c r="BB29" i="23"/>
  <c r="BC29" i="23"/>
  <c r="BD29" i="23"/>
  <c r="BE29" i="23"/>
  <c r="BF29" i="23"/>
  <c r="BG29" i="23"/>
  <c r="BH29" i="23"/>
  <c r="BI29" i="23"/>
  <c r="BJ29" i="23"/>
  <c r="BK29" i="23"/>
  <c r="BL29" i="23"/>
  <c r="AX30" i="23"/>
  <c r="AY30" i="23"/>
  <c r="AZ30" i="23"/>
  <c r="BA30" i="23"/>
  <c r="BB30" i="23"/>
  <c r="BC30" i="23"/>
  <c r="BD30" i="23"/>
  <c r="BE30" i="23"/>
  <c r="BF30" i="23"/>
  <c r="BG30" i="23"/>
  <c r="BH30" i="23"/>
  <c r="BI30" i="23"/>
  <c r="BJ30" i="23"/>
  <c r="BK30" i="23"/>
  <c r="BL30" i="23"/>
  <c r="AX31" i="23"/>
  <c r="AY31" i="23"/>
  <c r="AZ31" i="23"/>
  <c r="BA31" i="23"/>
  <c r="BB31" i="23"/>
  <c r="BC31" i="23"/>
  <c r="BD31" i="23"/>
  <c r="BE31" i="23"/>
  <c r="BF31" i="23"/>
  <c r="BG31" i="23"/>
  <c r="BH31" i="23"/>
  <c r="BI31" i="23"/>
  <c r="BJ31" i="23"/>
  <c r="BK31" i="23"/>
  <c r="BL31" i="23"/>
  <c r="AX32" i="23"/>
  <c r="AY32" i="23"/>
  <c r="AZ32" i="23"/>
  <c r="BA32" i="23"/>
  <c r="BB32" i="23"/>
  <c r="BC32" i="23"/>
  <c r="BD32" i="23"/>
  <c r="BE32" i="23"/>
  <c r="BF32" i="23"/>
  <c r="BG32" i="23"/>
  <c r="BH32" i="23"/>
  <c r="BI32" i="23"/>
  <c r="BJ32" i="23"/>
  <c r="BK32" i="23"/>
  <c r="BL32" i="23"/>
  <c r="AX33" i="23"/>
  <c r="AY33" i="23"/>
  <c r="AZ33" i="23"/>
  <c r="BA33" i="23"/>
  <c r="BB33" i="23"/>
  <c r="BC33" i="23"/>
  <c r="BD33" i="23"/>
  <c r="BE33" i="23"/>
  <c r="BF33" i="23"/>
  <c r="BG33" i="23"/>
  <c r="BH33" i="23"/>
  <c r="BI33" i="23"/>
  <c r="BJ33" i="23"/>
  <c r="BK33" i="23"/>
  <c r="BL33" i="23"/>
  <c r="AX34" i="23"/>
  <c r="AY34" i="23"/>
  <c r="AZ34" i="23"/>
  <c r="BA34" i="23"/>
  <c r="BB34" i="23"/>
  <c r="BC34" i="23"/>
  <c r="BD34" i="23"/>
  <c r="BE34" i="23"/>
  <c r="BF34" i="23"/>
  <c r="BG34" i="23"/>
  <c r="BH34" i="23"/>
  <c r="BI34" i="23"/>
  <c r="BJ34" i="23"/>
  <c r="BK34" i="23"/>
  <c r="BL34" i="23"/>
  <c r="AX35" i="23"/>
  <c r="AY35" i="23"/>
  <c r="AZ35" i="23"/>
  <c r="BA35" i="23"/>
  <c r="BB35" i="23"/>
  <c r="BC35" i="23"/>
  <c r="BD35" i="23"/>
  <c r="BE35" i="23"/>
  <c r="BF35" i="23"/>
  <c r="BG35" i="23"/>
  <c r="BH35" i="23"/>
  <c r="BI35" i="23"/>
  <c r="BJ35" i="23"/>
  <c r="BK35" i="23"/>
  <c r="BL35" i="23"/>
  <c r="AX36" i="23"/>
  <c r="AY36" i="23"/>
  <c r="AZ36" i="23"/>
  <c r="BA36" i="23"/>
  <c r="BB36" i="23"/>
  <c r="BC36" i="23"/>
  <c r="BD36" i="23"/>
  <c r="BE36" i="23"/>
  <c r="BF36" i="23"/>
  <c r="BG36" i="23"/>
  <c r="BH36" i="23"/>
  <c r="BI36" i="23"/>
  <c r="BJ36" i="23"/>
  <c r="BK36" i="23"/>
  <c r="BL36" i="23"/>
  <c r="AX37" i="23"/>
  <c r="AY37" i="23"/>
  <c r="AZ37" i="23"/>
  <c r="BA37" i="23"/>
  <c r="BB37" i="23"/>
  <c r="BC37" i="23"/>
  <c r="BD37" i="23"/>
  <c r="BE37" i="23"/>
  <c r="BF37" i="23"/>
  <c r="BG37" i="23"/>
  <c r="BH37" i="23"/>
  <c r="BI37" i="23"/>
  <c r="BJ37" i="23"/>
  <c r="BK37" i="23"/>
  <c r="BL37" i="23"/>
  <c r="AX38" i="23"/>
  <c r="AY38" i="23"/>
  <c r="AZ38" i="23"/>
  <c r="BA38" i="23"/>
  <c r="BB38" i="23"/>
  <c r="BC38" i="23"/>
  <c r="BD38" i="23"/>
  <c r="BE38" i="23"/>
  <c r="BF38" i="23"/>
  <c r="BG38" i="23"/>
  <c r="BH38" i="23"/>
  <c r="BI38" i="23"/>
  <c r="BJ38" i="23"/>
  <c r="BK38" i="23"/>
  <c r="BL38" i="23"/>
  <c r="AX39" i="23"/>
  <c r="AY39" i="23"/>
  <c r="AZ39" i="23"/>
  <c r="BA39" i="23"/>
  <c r="BB39" i="23"/>
  <c r="BC39" i="23"/>
  <c r="BD39" i="23"/>
  <c r="BE39" i="23"/>
  <c r="BF39" i="23"/>
  <c r="BG39" i="23"/>
  <c r="BH39" i="23"/>
  <c r="BI39" i="23"/>
  <c r="BJ39" i="23"/>
  <c r="BK39" i="23"/>
  <c r="BL39" i="23"/>
  <c r="AX40" i="23"/>
  <c r="AY40" i="23"/>
  <c r="AZ40" i="23"/>
  <c r="BA40" i="23"/>
  <c r="BB40" i="23"/>
  <c r="BC40" i="23"/>
  <c r="BD40" i="23"/>
  <c r="BE40" i="23"/>
  <c r="BF40" i="23"/>
  <c r="BG40" i="23"/>
  <c r="BH40" i="23"/>
  <c r="BI40" i="23"/>
  <c r="BJ40" i="23"/>
  <c r="BK40" i="23"/>
  <c r="BL40" i="23"/>
  <c r="AX41" i="23"/>
  <c r="AY41" i="23"/>
  <c r="AZ41" i="23"/>
  <c r="BA41" i="23"/>
  <c r="BB41" i="23"/>
  <c r="BC41" i="23"/>
  <c r="BD41" i="23"/>
  <c r="BE41" i="23"/>
  <c r="BF41" i="23"/>
  <c r="BG41" i="23"/>
  <c r="BH41" i="23"/>
  <c r="BI41" i="23"/>
  <c r="BJ41" i="23"/>
  <c r="BK41" i="23"/>
  <c r="BL41" i="23"/>
  <c r="AW27" i="23"/>
  <c r="AW28" i="23"/>
  <c r="AW29" i="23"/>
  <c r="AW30" i="23"/>
  <c r="AW31" i="23"/>
  <c r="AW32" i="23"/>
  <c r="AW33" i="23"/>
  <c r="AW34" i="23"/>
  <c r="AW35" i="23"/>
  <c r="AW36" i="23"/>
  <c r="AW37" i="23"/>
  <c r="AW38" i="23"/>
  <c r="AW39" i="23"/>
  <c r="AW40" i="23"/>
  <c r="AW41" i="23"/>
  <c r="AW26" i="23"/>
  <c r="AX6" i="23"/>
  <c r="AY6" i="23"/>
  <c r="AZ6" i="23"/>
  <c r="BA6" i="23"/>
  <c r="BB6" i="23"/>
  <c r="BC6" i="23"/>
  <c r="BE6" i="23"/>
  <c r="BF6" i="23"/>
  <c r="BG6" i="23"/>
  <c r="BH6" i="23"/>
  <c r="BI6" i="23"/>
  <c r="BJ6" i="23"/>
  <c r="BK6" i="23"/>
  <c r="BL6" i="23"/>
  <c r="AK30" i="19"/>
  <c r="AK31" i="19" s="1"/>
  <c r="AK32" i="19" s="1"/>
  <c r="BB1" i="20"/>
  <c r="BC1" i="20"/>
  <c r="BD1" i="20"/>
  <c r="BE1" i="20"/>
  <c r="BO29" i="20"/>
  <c r="BQ1" i="20"/>
  <c r="C22" i="2"/>
  <c r="D11" i="19"/>
  <c r="D12" i="19" s="1"/>
  <c r="J13" i="19"/>
  <c r="K13" i="19"/>
  <c r="L13" i="19"/>
  <c r="O45" i="19"/>
  <c r="Q45" i="19"/>
  <c r="R45" i="19"/>
  <c r="S45" i="19"/>
  <c r="U45" i="19"/>
  <c r="V45" i="19"/>
  <c r="X45" i="19"/>
  <c r="Z45" i="19"/>
  <c r="AB45" i="19"/>
  <c r="N81" i="19"/>
  <c r="O81" i="19"/>
  <c r="P81" i="19"/>
  <c r="Q81" i="19"/>
  <c r="R81" i="19"/>
  <c r="S81" i="19"/>
  <c r="U81" i="19"/>
  <c r="V81" i="19"/>
  <c r="X81" i="19"/>
  <c r="Y81" i="19"/>
  <c r="AB81" i="19"/>
  <c r="J83" i="19"/>
  <c r="K83" i="19"/>
  <c r="L83" i="19"/>
  <c r="M83" i="19"/>
  <c r="N83" i="19"/>
  <c r="O83" i="19"/>
  <c r="P83" i="19"/>
  <c r="Q83" i="19"/>
  <c r="R83" i="19"/>
  <c r="S83" i="19"/>
  <c r="T83" i="19"/>
  <c r="U83" i="19"/>
  <c r="V83" i="19"/>
  <c r="W83" i="19"/>
  <c r="X83" i="19"/>
  <c r="Y83" i="19"/>
  <c r="Z83" i="19"/>
  <c r="AA83" i="19"/>
  <c r="AB83" i="19"/>
  <c r="BO6" i="23"/>
  <c r="BO49" i="23"/>
  <c r="AU6" i="23"/>
  <c r="AU7" i="23"/>
  <c r="AU8" i="23"/>
  <c r="AU9" i="23"/>
  <c r="AU10" i="23"/>
  <c r="AU11" i="23"/>
  <c r="AU12" i="23"/>
  <c r="AU13" i="23"/>
  <c r="AU14" i="23"/>
  <c r="AU15" i="23"/>
  <c r="AU16" i="23"/>
  <c r="AU17" i="23"/>
  <c r="AU18" i="23"/>
  <c r="AU19" i="23"/>
  <c r="AU20" i="23"/>
  <c r="AU21" i="23"/>
  <c r="AU22" i="23"/>
  <c r="AU23" i="23"/>
  <c r="AU24" i="23"/>
  <c r="AU25" i="23"/>
  <c r="AU26" i="23"/>
  <c r="AU27" i="23"/>
  <c r="AU28" i="23"/>
  <c r="AU29" i="23"/>
  <c r="AU30" i="23"/>
  <c r="AU31" i="23"/>
  <c r="AU32" i="23"/>
  <c r="AU33" i="23"/>
  <c r="AU34" i="23"/>
  <c r="AU35" i="23"/>
  <c r="AU36" i="23"/>
  <c r="AU37" i="23"/>
  <c r="AU38" i="23"/>
  <c r="AU39" i="23"/>
  <c r="AU40" i="23"/>
  <c r="AU41" i="23"/>
  <c r="AE4" i="23"/>
  <c r="BP6" i="23" s="1"/>
  <c r="CE70" i="23" s="1"/>
  <c r="AV47" i="23"/>
  <c r="AV41" i="23"/>
  <c r="AV40" i="23"/>
  <c r="AV39" i="23"/>
  <c r="AV38" i="23"/>
  <c r="AV37" i="23"/>
  <c r="AV36" i="23"/>
  <c r="AV35" i="23"/>
  <c r="AV34" i="23"/>
  <c r="AC26" i="23" s="1"/>
  <c r="AC37" i="23" s="1"/>
  <c r="AV33" i="23"/>
  <c r="AC25" i="23" s="1"/>
  <c r="AC36" i="23" s="1"/>
  <c r="AV32" i="23"/>
  <c r="AC24" i="23" s="1"/>
  <c r="AC35" i="23" s="1"/>
  <c r="AV31" i="23"/>
  <c r="AC23" i="23" s="1"/>
  <c r="AC34" i="23" s="1"/>
  <c r="AV30" i="23"/>
  <c r="AC22" i="23" s="1"/>
  <c r="AC33" i="23" s="1"/>
  <c r="AV29" i="23"/>
  <c r="AC21" i="23" s="1"/>
  <c r="AC32" i="23" s="1"/>
  <c r="AV28" i="23"/>
  <c r="AC20" i="23" s="1"/>
  <c r="AC31" i="23" s="1"/>
  <c r="AV27" i="23"/>
  <c r="AC19" i="23" s="1"/>
  <c r="AC30" i="23" s="1"/>
  <c r="AV26" i="23"/>
  <c r="AC18" i="23" s="1"/>
  <c r="AC29" i="23" s="1"/>
  <c r="AV19" i="23"/>
  <c r="AV20" i="23"/>
  <c r="AV21" i="23"/>
  <c r="AV22" i="23"/>
  <c r="AV43" i="23" s="1"/>
  <c r="AV44" i="23" s="1"/>
  <c r="AV9" i="23"/>
  <c r="AC8" i="23" s="1"/>
  <c r="AV10" i="23"/>
  <c r="AC9" i="23" s="1"/>
  <c r="AV11" i="23"/>
  <c r="AC10" i="23" s="1"/>
  <c r="AV12" i="23"/>
  <c r="AC11" i="23" s="1"/>
  <c r="AV13" i="23"/>
  <c r="AC12" i="23" s="1"/>
  <c r="AV14" i="23"/>
  <c r="AC13" i="23" s="1"/>
  <c r="AV15" i="23"/>
  <c r="AC14" i="23" s="1"/>
  <c r="AV16" i="23"/>
  <c r="AC15" i="23" s="1"/>
  <c r="AV17" i="23"/>
  <c r="AV18" i="23"/>
  <c r="AV8" i="23"/>
  <c r="AC7" i="23" s="1"/>
  <c r="AU74" i="23"/>
  <c r="AU75" i="23"/>
  <c r="AU76" i="23"/>
  <c r="AU77" i="23"/>
  <c r="AU78" i="23"/>
  <c r="AU79" i="23"/>
  <c r="AU80" i="23"/>
  <c r="AU81" i="23"/>
  <c r="AU82" i="23"/>
  <c r="AU83" i="23"/>
  <c r="AU84" i="23"/>
  <c r="AU85" i="23"/>
  <c r="AU86" i="23"/>
  <c r="AU87" i="23"/>
  <c r="AU88" i="23"/>
  <c r="AU89" i="23"/>
  <c r="AU90" i="23"/>
  <c r="AU91" i="23"/>
  <c r="AU92" i="23"/>
  <c r="AU52" i="23"/>
  <c r="AU53" i="23"/>
  <c r="AU54" i="23"/>
  <c r="AU55" i="23"/>
  <c r="AU56" i="23"/>
  <c r="AU57" i="23"/>
  <c r="AU58" i="23"/>
  <c r="AU59" i="23"/>
  <c r="AU60" i="23"/>
  <c r="AU61" i="23"/>
  <c r="AU62" i="23"/>
  <c r="AU63" i="23"/>
  <c r="AU64" i="23"/>
  <c r="AU65" i="23"/>
  <c r="AU66" i="23"/>
  <c r="AU67" i="23"/>
  <c r="AU68" i="23"/>
  <c r="AU69" i="23"/>
  <c r="AU70" i="23"/>
  <c r="AV52" i="23"/>
  <c r="AV74" i="23" s="1"/>
  <c r="AV53" i="23"/>
  <c r="AV75" i="23" s="1"/>
  <c r="AV54" i="23"/>
  <c r="AV76" i="23" s="1"/>
  <c r="AV55" i="23"/>
  <c r="AV77" i="23" s="1"/>
  <c r="AV56" i="23"/>
  <c r="AV78" i="23" s="1"/>
  <c r="AV57" i="23"/>
  <c r="AV79" i="23" s="1"/>
  <c r="AV58" i="23"/>
  <c r="AV80" i="23" s="1"/>
  <c r="AV59" i="23"/>
  <c r="AV81" i="23" s="1"/>
  <c r="AV60" i="23"/>
  <c r="AV82" i="23" s="1"/>
  <c r="AV61" i="23"/>
  <c r="AV83" i="23" s="1"/>
  <c r="AV62" i="23"/>
  <c r="AV84" i="23" s="1"/>
  <c r="AV63" i="23"/>
  <c r="AV85" i="23" s="1"/>
  <c r="AV64" i="23"/>
  <c r="AV86" i="23" s="1"/>
  <c r="AV65" i="23"/>
  <c r="AV87" i="23" s="1"/>
  <c r="AV66" i="23"/>
  <c r="AV88" i="23" s="1"/>
  <c r="AV67" i="23"/>
  <c r="AV89" i="23" s="1"/>
  <c r="AV68" i="23"/>
  <c r="AV90" i="23" s="1"/>
  <c r="AV69" i="23"/>
  <c r="AV91" i="23" s="1"/>
  <c r="AV70" i="23"/>
  <c r="AV92" i="23" s="1"/>
  <c r="AV51" i="23"/>
  <c r="AV73" i="23" s="1"/>
  <c r="BB107" i="19"/>
  <c r="D8" i="21"/>
  <c r="D6" i="21"/>
  <c r="D13" i="21" s="1"/>
  <c r="A1" i="15"/>
  <c r="F2" i="15"/>
  <c r="A1" i="4"/>
  <c r="AU182" i="4"/>
  <c r="AU181" i="4"/>
  <c r="AQ182" i="4"/>
  <c r="AQ181" i="4"/>
  <c r="AM182" i="4"/>
  <c r="AM181" i="4"/>
  <c r="AI182" i="4"/>
  <c r="AI181" i="4"/>
  <c r="AE182" i="4"/>
  <c r="AE181" i="4"/>
  <c r="AA182" i="4"/>
  <c r="AA181" i="4"/>
  <c r="W182" i="4"/>
  <c r="W181" i="4"/>
  <c r="S182" i="4"/>
  <c r="S181" i="4"/>
  <c r="O182" i="4"/>
  <c r="O181" i="4"/>
  <c r="K182" i="4"/>
  <c r="K181" i="4"/>
  <c r="G182" i="4"/>
  <c r="G181" i="4"/>
  <c r="C182" i="4"/>
  <c r="C181" i="4"/>
  <c r="A1" i="1"/>
  <c r="F6" i="19"/>
  <c r="A26" i="2" s="1"/>
  <c r="A15" i="36" s="1"/>
  <c r="B15" i="36" s="1"/>
  <c r="A105" i="19" a="1"/>
  <c r="A105" i="19"/>
  <c r="Z8" i="34"/>
  <c r="R105" i="19"/>
  <c r="BE106" i="19"/>
  <c r="AL103" i="19" a="1"/>
  <c r="AO102" i="19"/>
  <c r="AN102" i="19"/>
  <c r="AM102" i="19"/>
  <c r="AL102" i="19"/>
  <c r="AK102" i="19"/>
  <c r="AD105" i="19"/>
  <c r="AD106" i="19"/>
  <c r="AD107" i="19"/>
  <c r="AD108" i="19"/>
  <c r="AD109" i="19"/>
  <c r="AD110" i="19"/>
  <c r="AD111" i="19"/>
  <c r="AD112" i="19"/>
  <c r="AD113" i="19"/>
  <c r="AD114" i="19"/>
  <c r="AD115" i="19"/>
  <c r="AD116" i="19"/>
  <c r="AD117" i="19"/>
  <c r="AD118" i="19"/>
  <c r="AD119" i="19"/>
  <c r="AD120" i="19"/>
  <c r="AD121" i="19"/>
  <c r="AD122" i="19"/>
  <c r="AD123" i="19"/>
  <c r="AD124" i="19"/>
  <c r="AD125" i="19"/>
  <c r="AD126" i="19"/>
  <c r="AD127" i="19"/>
  <c r="AD128" i="19"/>
  <c r="AD129" i="19"/>
  <c r="AD130" i="19"/>
  <c r="AD131" i="19"/>
  <c r="AD132" i="19"/>
  <c r="AD133" i="19"/>
  <c r="AD134" i="19"/>
  <c r="AD135" i="19"/>
  <c r="AD136" i="19"/>
  <c r="AD137" i="19"/>
  <c r="AD138" i="19"/>
  <c r="AD139" i="19"/>
  <c r="I83" i="19"/>
  <c r="H83" i="19"/>
  <c r="G25" i="19"/>
  <c r="A24" i="34"/>
  <c r="I13" i="19"/>
  <c r="AK12" i="19" a="1"/>
  <c r="AK13" i="19"/>
  <c r="G24" i="19"/>
  <c r="A23" i="34"/>
  <c r="G23" i="19"/>
  <c r="A22" i="34"/>
  <c r="G22" i="19"/>
  <c r="A21" i="34"/>
  <c r="G21" i="19"/>
  <c r="A20" i="34"/>
  <c r="G20" i="19"/>
  <c r="A19" i="34"/>
  <c r="G19" i="19"/>
  <c r="A18" i="34"/>
  <c r="G18" i="19"/>
  <c r="A17" i="34"/>
  <c r="G17" i="19"/>
  <c r="A16" i="34"/>
  <c r="G16" i="19"/>
  <c r="A15" i="34"/>
  <c r="G15" i="19"/>
  <c r="A14" i="34"/>
  <c r="G14" i="19"/>
  <c r="A13" i="34"/>
  <c r="A1" i="18"/>
  <c r="E2" i="18"/>
  <c r="AA35" i="2"/>
  <c r="Z35" i="2"/>
  <c r="Y35" i="2"/>
  <c r="X35" i="2"/>
  <c r="AA34" i="2"/>
  <c r="Z34" i="2"/>
  <c r="Y34" i="2"/>
  <c r="X34" i="2"/>
  <c r="W34" i="2"/>
  <c r="V34" i="2"/>
  <c r="U34" i="2"/>
  <c r="T34" i="2"/>
  <c r="S34" i="2"/>
  <c r="R34" i="2"/>
  <c r="Q34" i="2"/>
  <c r="P34" i="2"/>
  <c r="O34" i="2"/>
  <c r="N34" i="2"/>
  <c r="M34" i="2"/>
  <c r="L34" i="2"/>
  <c r="K34" i="2"/>
  <c r="J34" i="2"/>
  <c r="I34" i="2"/>
  <c r="H34" i="2"/>
  <c r="G34" i="2"/>
  <c r="F34" i="2"/>
  <c r="E34" i="2"/>
  <c r="D34" i="2"/>
  <c r="AA33" i="2"/>
  <c r="Z33" i="2"/>
  <c r="Y33" i="2"/>
  <c r="X33" i="2"/>
  <c r="W33" i="2"/>
  <c r="V33" i="2"/>
  <c r="U33" i="2"/>
  <c r="T33" i="2"/>
  <c r="S33" i="2"/>
  <c r="R33" i="2"/>
  <c r="Q33" i="2"/>
  <c r="P33" i="2"/>
  <c r="O33" i="2"/>
  <c r="N33" i="2"/>
  <c r="M33" i="2"/>
  <c r="L33" i="2"/>
  <c r="K33" i="2"/>
  <c r="J33" i="2"/>
  <c r="I33" i="2"/>
  <c r="H33" i="2"/>
  <c r="G33" i="2"/>
  <c r="F33" i="2"/>
  <c r="E33" i="2"/>
  <c r="D33" i="2"/>
  <c r="AA9" i="2"/>
  <c r="Z9" i="2"/>
  <c r="Y9" i="2"/>
  <c r="X9" i="2"/>
  <c r="W9" i="2"/>
  <c r="U9" i="2"/>
  <c r="S9" i="2"/>
  <c r="Q9" i="2"/>
  <c r="P9" i="2"/>
  <c r="M9" i="2"/>
  <c r="L9" i="2"/>
  <c r="G9" i="2"/>
  <c r="F9" i="2"/>
  <c r="E9" i="2"/>
  <c r="C9" i="2"/>
  <c r="D9" i="2"/>
  <c r="AA32" i="2"/>
  <c r="Z32" i="2"/>
  <c r="Y32" i="2"/>
  <c r="X32" i="2"/>
  <c r="W32" i="2"/>
  <c r="V32" i="2"/>
  <c r="U32" i="2"/>
  <c r="T32" i="2"/>
  <c r="S32" i="2"/>
  <c r="R32" i="2"/>
  <c r="Q32" i="2"/>
  <c r="P32" i="2"/>
  <c r="O32" i="2"/>
  <c r="M32" i="2"/>
  <c r="L32" i="2"/>
  <c r="K32" i="2"/>
  <c r="I32" i="2"/>
  <c r="H32" i="2"/>
  <c r="G32" i="2"/>
  <c r="F32" i="2"/>
  <c r="E32" i="2"/>
  <c r="AA31" i="2"/>
  <c r="Z31" i="2"/>
  <c r="Y31" i="2"/>
  <c r="X31" i="2"/>
  <c r="W31" i="2"/>
  <c r="V31" i="2"/>
  <c r="U31" i="2"/>
  <c r="T31" i="2"/>
  <c r="S31" i="2"/>
  <c r="R31" i="2"/>
  <c r="O31" i="2"/>
  <c r="N31" i="2"/>
  <c r="K31" i="2"/>
  <c r="J31" i="2"/>
  <c r="G31" i="2"/>
  <c r="F31" i="2"/>
  <c r="E31" i="2"/>
  <c r="AA30" i="2"/>
  <c r="Z30" i="2"/>
  <c r="Y30" i="2"/>
  <c r="X30" i="2"/>
  <c r="W30" i="2"/>
  <c r="V30" i="2"/>
  <c r="U30" i="2"/>
  <c r="T30" i="2"/>
  <c r="S30" i="2"/>
  <c r="R30" i="2"/>
  <c r="Q30" i="2"/>
  <c r="N30" i="2"/>
  <c r="M30" i="2"/>
  <c r="J30" i="2"/>
  <c r="I30" i="2"/>
  <c r="G30" i="2"/>
  <c r="F30" i="2"/>
  <c r="E30" i="2"/>
  <c r="AA29" i="2"/>
  <c r="Z29" i="2"/>
  <c r="Y29" i="2"/>
  <c r="X29" i="2"/>
  <c r="W29" i="2"/>
  <c r="V29" i="2"/>
  <c r="U29" i="2"/>
  <c r="T29" i="2"/>
  <c r="S29" i="2"/>
  <c r="R29" i="2"/>
  <c r="Q29" i="2"/>
  <c r="P29" i="2"/>
  <c r="O29" i="2"/>
  <c r="M29" i="2"/>
  <c r="L29" i="2"/>
  <c r="I29" i="2"/>
  <c r="H29" i="2"/>
  <c r="G29" i="2"/>
  <c r="F29" i="2"/>
  <c r="E29" i="2"/>
  <c r="AA28" i="2"/>
  <c r="Z28" i="2"/>
  <c r="Y28" i="2"/>
  <c r="X28" i="2"/>
  <c r="W28" i="2"/>
  <c r="V28" i="2"/>
  <c r="U28" i="2"/>
  <c r="T28" i="2"/>
  <c r="S28" i="2"/>
  <c r="R28" i="2"/>
  <c r="O28" i="2"/>
  <c r="N28" i="2"/>
  <c r="J28" i="2"/>
  <c r="G28" i="2"/>
  <c r="F28" i="2"/>
  <c r="AA27" i="2"/>
  <c r="Z27" i="2"/>
  <c r="Y27" i="2"/>
  <c r="X27" i="2"/>
  <c r="W27" i="2"/>
  <c r="V27" i="2"/>
  <c r="U27" i="2"/>
  <c r="T27" i="2"/>
  <c r="S27" i="2"/>
  <c r="R27" i="2"/>
  <c r="Q27" i="2"/>
  <c r="P27" i="2"/>
  <c r="N27" i="2"/>
  <c r="M27" i="2"/>
  <c r="G27" i="2"/>
  <c r="F27" i="2"/>
  <c r="AA26" i="2"/>
  <c r="Z26" i="2"/>
  <c r="Y26" i="2"/>
  <c r="X26" i="2"/>
  <c r="W26" i="2"/>
  <c r="V26" i="2"/>
  <c r="U26" i="2"/>
  <c r="T26" i="2"/>
  <c r="S26" i="2"/>
  <c r="R26" i="2"/>
  <c r="O26" i="2"/>
  <c r="N26" i="2"/>
  <c r="J26" i="2"/>
  <c r="G26" i="2"/>
  <c r="F26" i="2"/>
  <c r="AA25" i="2"/>
  <c r="Z25" i="2"/>
  <c r="Y25" i="2"/>
  <c r="X25" i="2"/>
  <c r="W25" i="2"/>
  <c r="V25" i="2"/>
  <c r="U25" i="2"/>
  <c r="T25" i="2"/>
  <c r="S25" i="2"/>
  <c r="R25" i="2"/>
  <c r="Q25" i="2"/>
  <c r="N25" i="2"/>
  <c r="M25" i="2"/>
  <c r="J25" i="2"/>
  <c r="G25" i="2"/>
  <c r="F25" i="2"/>
  <c r="AA24" i="2"/>
  <c r="Z24" i="2"/>
  <c r="Y24" i="2"/>
  <c r="X24" i="2"/>
  <c r="W24" i="2"/>
  <c r="V24" i="2"/>
  <c r="U24" i="2"/>
  <c r="T24" i="2"/>
  <c r="S24" i="2"/>
  <c r="R24" i="2"/>
  <c r="O24" i="2"/>
  <c r="N24" i="2"/>
  <c r="J24" i="2"/>
  <c r="G24" i="2"/>
  <c r="F24" i="2"/>
  <c r="AA23" i="2"/>
  <c r="Z23" i="2"/>
  <c r="Y23" i="2"/>
  <c r="X23" i="2"/>
  <c r="W23" i="2"/>
  <c r="V23" i="2"/>
  <c r="U23" i="2"/>
  <c r="T23" i="2"/>
  <c r="S23" i="2"/>
  <c r="R23" i="2"/>
  <c r="Q23" i="2"/>
  <c r="O23" i="2"/>
  <c r="N23" i="2"/>
  <c r="M23" i="2"/>
  <c r="J23" i="2"/>
  <c r="G23" i="2"/>
  <c r="F23" i="2"/>
  <c r="AA22" i="2"/>
  <c r="Z22" i="2"/>
  <c r="Y22" i="2"/>
  <c r="X22" i="2"/>
  <c r="W22" i="2"/>
  <c r="V22" i="2"/>
  <c r="U22" i="2"/>
  <c r="T22" i="2"/>
  <c r="S22" i="2"/>
  <c r="R22" i="2"/>
  <c r="Q22" i="2"/>
  <c r="P22" i="2"/>
  <c r="O22" i="2"/>
  <c r="N22" i="2"/>
  <c r="AA21" i="2"/>
  <c r="Z21" i="2"/>
  <c r="Y21" i="2"/>
  <c r="G21" i="2"/>
  <c r="F21" i="2"/>
  <c r="E21" i="2"/>
  <c r="D32" i="2"/>
  <c r="D31" i="2"/>
  <c r="D30" i="2"/>
  <c r="D29" i="2"/>
  <c r="D28" i="2"/>
  <c r="D27" i="2"/>
  <c r="D26" i="2"/>
  <c r="D25" i="2"/>
  <c r="D24" i="2"/>
  <c r="D23" i="2"/>
  <c r="D22" i="2"/>
  <c r="A1" i="2"/>
  <c r="D21" i="2"/>
  <c r="L28" i="2"/>
  <c r="K28" i="2"/>
  <c r="E28" i="2"/>
  <c r="L27" i="2"/>
  <c r="I27" i="2"/>
  <c r="H27" i="2"/>
  <c r="E27" i="2"/>
  <c r="K26" i="2"/>
  <c r="I26" i="2"/>
  <c r="E26" i="2"/>
  <c r="L25" i="2"/>
  <c r="K25" i="2"/>
  <c r="I25" i="2"/>
  <c r="H25" i="2"/>
  <c r="E25" i="2"/>
  <c r="L24" i="2"/>
  <c r="K24" i="2"/>
  <c r="E24" i="2"/>
  <c r="K23" i="2"/>
  <c r="H23" i="2"/>
  <c r="E23" i="2"/>
  <c r="M22" i="2"/>
  <c r="L22" i="2"/>
  <c r="J22" i="2"/>
  <c r="I22" i="2"/>
  <c r="G22" i="2"/>
  <c r="F22" i="2"/>
  <c r="E22" i="2"/>
  <c r="A1" i="3"/>
  <c r="BC182" i="3"/>
  <c r="BC181" i="3"/>
  <c r="AY182" i="3"/>
  <c r="AY181" i="3"/>
  <c r="AU182" i="3"/>
  <c r="AU181" i="3"/>
  <c r="AQ182" i="3"/>
  <c r="AQ181" i="3"/>
  <c r="AM182" i="3"/>
  <c r="AM181" i="3"/>
  <c r="AI182" i="3"/>
  <c r="AI181" i="3"/>
  <c r="AE182" i="3"/>
  <c r="AE181" i="3"/>
  <c r="AA182" i="3"/>
  <c r="AA181" i="3"/>
  <c r="W182" i="3"/>
  <c r="W181" i="3"/>
  <c r="S182" i="3"/>
  <c r="S181" i="3"/>
  <c r="O182" i="3"/>
  <c r="O181" i="3"/>
  <c r="K182" i="3"/>
  <c r="K181" i="3"/>
  <c r="G182" i="3"/>
  <c r="G181" i="3"/>
  <c r="C182" i="3"/>
  <c r="C181" i="3"/>
  <c r="N24" i="17"/>
  <c r="N16" i="17"/>
  <c r="N23" i="17"/>
  <c r="N22" i="17"/>
  <c r="N21" i="17"/>
  <c r="N20" i="17"/>
  <c r="N19" i="17"/>
  <c r="N18" i="17"/>
  <c r="N17" i="17"/>
  <c r="N15" i="17"/>
  <c r="A1" i="6"/>
  <c r="F2" i="6"/>
  <c r="A1" i="7"/>
  <c r="F2" i="7"/>
  <c r="A1" i="8"/>
  <c r="F2" i="8"/>
  <c r="F2" i="5"/>
  <c r="BO27" i="20"/>
  <c r="BO26" i="20"/>
  <c r="BO25" i="20"/>
  <c r="BO24" i="20"/>
  <c r="BO23" i="20"/>
  <c r="BO22" i="20"/>
  <c r="BO21" i="20"/>
  <c r="BO20" i="20"/>
  <c r="BO19" i="20"/>
  <c r="BO18" i="20"/>
  <c r="BO17" i="20"/>
  <c r="BO16" i="20"/>
  <c r="BO15" i="20"/>
  <c r="BO14" i="20"/>
  <c r="BO13" i="20"/>
  <c r="BO12" i="20"/>
  <c r="BO11" i="20"/>
  <c r="BO10" i="20"/>
  <c r="BO9" i="20"/>
  <c r="BO8" i="20"/>
  <c r="BB108" i="19"/>
  <c r="A125" i="19"/>
  <c r="Z28" i="34"/>
  <c r="A123" i="19"/>
  <c r="Z26" i="34"/>
  <c r="A121" i="19"/>
  <c r="Z24" i="34"/>
  <c r="A119" i="19"/>
  <c r="Z22" i="34"/>
  <c r="A117" i="19"/>
  <c r="Z20" i="34"/>
  <c r="A115" i="19"/>
  <c r="Z18" i="34"/>
  <c r="A113" i="19"/>
  <c r="Z16" i="34"/>
  <c r="A111" i="19"/>
  <c r="Z14" i="34"/>
  <c r="A109" i="19"/>
  <c r="Z12" i="34"/>
  <c r="A107" i="19"/>
  <c r="Z10" i="34"/>
  <c r="CE5" i="23"/>
  <c r="CE48" i="23"/>
  <c r="R106" i="19"/>
  <c r="R107" i="19"/>
  <c r="A110" i="19"/>
  <c r="Z13" i="34"/>
  <c r="A118" i="19"/>
  <c r="Z21" i="34"/>
  <c r="A106" i="19"/>
  <c r="Z9" i="34"/>
  <c r="AK12" i="19"/>
  <c r="AK22" i="19"/>
  <c r="A114" i="19"/>
  <c r="Z17" i="34"/>
  <c r="A122" i="19"/>
  <c r="Z25" i="34"/>
  <c r="A124" i="19"/>
  <c r="Z27" i="34"/>
  <c r="A120" i="19"/>
  <c r="Z23" i="34"/>
  <c r="A116" i="19"/>
  <c r="Z19" i="34"/>
  <c r="A112" i="19"/>
  <c r="Z15" i="34"/>
  <c r="A108" i="19"/>
  <c r="Z11" i="34"/>
  <c r="BE107" i="19"/>
  <c r="AK23" i="19"/>
  <c r="AK19" i="19"/>
  <c r="AK24" i="19"/>
  <c r="AK15" i="19"/>
  <c r="AK16" i="19"/>
  <c r="AK21" i="19"/>
  <c r="AK18" i="19"/>
  <c r="AK17" i="19"/>
  <c r="AK14" i="19"/>
  <c r="AK20" i="19"/>
  <c r="BB109" i="19"/>
  <c r="AN103" i="19"/>
  <c r="AN104" i="19" s="1"/>
  <c r="AN105" i="19" s="1"/>
  <c r="AN106" i="19" s="1"/>
  <c r="AN107" i="19" s="1"/>
  <c r="AN108" i="19" s="1"/>
  <c r="AN109" i="19" s="1"/>
  <c r="AN110" i="19" s="1"/>
  <c r="AN111" i="19" s="1"/>
  <c r="AN112" i="19" s="1"/>
  <c r="AN113" i="19" s="1"/>
  <c r="AN114" i="19" s="1"/>
  <c r="AN115" i="19" s="1"/>
  <c r="AN116" i="19" s="1"/>
  <c r="AN117" i="19" s="1"/>
  <c r="AN118" i="19" s="1"/>
  <c r="AN119" i="19" s="1"/>
  <c r="AN120" i="19" s="1"/>
  <c r="AN121" i="19" s="1"/>
  <c r="AN122" i="19" s="1"/>
  <c r="AN123" i="19" s="1"/>
  <c r="AN124" i="19" s="1"/>
  <c r="AN125" i="19" s="1"/>
  <c r="AN126" i="19" s="1"/>
  <c r="AN127" i="19" s="1"/>
  <c r="AN128" i="19" s="1"/>
  <c r="AN129" i="19" s="1"/>
  <c r="AN130" i="19" s="1"/>
  <c r="AN131" i="19" s="1"/>
  <c r="AN132" i="19" s="1"/>
  <c r="AN133" i="19" s="1"/>
  <c r="AN134" i="19" s="1"/>
  <c r="AN135" i="19" s="1"/>
  <c r="AN136" i="19" s="1"/>
  <c r="AN137" i="19" s="1"/>
  <c r="AN138" i="19" s="1"/>
  <c r="AN139" i="19" s="1"/>
  <c r="BB47" i="23"/>
  <c r="BF47" i="23"/>
  <c r="BO5" i="23"/>
  <c r="BO48" i="23" s="1"/>
  <c r="AA106" i="19"/>
  <c r="AM103" i="19"/>
  <c r="AM104" i="19" s="1"/>
  <c r="AM105" i="19" s="1"/>
  <c r="AM106" i="19" s="1"/>
  <c r="AM107" i="19" s="1"/>
  <c r="AM108" i="19" s="1"/>
  <c r="AM109" i="19" s="1"/>
  <c r="AM110" i="19" s="1"/>
  <c r="AM111" i="19" s="1"/>
  <c r="AM112" i="19" s="1"/>
  <c r="AM113" i="19" s="1"/>
  <c r="AM114" i="19" s="1"/>
  <c r="AM115" i="19" s="1"/>
  <c r="AM116" i="19" s="1"/>
  <c r="AM117" i="19" s="1"/>
  <c r="AM118" i="19" s="1"/>
  <c r="AM119" i="19" s="1"/>
  <c r="AM120" i="19" s="1"/>
  <c r="AM121" i="19" s="1"/>
  <c r="AM122" i="19" s="1"/>
  <c r="AM123" i="19" s="1"/>
  <c r="AM124" i="19" s="1"/>
  <c r="AM125" i="19" s="1"/>
  <c r="AM126" i="19" s="1"/>
  <c r="AM127" i="19" s="1"/>
  <c r="AM128" i="19" s="1"/>
  <c r="AM129" i="19" s="1"/>
  <c r="AM130" i="19" s="1"/>
  <c r="AM131" i="19" s="1"/>
  <c r="AM132" i="19" s="1"/>
  <c r="AM133" i="19" s="1"/>
  <c r="AM134" i="19" s="1"/>
  <c r="AM135" i="19" s="1"/>
  <c r="AM136" i="19" s="1"/>
  <c r="AM137" i="19" s="1"/>
  <c r="AM138" i="19" s="1"/>
  <c r="AM139" i="19" s="1"/>
  <c r="AA108" i="19"/>
  <c r="AA107" i="19"/>
  <c r="BD47" i="23"/>
  <c r="R108" i="19"/>
  <c r="BE108" i="19"/>
  <c r="BC47" i="23"/>
  <c r="CE10" i="23"/>
  <c r="BS5" i="23"/>
  <c r="BS48" i="23" s="1"/>
  <c r="CD5" i="23"/>
  <c r="CD48" i="23" s="1"/>
  <c r="BQ5" i="23"/>
  <c r="BQ48" i="23" s="1"/>
  <c r="AY47" i="23"/>
  <c r="CA12" i="23"/>
  <c r="BW5" i="23"/>
  <c r="BW48" i="23" s="1"/>
  <c r="CE67" i="23"/>
  <c r="BI47" i="23"/>
  <c r="CD12" i="23"/>
  <c r="BU20" i="23"/>
  <c r="AL103" i="19"/>
  <c r="AL104" i="19" s="1"/>
  <c r="AL105" i="19" s="1"/>
  <c r="AL106" i="19" s="1"/>
  <c r="AL107" i="19" s="1"/>
  <c r="AL108" i="19" s="1"/>
  <c r="AL109" i="19" s="1"/>
  <c r="AL110" i="19" s="1"/>
  <c r="AL111" i="19" s="1"/>
  <c r="AL112" i="19" s="1"/>
  <c r="AL113" i="19" s="1"/>
  <c r="AL114" i="19" s="1"/>
  <c r="AL115" i="19" s="1"/>
  <c r="AL116" i="19" s="1"/>
  <c r="AL117" i="19" s="1"/>
  <c r="AL118" i="19" s="1"/>
  <c r="AL119" i="19" s="1"/>
  <c r="AL120" i="19" s="1"/>
  <c r="AL121" i="19" s="1"/>
  <c r="AL122" i="19" s="1"/>
  <c r="AL123" i="19" s="1"/>
  <c r="AL124" i="19" s="1"/>
  <c r="AL125" i="19" s="1"/>
  <c r="AL126" i="19" s="1"/>
  <c r="AL127" i="19" s="1"/>
  <c r="AL128" i="19" s="1"/>
  <c r="AL129" i="19" s="1"/>
  <c r="AL130" i="19" s="1"/>
  <c r="AL131" i="19" s="1"/>
  <c r="AL132" i="19" s="1"/>
  <c r="AL133" i="19" s="1"/>
  <c r="AL134" i="19" s="1"/>
  <c r="AL135" i="19" s="1"/>
  <c r="AL136" i="19" s="1"/>
  <c r="AL137" i="19" s="1"/>
  <c r="AL138" i="19" s="1"/>
  <c r="AL139" i="19" s="1"/>
  <c r="BZ15" i="23"/>
  <c r="CD14" i="23"/>
  <c r="CA18" i="23"/>
  <c r="K22" i="2"/>
  <c r="P24" i="2"/>
  <c r="P28" i="2"/>
  <c r="I24" i="2"/>
  <c r="L26" i="2"/>
  <c r="I28" i="2"/>
  <c r="M24" i="2"/>
  <c r="Q24" i="2"/>
  <c r="M26" i="2"/>
  <c r="Q26" i="2"/>
  <c r="M28" i="2"/>
  <c r="Q28" i="2"/>
  <c r="K30" i="2"/>
  <c r="O30" i="2"/>
  <c r="J9" i="2"/>
  <c r="N9" i="2"/>
  <c r="P13" i="19"/>
  <c r="K21" i="2"/>
  <c r="I23" i="2"/>
  <c r="H24" i="2"/>
  <c r="H28" i="2"/>
  <c r="P26" i="2"/>
  <c r="H26" i="2"/>
  <c r="J27" i="2"/>
  <c r="H30" i="2"/>
  <c r="L30" i="2"/>
  <c r="P30" i="2"/>
  <c r="J32" i="2"/>
  <c r="N32" i="2"/>
  <c r="K9" i="2"/>
  <c r="P45" i="19"/>
  <c r="Q13" i="19"/>
  <c r="L21" i="2"/>
  <c r="I9" i="2"/>
  <c r="N45" i="19"/>
  <c r="V9" i="2"/>
  <c r="Z81" i="19"/>
  <c r="W45" i="19"/>
  <c r="AA81" i="19"/>
  <c r="W81" i="19"/>
  <c r="R9" i="2"/>
  <c r="AA45" i="19"/>
  <c r="T9" i="2"/>
  <c r="Y45" i="19"/>
  <c r="BD6" i="23"/>
  <c r="O9" i="2"/>
  <c r="T81" i="19"/>
  <c r="T45" i="19"/>
  <c r="AF103" i="19" a="1"/>
  <c r="BB110" i="19"/>
  <c r="AA109" i="19"/>
  <c r="R109" i="19"/>
  <c r="BE109" i="19"/>
  <c r="AC13" i="19"/>
  <c r="X21" i="2" s="1"/>
  <c r="BB111" i="19"/>
  <c r="AA110" i="19"/>
  <c r="R110" i="19"/>
  <c r="BE110" i="19"/>
  <c r="BB112" i="19"/>
  <c r="AA111" i="19"/>
  <c r="R111" i="19"/>
  <c r="BE111" i="19"/>
  <c r="BB113" i="19"/>
  <c r="AA112" i="19"/>
  <c r="BE112" i="19"/>
  <c r="R112" i="19"/>
  <c r="BB114" i="19"/>
  <c r="AA113" i="19"/>
  <c r="BE113" i="19"/>
  <c r="R113" i="19"/>
  <c r="B105" i="19" a="1"/>
  <c r="B112" i="19"/>
  <c r="BB115" i="19"/>
  <c r="AA114" i="19"/>
  <c r="BE114" i="19"/>
  <c r="R114" i="19"/>
  <c r="B105" i="19"/>
  <c r="B109" i="19"/>
  <c r="B123" i="19"/>
  <c r="B118" i="19"/>
  <c r="B122" i="19"/>
  <c r="B120" i="19"/>
  <c r="B115" i="19"/>
  <c r="B113" i="19"/>
  <c r="B125" i="19"/>
  <c r="B121" i="19"/>
  <c r="B124" i="19"/>
  <c r="B111" i="19"/>
  <c r="B119" i="19"/>
  <c r="B114" i="19"/>
  <c r="B106" i="19"/>
  <c r="B107" i="19"/>
  <c r="B116" i="19"/>
  <c r="B117" i="19"/>
  <c r="B108" i="19"/>
  <c r="M81" i="19"/>
  <c r="AW6" i="23"/>
  <c r="H9" i="2"/>
  <c r="M45" i="19"/>
  <c r="B110" i="19"/>
  <c r="BB116" i="19"/>
  <c r="AA115" i="19"/>
  <c r="BE115" i="19"/>
  <c r="R115" i="19"/>
  <c r="BB117" i="19"/>
  <c r="AA116" i="19"/>
  <c r="R116" i="19"/>
  <c r="BE116" i="19"/>
  <c r="V6" i="33"/>
  <c r="AE6" i="33"/>
  <c r="AU6" i="33"/>
  <c r="AM6" i="33"/>
  <c r="AD6" i="33"/>
  <c r="AK6" i="33"/>
  <c r="AL6" i="33"/>
  <c r="AB6" i="33"/>
  <c r="AO6" i="33"/>
  <c r="AA6" i="33"/>
  <c r="AN6" i="33"/>
  <c r="AV6" i="33"/>
  <c r="AT6" i="33"/>
  <c r="BC6" i="33"/>
  <c r="AP6" i="33"/>
  <c r="U6" i="33"/>
  <c r="AF6" i="33"/>
  <c r="AX6" i="33"/>
  <c r="AZ6" i="33"/>
  <c r="AJ6" i="33"/>
  <c r="AQ6" i="33"/>
  <c r="Z6" i="33"/>
  <c r="AG6" i="33"/>
  <c r="AS6" i="33"/>
  <c r="X6" i="33"/>
  <c r="BA6" i="33"/>
  <c r="W6" i="33"/>
  <c r="AW6" i="33"/>
  <c r="BB6" i="33"/>
  <c r="AY6" i="33"/>
  <c r="AI6" i="33"/>
  <c r="AH6" i="33"/>
  <c r="Y6" i="33"/>
  <c r="AR6" i="33"/>
  <c r="AC6" i="33"/>
  <c r="BB118" i="19"/>
  <c r="AA117" i="19"/>
  <c r="R117" i="19"/>
  <c r="BE117" i="19"/>
  <c r="AY22" i="33"/>
  <c r="CG36" i="33"/>
  <c r="AY27" i="33"/>
  <c r="CF36" i="33"/>
  <c r="AY32" i="33"/>
  <c r="AY12" i="33"/>
  <c r="CD36" i="33"/>
  <c r="AY17" i="33"/>
  <c r="CE36" i="33"/>
  <c r="Z17" i="33"/>
  <c r="CF11" i="33"/>
  <c r="Z12" i="33"/>
  <c r="CD11" i="33"/>
  <c r="Z32" i="33"/>
  <c r="Z27" i="33"/>
  <c r="Z22" i="33"/>
  <c r="CG11" i="33"/>
  <c r="CE11" i="33"/>
  <c r="BC27" i="33"/>
  <c r="BC32" i="33"/>
  <c r="CF40" i="33"/>
  <c r="BC22" i="33"/>
  <c r="BC17" i="33"/>
  <c r="BC12" i="33"/>
  <c r="CG40" i="33"/>
  <c r="CD40" i="33"/>
  <c r="CE40" i="33"/>
  <c r="AK17" i="33"/>
  <c r="CG22" i="33"/>
  <c r="CF22" i="33"/>
  <c r="AK27" i="33"/>
  <c r="CE22" i="33"/>
  <c r="AK32" i="33"/>
  <c r="AK22" i="33"/>
  <c r="CD22" i="33"/>
  <c r="AK12" i="33"/>
  <c r="Y22" i="33"/>
  <c r="CG10" i="33"/>
  <c r="Y17" i="33"/>
  <c r="Y12" i="33"/>
  <c r="CF10" i="33"/>
  <c r="CD10" i="33"/>
  <c r="Y32" i="33"/>
  <c r="Y27" i="33"/>
  <c r="CE10" i="33"/>
  <c r="X32" i="33"/>
  <c r="X27" i="33"/>
  <c r="X22" i="33"/>
  <c r="X17" i="33"/>
  <c r="X12" i="33"/>
  <c r="CD9" i="33"/>
  <c r="CF9" i="33"/>
  <c r="CG9" i="33"/>
  <c r="CE9" i="33"/>
  <c r="AC27" i="33"/>
  <c r="CG14" i="33"/>
  <c r="AC32" i="33"/>
  <c r="AC22" i="33"/>
  <c r="AC12" i="33"/>
  <c r="CD14" i="33"/>
  <c r="AC17" i="33"/>
  <c r="CE14" i="33"/>
  <c r="CF14" i="33"/>
  <c r="AI22" i="33"/>
  <c r="CE20" i="33"/>
  <c r="AI32" i="33"/>
  <c r="AI17" i="33"/>
  <c r="CD20" i="33"/>
  <c r="AI27" i="33"/>
  <c r="CF20" i="33"/>
  <c r="AI12" i="33"/>
  <c r="CG20" i="33"/>
  <c r="W27" i="33"/>
  <c r="CE8" i="33"/>
  <c r="W32" i="33"/>
  <c r="CF8" i="33"/>
  <c r="CG8" i="33"/>
  <c r="W12" i="33"/>
  <c r="CD8" i="33"/>
  <c r="W22" i="33"/>
  <c r="W17" i="33"/>
  <c r="AG32" i="33"/>
  <c r="AG12" i="33"/>
  <c r="CG18" i="33"/>
  <c r="AG27" i="33"/>
  <c r="AG22" i="33"/>
  <c r="AG17" i="33"/>
  <c r="CD18" i="33"/>
  <c r="CE18" i="33"/>
  <c r="CF18" i="33"/>
  <c r="AZ32" i="33"/>
  <c r="AZ27" i="33"/>
  <c r="AZ22" i="33"/>
  <c r="AZ17" i="33"/>
  <c r="AZ12" i="33"/>
  <c r="CE37" i="33"/>
  <c r="CF37" i="33"/>
  <c r="CD37" i="33"/>
  <c r="CG37" i="33"/>
  <c r="AP17" i="33"/>
  <c r="AP32" i="33"/>
  <c r="AP12" i="33"/>
  <c r="CG27" i="33"/>
  <c r="AP27" i="33"/>
  <c r="AP22" i="33"/>
  <c r="CD27" i="33"/>
  <c r="CE27" i="33"/>
  <c r="CF27" i="33"/>
  <c r="AN32" i="33"/>
  <c r="AN27" i="33"/>
  <c r="AN22" i="33"/>
  <c r="AN17" i="33"/>
  <c r="AN12" i="33"/>
  <c r="CF25" i="33"/>
  <c r="CG25" i="33"/>
  <c r="CE25" i="33"/>
  <c r="CD25" i="33"/>
  <c r="AL32" i="33"/>
  <c r="AL12" i="33"/>
  <c r="CF23" i="33"/>
  <c r="CE23" i="33"/>
  <c r="CG23" i="33"/>
  <c r="AL22" i="33"/>
  <c r="AL17" i="33"/>
  <c r="CD23" i="33"/>
  <c r="AL27" i="33"/>
  <c r="AU17" i="33"/>
  <c r="AU32" i="33"/>
  <c r="AU27" i="33"/>
  <c r="AU22" i="33"/>
  <c r="CF32" i="33"/>
  <c r="AU12" i="33"/>
  <c r="CG32" i="33"/>
  <c r="CD32" i="33"/>
  <c r="CE32" i="33"/>
  <c r="AR32" i="33"/>
  <c r="AR27" i="33"/>
  <c r="AR22" i="33"/>
  <c r="AR17" i="33"/>
  <c r="AR12" i="33"/>
  <c r="CE29" i="33"/>
  <c r="CF29" i="33"/>
  <c r="CD29" i="33"/>
  <c r="CG29" i="33"/>
  <c r="BA17" i="33"/>
  <c r="BA12" i="33"/>
  <c r="CD38" i="33"/>
  <c r="CE38" i="33"/>
  <c r="BA32" i="33"/>
  <c r="CF38" i="33"/>
  <c r="BA27" i="33"/>
  <c r="CG38" i="33"/>
  <c r="BA22" i="33"/>
  <c r="AX27" i="33"/>
  <c r="AX32" i="33"/>
  <c r="AX17" i="33"/>
  <c r="CG35" i="33"/>
  <c r="CD35" i="33"/>
  <c r="AX22" i="33"/>
  <c r="AX12" i="33"/>
  <c r="CE35" i="33"/>
  <c r="CF35" i="33"/>
  <c r="AA32" i="33"/>
  <c r="AA12" i="33"/>
  <c r="CE12" i="33"/>
  <c r="AA27" i="33"/>
  <c r="AA17" i="33"/>
  <c r="CG12" i="33"/>
  <c r="AA22" i="33"/>
  <c r="CD12" i="33"/>
  <c r="CF12" i="33"/>
  <c r="AE17" i="33"/>
  <c r="CE16" i="33"/>
  <c r="CD16" i="33"/>
  <c r="AE12" i="33"/>
  <c r="CF16" i="33"/>
  <c r="CG16" i="33"/>
  <c r="AE32" i="33"/>
  <c r="AE27" i="33"/>
  <c r="AE22" i="33"/>
  <c r="BB32" i="33"/>
  <c r="BB12" i="33"/>
  <c r="CD39" i="33"/>
  <c r="BB27" i="33"/>
  <c r="BB22" i="33"/>
  <c r="BB17" i="33"/>
  <c r="CG39" i="33"/>
  <c r="CE39" i="33"/>
  <c r="CF39" i="33"/>
  <c r="AQ32" i="33"/>
  <c r="AQ12" i="33"/>
  <c r="AQ22" i="33"/>
  <c r="CF28" i="33"/>
  <c r="CG28" i="33"/>
  <c r="AQ27" i="33"/>
  <c r="AQ17" i="33"/>
  <c r="CD28" i="33"/>
  <c r="CE28" i="33"/>
  <c r="AF32" i="33"/>
  <c r="AF27" i="33"/>
  <c r="AF22" i="33"/>
  <c r="AF17" i="33"/>
  <c r="AF12" i="33"/>
  <c r="CD17" i="33"/>
  <c r="CF17" i="33"/>
  <c r="CE17" i="33"/>
  <c r="CG17" i="33"/>
  <c r="AT22" i="33"/>
  <c r="AT17" i="33"/>
  <c r="AT12" i="33"/>
  <c r="CG31" i="33"/>
  <c r="CD31" i="33"/>
  <c r="AT27" i="33"/>
  <c r="CE31" i="33"/>
  <c r="AT32" i="33"/>
  <c r="CF31" i="33"/>
  <c r="AO22" i="33"/>
  <c r="AO12" i="33"/>
  <c r="AO32" i="33"/>
  <c r="AO27" i="33"/>
  <c r="CD26" i="33"/>
  <c r="AO17" i="33"/>
  <c r="CE26" i="33"/>
  <c r="CF26" i="33"/>
  <c r="CG26" i="33"/>
  <c r="AD22" i="33"/>
  <c r="CF15" i="33"/>
  <c r="CE15" i="33"/>
  <c r="CD15" i="33"/>
  <c r="AD32" i="33"/>
  <c r="AD27" i="33"/>
  <c r="AD17" i="33"/>
  <c r="AD12" i="33"/>
  <c r="CG15" i="33"/>
  <c r="AH27" i="33"/>
  <c r="CF19" i="33"/>
  <c r="AH22" i="33"/>
  <c r="CE19" i="33"/>
  <c r="CG19" i="33"/>
  <c r="AH32" i="33"/>
  <c r="CD19" i="33"/>
  <c r="AH17" i="33"/>
  <c r="AH12" i="33"/>
  <c r="AW32" i="33"/>
  <c r="AW12" i="33"/>
  <c r="AW27" i="33"/>
  <c r="AW17" i="33"/>
  <c r="CE34" i="33"/>
  <c r="CD34" i="33"/>
  <c r="AW22" i="33"/>
  <c r="CF34" i="33"/>
  <c r="CG34" i="33"/>
  <c r="AS27" i="33"/>
  <c r="CE30" i="33"/>
  <c r="AS32" i="33"/>
  <c r="CD30" i="33"/>
  <c r="CF30" i="33"/>
  <c r="AS22" i="33"/>
  <c r="CG30" i="33"/>
  <c r="AS17" i="33"/>
  <c r="AS12" i="33"/>
  <c r="AJ32" i="33"/>
  <c r="AJ27" i="33"/>
  <c r="AJ22" i="33"/>
  <c r="AJ17" i="33"/>
  <c r="AJ12" i="33"/>
  <c r="CD21" i="33"/>
  <c r="CG21" i="33"/>
  <c r="CE21" i="33"/>
  <c r="CF21" i="33"/>
  <c r="CD6" i="33"/>
  <c r="CD43" i="33"/>
  <c r="U17" i="33"/>
  <c r="CF6" i="33"/>
  <c r="CG6" i="33"/>
  <c r="CG43" i="33" s="1"/>
  <c r="U32" i="33"/>
  <c r="U27" i="33"/>
  <c r="U22" i="33"/>
  <c r="CE6" i="33"/>
  <c r="U12" i="33"/>
  <c r="AV32" i="33"/>
  <c r="AV27" i="33"/>
  <c r="AV22" i="33"/>
  <c r="AV17" i="33"/>
  <c r="AV12" i="33"/>
  <c r="CE33" i="33"/>
  <c r="CF33" i="33"/>
  <c r="CG33" i="33"/>
  <c r="CD33" i="33"/>
  <c r="AB32" i="33"/>
  <c r="AB27" i="33"/>
  <c r="AB22" i="33"/>
  <c r="AB17" i="33"/>
  <c r="AB12" i="33"/>
  <c r="CD13" i="33"/>
  <c r="CE13" i="33"/>
  <c r="CG13" i="33"/>
  <c r="CF13" i="33"/>
  <c r="AM27" i="33"/>
  <c r="CE24" i="33"/>
  <c r="AM22" i="33"/>
  <c r="AM17" i="33"/>
  <c r="AM12" i="33"/>
  <c r="CF24" i="33"/>
  <c r="CG24" i="33"/>
  <c r="AM32" i="33"/>
  <c r="CD24" i="33"/>
  <c r="V32" i="33"/>
  <c r="V12" i="33"/>
  <c r="CF7" i="33"/>
  <c r="V27" i="33"/>
  <c r="V17" i="33"/>
  <c r="CE7" i="33"/>
  <c r="CG7" i="33"/>
  <c r="V22" i="33"/>
  <c r="CD7" i="33"/>
  <c r="CS29" i="33"/>
  <c r="CQ29" i="33"/>
  <c r="CJ29" i="33"/>
  <c r="CO29" i="33"/>
  <c r="CU29" i="33"/>
  <c r="CK29" i="33"/>
  <c r="CT29" i="33"/>
  <c r="CL29" i="33"/>
  <c r="CV29" i="33"/>
  <c r="CH29" i="33"/>
  <c r="CP29" i="33"/>
  <c r="CI29" i="33"/>
  <c r="CR29" i="33"/>
  <c r="CW29" i="33"/>
  <c r="CM29" i="33"/>
  <c r="CN29" i="33"/>
  <c r="AR64" i="33"/>
  <c r="AR142" i="33"/>
  <c r="CR36" i="33"/>
  <c r="CK36" i="33"/>
  <c r="CN36" i="33"/>
  <c r="CQ36" i="33"/>
  <c r="CT36" i="33"/>
  <c r="CI36" i="33"/>
  <c r="CW36" i="33"/>
  <c r="CU36" i="33"/>
  <c r="CL36" i="33"/>
  <c r="CH36" i="33"/>
  <c r="CM36" i="33"/>
  <c r="CP36" i="33"/>
  <c r="CJ36" i="33"/>
  <c r="CV36" i="33"/>
  <c r="CS36" i="33"/>
  <c r="CO36" i="33"/>
  <c r="AY64" i="33"/>
  <c r="AY142" i="33"/>
  <c r="CK38" i="33"/>
  <c r="CN38" i="33"/>
  <c r="CR38" i="33"/>
  <c r="CQ38" i="33"/>
  <c r="CO38" i="33"/>
  <c r="CW38" i="33"/>
  <c r="CP38" i="33"/>
  <c r="CJ38" i="33"/>
  <c r="CS38" i="33"/>
  <c r="CM38" i="33"/>
  <c r="CV38" i="33"/>
  <c r="CH38" i="33"/>
  <c r="CU38" i="33"/>
  <c r="CI38" i="33"/>
  <c r="CL38" i="33"/>
  <c r="CT38" i="33"/>
  <c r="BA64" i="33"/>
  <c r="BA142" i="33"/>
  <c r="CK14" i="33"/>
  <c r="CN14" i="33"/>
  <c r="CR14" i="33"/>
  <c r="CQ14" i="33"/>
  <c r="CS14" i="33"/>
  <c r="CM14" i="33"/>
  <c r="CU14" i="33"/>
  <c r="CJ14" i="33"/>
  <c r="CL14" i="33"/>
  <c r="CP14" i="33"/>
  <c r="CH14" i="33"/>
  <c r="CO14" i="33"/>
  <c r="CV14" i="33"/>
  <c r="CT14" i="33"/>
  <c r="CW14" i="33"/>
  <c r="CI14" i="33"/>
  <c r="AC64" i="33"/>
  <c r="AC142" i="33"/>
  <c r="CK10" i="33"/>
  <c r="CN10" i="33"/>
  <c r="CV10" i="33"/>
  <c r="CR10" i="33"/>
  <c r="CQ10" i="33"/>
  <c r="CJ10" i="33"/>
  <c r="CW10" i="33"/>
  <c r="CU10" i="33"/>
  <c r="CH10" i="33"/>
  <c r="CO10" i="33"/>
  <c r="CS10" i="33"/>
  <c r="CT10" i="33"/>
  <c r="CP10" i="33"/>
  <c r="CI10" i="33"/>
  <c r="CL10" i="33"/>
  <c r="CM10" i="33"/>
  <c r="Y64" i="33"/>
  <c r="Y142" i="33"/>
  <c r="CR20" i="33"/>
  <c r="CK20" i="33"/>
  <c r="CN20" i="33"/>
  <c r="CQ20" i="33"/>
  <c r="CT20" i="33"/>
  <c r="CW20" i="33"/>
  <c r="CU20" i="33"/>
  <c r="CL20" i="33"/>
  <c r="CH20" i="33"/>
  <c r="CO20" i="33"/>
  <c r="CI20" i="33"/>
  <c r="CM20" i="33"/>
  <c r="CP20" i="33"/>
  <c r="CJ20" i="33"/>
  <c r="CV20" i="33"/>
  <c r="CS20" i="33"/>
  <c r="AI64" i="33"/>
  <c r="AI142" i="33"/>
  <c r="CS39" i="33"/>
  <c r="CQ39" i="33"/>
  <c r="CW39" i="33"/>
  <c r="CO39" i="33"/>
  <c r="CM39" i="33"/>
  <c r="CV39" i="33"/>
  <c r="CJ39" i="33"/>
  <c r="CK39" i="33"/>
  <c r="CP39" i="33"/>
  <c r="CN39" i="33"/>
  <c r="CH39" i="33"/>
  <c r="CI39" i="33"/>
  <c r="CU39" i="33"/>
  <c r="CL39" i="33"/>
  <c r="CT39" i="33"/>
  <c r="CR39" i="33"/>
  <c r="BB64" i="33"/>
  <c r="BB142" i="33"/>
  <c r="CR8" i="33"/>
  <c r="CK8" i="33"/>
  <c r="CN8" i="33"/>
  <c r="CM8" i="33"/>
  <c r="CV8" i="33"/>
  <c r="CP8" i="33"/>
  <c r="CQ8" i="33"/>
  <c r="CO8" i="33"/>
  <c r="CL8" i="33"/>
  <c r="CS8" i="33"/>
  <c r="CU8" i="33"/>
  <c r="CW8" i="33"/>
  <c r="CT8" i="33"/>
  <c r="CI8" i="33"/>
  <c r="CJ8" i="33"/>
  <c r="CH8" i="33"/>
  <c r="W64" i="33"/>
  <c r="W142" i="33"/>
  <c r="CP9" i="33"/>
  <c r="CS9" i="33"/>
  <c r="CQ9" i="33"/>
  <c r="CM9" i="33"/>
  <c r="CU9" i="33"/>
  <c r="CH9" i="33"/>
  <c r="CT9" i="33"/>
  <c r="CK9" i="33"/>
  <c r="CL9" i="33"/>
  <c r="CV9" i="33"/>
  <c r="CR9" i="33"/>
  <c r="CN9" i="33"/>
  <c r="CI9" i="33"/>
  <c r="CO9" i="33"/>
  <c r="CJ9" i="33"/>
  <c r="CW9" i="33"/>
  <c r="X64" i="33"/>
  <c r="X142" i="33"/>
  <c r="CK18" i="33"/>
  <c r="CN18" i="33"/>
  <c r="CR18" i="33"/>
  <c r="CQ18" i="33"/>
  <c r="CJ18" i="33"/>
  <c r="CU18" i="33"/>
  <c r="CW18" i="33"/>
  <c r="CP18" i="33"/>
  <c r="CH18" i="33"/>
  <c r="CO18" i="33"/>
  <c r="CT18" i="33"/>
  <c r="CS18" i="33"/>
  <c r="CL18" i="33"/>
  <c r="CM18" i="33"/>
  <c r="CV18" i="33"/>
  <c r="CI18" i="33"/>
  <c r="AG64" i="33"/>
  <c r="AG142" i="33"/>
  <c r="CR28" i="33"/>
  <c r="CK28" i="33"/>
  <c r="CN28" i="33"/>
  <c r="CP28" i="33"/>
  <c r="CO28" i="33"/>
  <c r="CQ28" i="33"/>
  <c r="CT28" i="33"/>
  <c r="CW28" i="33"/>
  <c r="CV28" i="33"/>
  <c r="CI28" i="33"/>
  <c r="CH28" i="33"/>
  <c r="CM28" i="33"/>
  <c r="CU28" i="33"/>
  <c r="CL28" i="33"/>
  <c r="CS28" i="33"/>
  <c r="CJ28" i="33"/>
  <c r="AQ64" i="33"/>
  <c r="AQ142" i="33"/>
  <c r="CS7" i="33"/>
  <c r="CQ7" i="33"/>
  <c r="CP7" i="33"/>
  <c r="CW7" i="33"/>
  <c r="CO7" i="33"/>
  <c r="CV7" i="33"/>
  <c r="CM7" i="33"/>
  <c r="CJ7" i="33"/>
  <c r="CK7" i="33"/>
  <c r="CN7" i="33"/>
  <c r="CI7" i="33"/>
  <c r="CU7" i="33"/>
  <c r="CT7" i="33"/>
  <c r="CR7" i="33"/>
  <c r="CL7" i="33"/>
  <c r="V64" i="33"/>
  <c r="V142" i="33"/>
  <c r="CH7" i="33"/>
  <c r="CS35" i="33"/>
  <c r="CQ35" i="33"/>
  <c r="CM35" i="33"/>
  <c r="CO35" i="33"/>
  <c r="CU35" i="33"/>
  <c r="CW35" i="33"/>
  <c r="CK35" i="33"/>
  <c r="CP35" i="33"/>
  <c r="CT35" i="33"/>
  <c r="CI35" i="33"/>
  <c r="CV35" i="33"/>
  <c r="CL35" i="33"/>
  <c r="CJ35" i="33"/>
  <c r="CR35" i="33"/>
  <c r="CN35" i="33"/>
  <c r="CH35" i="33"/>
  <c r="AX64" i="33"/>
  <c r="AX142" i="33"/>
  <c r="U64" i="33"/>
  <c r="U142" i="33"/>
  <c r="CS6" i="33"/>
  <c r="CR6" i="33"/>
  <c r="CP6" i="33"/>
  <c r="CQ6" i="33"/>
  <c r="CI6" i="33"/>
  <c r="CH6" i="33"/>
  <c r="CJ6" i="33"/>
  <c r="CT6" i="33"/>
  <c r="CK6" i="33"/>
  <c r="CV6" i="33"/>
  <c r="CL6" i="33"/>
  <c r="CL43" i="33" s="1"/>
  <c r="CL44" i="33" s="1"/>
  <c r="CU6" i="33"/>
  <c r="CM6" i="33"/>
  <c r="CW6" i="33"/>
  <c r="CN6" i="33"/>
  <c r="CO6" i="33"/>
  <c r="CK40" i="33"/>
  <c r="CJ40" i="33"/>
  <c r="CS40" i="33"/>
  <c r="CO40" i="33"/>
  <c r="CN40" i="33"/>
  <c r="CR40" i="33"/>
  <c r="CU40" i="33"/>
  <c r="CL40" i="33"/>
  <c r="CQ40" i="33"/>
  <c r="CT40" i="33"/>
  <c r="CV40" i="33"/>
  <c r="CP40" i="33"/>
  <c r="CH40" i="33"/>
  <c r="CM40" i="33"/>
  <c r="CI40" i="33"/>
  <c r="CW40" i="33"/>
  <c r="BC64" i="33"/>
  <c r="BC142" i="33"/>
  <c r="CS33" i="33"/>
  <c r="CQ33" i="33"/>
  <c r="CK33" i="33"/>
  <c r="CT33" i="33"/>
  <c r="CP33" i="33"/>
  <c r="CH33" i="33"/>
  <c r="CO33" i="33"/>
  <c r="CR33" i="33"/>
  <c r="CM33" i="33"/>
  <c r="CV33" i="33"/>
  <c r="CN33" i="33"/>
  <c r="CI33" i="33"/>
  <c r="CJ33" i="33"/>
  <c r="CL33" i="33"/>
  <c r="CW33" i="33"/>
  <c r="CU33" i="33"/>
  <c r="AV64" i="33"/>
  <c r="AV142" i="33"/>
  <c r="CR12" i="33"/>
  <c r="CK12" i="33"/>
  <c r="CN12" i="33"/>
  <c r="CQ12" i="33"/>
  <c r="CT12" i="33"/>
  <c r="CV12" i="33"/>
  <c r="CW12" i="33"/>
  <c r="CP12" i="33"/>
  <c r="CH12" i="33"/>
  <c r="CO12" i="33"/>
  <c r="CM12" i="33"/>
  <c r="CU12" i="33"/>
  <c r="CL12" i="33"/>
  <c r="CS12" i="33"/>
  <c r="CJ12" i="33"/>
  <c r="CI12" i="33"/>
  <c r="AA64" i="33"/>
  <c r="AA142" i="33"/>
  <c r="CP13" i="33"/>
  <c r="CS13" i="33"/>
  <c r="CQ13" i="33"/>
  <c r="CO13" i="33"/>
  <c r="CJ13" i="33"/>
  <c r="CL13" i="33"/>
  <c r="CK13" i="33"/>
  <c r="CH13" i="33"/>
  <c r="CV13" i="33"/>
  <c r="CI13" i="33"/>
  <c r="CR13" i="33"/>
  <c r="CW13" i="33"/>
  <c r="CT13" i="33"/>
  <c r="CN13" i="33"/>
  <c r="CM13" i="33"/>
  <c r="CU13" i="33"/>
  <c r="AB64" i="33"/>
  <c r="AB142" i="33"/>
  <c r="CK22" i="33"/>
  <c r="CN22" i="33"/>
  <c r="CR22" i="33"/>
  <c r="CQ22" i="33"/>
  <c r="CP22" i="33"/>
  <c r="CJ22" i="33"/>
  <c r="CM22" i="33"/>
  <c r="CV22" i="33"/>
  <c r="CH22" i="33"/>
  <c r="CU22" i="33"/>
  <c r="CO22" i="33"/>
  <c r="CS22" i="33"/>
  <c r="CW22" i="33"/>
  <c r="CL22" i="33"/>
  <c r="CT22" i="33"/>
  <c r="CI22" i="33"/>
  <c r="AK64" i="33"/>
  <c r="AK142" i="33"/>
  <c r="CR24" i="33"/>
  <c r="CK24" i="33"/>
  <c r="CN24" i="33"/>
  <c r="CV24" i="33"/>
  <c r="CQ24" i="33"/>
  <c r="CU24" i="33"/>
  <c r="CH24" i="33"/>
  <c r="CI24" i="33"/>
  <c r="CM24" i="33"/>
  <c r="CL24" i="33"/>
  <c r="CP24" i="33"/>
  <c r="CW24" i="33"/>
  <c r="CS24" i="33"/>
  <c r="CT24" i="33"/>
  <c r="CJ24" i="33"/>
  <c r="CO24" i="33"/>
  <c r="AM64" i="33"/>
  <c r="AM142" i="33"/>
  <c r="CR16" i="33"/>
  <c r="CK16" i="33"/>
  <c r="CN16" i="33"/>
  <c r="CP16" i="33"/>
  <c r="CQ16" i="33"/>
  <c r="CV16" i="33"/>
  <c r="CH16" i="33"/>
  <c r="CO16" i="33"/>
  <c r="CM16" i="33"/>
  <c r="CI16" i="33"/>
  <c r="CS16" i="33"/>
  <c r="CW16" i="33"/>
  <c r="CU16" i="33"/>
  <c r="CL16" i="33"/>
  <c r="CJ16" i="33"/>
  <c r="CT16" i="33"/>
  <c r="AE64" i="33"/>
  <c r="AE142" i="33"/>
  <c r="CS19" i="33"/>
  <c r="CQ19" i="33"/>
  <c r="CM19" i="33"/>
  <c r="CU19" i="33"/>
  <c r="CW19" i="33"/>
  <c r="CK19" i="33"/>
  <c r="CL19" i="33"/>
  <c r="CI19" i="33"/>
  <c r="CV19" i="33"/>
  <c r="CT19" i="33"/>
  <c r="CJ19" i="33"/>
  <c r="CP19" i="33"/>
  <c r="CR19" i="33"/>
  <c r="CO19" i="33"/>
  <c r="CH19" i="33"/>
  <c r="CN19" i="33"/>
  <c r="AH64" i="33"/>
  <c r="AH142" i="33"/>
  <c r="CK34" i="33"/>
  <c r="CN34" i="33"/>
  <c r="CR34" i="33"/>
  <c r="CQ34" i="33"/>
  <c r="CJ34" i="33"/>
  <c r="CO34" i="33"/>
  <c r="CW34" i="33"/>
  <c r="CP34" i="33"/>
  <c r="CH34" i="33"/>
  <c r="CT34" i="33"/>
  <c r="CS34" i="33"/>
  <c r="CL34" i="33"/>
  <c r="CU34" i="33"/>
  <c r="CM34" i="33"/>
  <c r="CI34" i="33"/>
  <c r="CV34" i="33"/>
  <c r="AW64" i="33"/>
  <c r="AW142" i="33"/>
  <c r="CK30" i="33"/>
  <c r="CN30" i="33"/>
  <c r="CR30" i="33"/>
  <c r="CP30" i="33"/>
  <c r="CQ30" i="33"/>
  <c r="CM30" i="33"/>
  <c r="CU30" i="33"/>
  <c r="CJ30" i="33"/>
  <c r="CT30" i="33"/>
  <c r="CH30" i="33"/>
  <c r="CL30" i="33"/>
  <c r="CV30" i="33"/>
  <c r="CO30" i="33"/>
  <c r="CI30" i="33"/>
  <c r="CS30" i="33"/>
  <c r="CW30" i="33"/>
  <c r="AS64" i="33"/>
  <c r="AS142" i="33"/>
  <c r="CS11" i="33"/>
  <c r="CQ11" i="33"/>
  <c r="CP11" i="33"/>
  <c r="CU11" i="33"/>
  <c r="CM11" i="33"/>
  <c r="CW11" i="33"/>
  <c r="CH11" i="33"/>
  <c r="CT11" i="33"/>
  <c r="CR11" i="33"/>
  <c r="CO11" i="33"/>
  <c r="CI11" i="33"/>
  <c r="CK11" i="33"/>
  <c r="CV11" i="33"/>
  <c r="CJ11" i="33"/>
  <c r="CN11" i="33"/>
  <c r="CL11" i="33"/>
  <c r="Z64" i="33"/>
  <c r="Z142" i="33"/>
  <c r="CS21" i="33"/>
  <c r="CQ21" i="33"/>
  <c r="CN21" i="33"/>
  <c r="CP21" i="33"/>
  <c r="CO21" i="33"/>
  <c r="CJ21" i="33"/>
  <c r="CL21" i="33"/>
  <c r="CU21" i="33"/>
  <c r="CK21" i="33"/>
  <c r="CV21" i="33"/>
  <c r="CI21" i="33"/>
  <c r="CW21" i="33"/>
  <c r="CT21" i="33"/>
  <c r="CM21" i="33"/>
  <c r="CR21" i="33"/>
  <c r="CH21" i="33"/>
  <c r="AJ64" i="33"/>
  <c r="AJ142" i="33"/>
  <c r="CS37" i="33"/>
  <c r="CQ37" i="33"/>
  <c r="CO37" i="33"/>
  <c r="CN37" i="33"/>
  <c r="CJ37" i="33"/>
  <c r="CK37" i="33"/>
  <c r="CL37" i="33"/>
  <c r="CU37" i="33"/>
  <c r="CV37" i="33"/>
  <c r="CI37" i="33"/>
  <c r="CM37" i="33"/>
  <c r="CW37" i="33"/>
  <c r="CH37" i="33"/>
  <c r="CT37" i="33"/>
  <c r="CP37" i="33"/>
  <c r="CR37" i="33"/>
  <c r="AZ64" i="33"/>
  <c r="AZ142" i="33"/>
  <c r="CP17" i="33"/>
  <c r="CS17" i="33"/>
  <c r="CQ17" i="33"/>
  <c r="CK17" i="33"/>
  <c r="CT17" i="33"/>
  <c r="CH17" i="33"/>
  <c r="CV17" i="33"/>
  <c r="CR17" i="33"/>
  <c r="CN17" i="33"/>
  <c r="CI17" i="33"/>
  <c r="CM17" i="33"/>
  <c r="CJ17" i="33"/>
  <c r="CL17" i="33"/>
  <c r="CW17" i="33"/>
  <c r="CO17" i="33"/>
  <c r="CU17" i="33"/>
  <c r="AF64" i="33"/>
  <c r="AF142" i="33"/>
  <c r="CS27" i="33"/>
  <c r="CQ27" i="33"/>
  <c r="CU27" i="33"/>
  <c r="CM27" i="33"/>
  <c r="CO27" i="33"/>
  <c r="CW27" i="33"/>
  <c r="CP27" i="33"/>
  <c r="CR27" i="33"/>
  <c r="CI27" i="33"/>
  <c r="CK27" i="33"/>
  <c r="CV27" i="33"/>
  <c r="CH27" i="33"/>
  <c r="CJ27" i="33"/>
  <c r="CN27" i="33"/>
  <c r="CT27" i="33"/>
  <c r="CL27" i="33"/>
  <c r="AP64" i="33"/>
  <c r="AP142" i="33"/>
  <c r="CS31" i="33"/>
  <c r="CQ31" i="33"/>
  <c r="CW31" i="33"/>
  <c r="CO31" i="33"/>
  <c r="CM31" i="33"/>
  <c r="CR31" i="33"/>
  <c r="CU31" i="33"/>
  <c r="CV31" i="33"/>
  <c r="CN31" i="33"/>
  <c r="CL31" i="33"/>
  <c r="CJ31" i="33"/>
  <c r="CI31" i="33"/>
  <c r="CK31" i="33"/>
  <c r="CP31" i="33"/>
  <c r="CH31" i="33"/>
  <c r="CT31" i="33"/>
  <c r="AT64" i="33"/>
  <c r="AT142" i="33"/>
  <c r="CS25" i="33"/>
  <c r="CQ25" i="33"/>
  <c r="CU25" i="33"/>
  <c r="CH25" i="33"/>
  <c r="CT25" i="33"/>
  <c r="CK25" i="33"/>
  <c r="CO25" i="33"/>
  <c r="CV25" i="33"/>
  <c r="CN25" i="33"/>
  <c r="CL25" i="33"/>
  <c r="CR25" i="33"/>
  <c r="CI25" i="33"/>
  <c r="CM25" i="33"/>
  <c r="CP25" i="33"/>
  <c r="CW25" i="33"/>
  <c r="CJ25" i="33"/>
  <c r="AN64" i="33"/>
  <c r="AN142" i="33"/>
  <c r="CK26" i="33"/>
  <c r="CN26" i="33"/>
  <c r="CR26" i="33"/>
  <c r="CQ26" i="33"/>
  <c r="CJ26" i="33"/>
  <c r="CW26" i="33"/>
  <c r="CV26" i="33"/>
  <c r="CU26" i="33"/>
  <c r="CH26" i="33"/>
  <c r="CS26" i="33"/>
  <c r="CT26" i="33"/>
  <c r="CP26" i="33"/>
  <c r="CL26" i="33"/>
  <c r="CO26" i="33"/>
  <c r="CI26" i="33"/>
  <c r="CM26" i="33"/>
  <c r="AO64" i="33"/>
  <c r="AO142" i="33"/>
  <c r="CS23" i="33"/>
  <c r="CQ23" i="33"/>
  <c r="CW23" i="33"/>
  <c r="CO23" i="33"/>
  <c r="CM23" i="33"/>
  <c r="CV23" i="33"/>
  <c r="CJ23" i="33"/>
  <c r="CK23" i="33"/>
  <c r="CP23" i="33"/>
  <c r="CH23" i="33"/>
  <c r="CI23" i="33"/>
  <c r="CU23" i="33"/>
  <c r="CL23" i="33"/>
  <c r="CN23" i="33"/>
  <c r="CT23" i="33"/>
  <c r="CR23" i="33"/>
  <c r="AL64" i="33"/>
  <c r="AL142" i="33"/>
  <c r="CS15" i="33"/>
  <c r="CQ15" i="33"/>
  <c r="CP15" i="33"/>
  <c r="CW15" i="33"/>
  <c r="CR15" i="33"/>
  <c r="CM15" i="33"/>
  <c r="CU15" i="33"/>
  <c r="CV15" i="33"/>
  <c r="CL15" i="33"/>
  <c r="CJ15" i="33"/>
  <c r="CI15" i="33"/>
  <c r="CN15" i="33"/>
  <c r="CK15" i="33"/>
  <c r="CH15" i="33"/>
  <c r="CT15" i="33"/>
  <c r="CO15" i="33"/>
  <c r="AD64" i="33"/>
  <c r="AD142" i="33"/>
  <c r="CR32" i="33"/>
  <c r="CK32" i="33"/>
  <c r="CN32" i="33"/>
  <c r="CQ32" i="33"/>
  <c r="CV32" i="33"/>
  <c r="CP32" i="33"/>
  <c r="CH32" i="33"/>
  <c r="CS32" i="33"/>
  <c r="CM32" i="33"/>
  <c r="CU32" i="33"/>
  <c r="CW32" i="33"/>
  <c r="CI32" i="33"/>
  <c r="CL32" i="33"/>
  <c r="CO32" i="33"/>
  <c r="CJ32" i="33"/>
  <c r="CT32" i="33"/>
  <c r="AU64" i="33"/>
  <c r="AU142" i="33"/>
  <c r="CI42" i="33"/>
  <c r="CI43" i="33" s="1"/>
  <c r="CO42" i="33"/>
  <c r="CK42" i="33"/>
  <c r="CK43" i="33" s="1"/>
  <c r="CL42" i="33"/>
  <c r="CH42" i="33"/>
  <c r="CR42" i="33"/>
  <c r="CN42" i="33"/>
  <c r="CU42" i="33"/>
  <c r="CU43" i="33" s="1"/>
  <c r="CU44" i="33" s="1"/>
  <c r="CU45" i="33" s="1"/>
  <c r="CU46" i="33" s="1"/>
  <c r="CU47" i="33" s="1"/>
  <c r="CU48" i="33" s="1"/>
  <c r="CJ42" i="33"/>
  <c r="T64" i="33"/>
  <c r="T142" i="33"/>
  <c r="BB119" i="19"/>
  <c r="AA118" i="19"/>
  <c r="R118" i="19"/>
  <c r="BE118" i="19"/>
  <c r="CJ43" i="33"/>
  <c r="BB120" i="19"/>
  <c r="AA119" i="19"/>
  <c r="R119" i="19"/>
  <c r="BE119" i="19"/>
  <c r="BB121" i="19"/>
  <c r="AA120" i="19"/>
  <c r="R120" i="19"/>
  <c r="BE120" i="19"/>
  <c r="BB122" i="19"/>
  <c r="AA121" i="19"/>
  <c r="R121" i="19"/>
  <c r="BE121" i="19"/>
  <c r="BB123" i="19"/>
  <c r="AA122" i="19"/>
  <c r="BE122" i="19"/>
  <c r="R122" i="19"/>
  <c r="BB124" i="19"/>
  <c r="AA123" i="19"/>
  <c r="BE123" i="19"/>
  <c r="R123" i="19"/>
  <c r="BB125" i="19"/>
  <c r="AA124" i="19"/>
  <c r="BE124" i="19"/>
  <c r="R124" i="19"/>
  <c r="BB126" i="19"/>
  <c r="AA125" i="19"/>
  <c r="R125" i="19"/>
  <c r="BE125" i="19"/>
  <c r="BB127" i="19"/>
  <c r="AA126" i="19"/>
  <c r="R126" i="19"/>
  <c r="BE126" i="19"/>
  <c r="BB128" i="19"/>
  <c r="AA127" i="19"/>
  <c r="BE127" i="19"/>
  <c r="R127" i="19"/>
  <c r="BB129" i="19"/>
  <c r="AA128" i="19"/>
  <c r="BE128" i="19"/>
  <c r="R128" i="19"/>
  <c r="BB130" i="19"/>
  <c r="AA129" i="19"/>
  <c r="BE129" i="19"/>
  <c r="R129" i="19"/>
  <c r="BB131" i="19"/>
  <c r="AA130" i="19"/>
  <c r="BE130" i="19"/>
  <c r="R130" i="19"/>
  <c r="BB132" i="19"/>
  <c r="AA131" i="19"/>
  <c r="R131" i="19"/>
  <c r="BE131" i="19"/>
  <c r="BB133" i="19"/>
  <c r="AA132" i="19"/>
  <c r="BE132" i="19"/>
  <c r="R132" i="19"/>
  <c r="BB134" i="19"/>
  <c r="AA133" i="19"/>
  <c r="BE133" i="19"/>
  <c r="R133" i="19"/>
  <c r="BB135" i="19"/>
  <c r="AA134" i="19"/>
  <c r="BE134" i="19"/>
  <c r="R134" i="19"/>
  <c r="BB136" i="19"/>
  <c r="AA135" i="19"/>
  <c r="BE135" i="19"/>
  <c r="R135" i="19"/>
  <c r="BB137" i="19"/>
  <c r="AA136" i="19"/>
  <c r="R136" i="19"/>
  <c r="BE136" i="19"/>
  <c r="BB138" i="19"/>
  <c r="AA137" i="19"/>
  <c r="BE137" i="19"/>
  <c r="R137" i="19"/>
  <c r="BB139" i="19"/>
  <c r="AA138" i="19"/>
  <c r="BE138" i="19"/>
  <c r="R138" i="19"/>
  <c r="BB140" i="19"/>
  <c r="AA139" i="19"/>
  <c r="BE139" i="19"/>
  <c r="R139" i="19"/>
  <c r="BE140" i="19"/>
  <c r="V59" i="20" l="1"/>
  <c r="X57" i="20"/>
  <c r="V60" i="20" s="1"/>
  <c r="CW43" i="33"/>
  <c r="CR43" i="33"/>
  <c r="CR44" i="33" s="1"/>
  <c r="CR45" i="33" s="1"/>
  <c r="CR46" i="33" s="1"/>
  <c r="CR47" i="33" s="1"/>
  <c r="CO43" i="33"/>
  <c r="CO44" i="33" s="1"/>
  <c r="BY5" i="23"/>
  <c r="BY48" i="23" s="1"/>
  <c r="CD44" i="33"/>
  <c r="CD45" i="33" s="1"/>
  <c r="CD46" i="33" s="1"/>
  <c r="CD47" i="33" s="1"/>
  <c r="CD48" i="33" s="1"/>
  <c r="CD49" i="33" s="1"/>
  <c r="CD50" i="33" s="1"/>
  <c r="CD51" i="33" s="1"/>
  <c r="CD52" i="33" s="1"/>
  <c r="CD53" i="33" s="1"/>
  <c r="CD54" i="33" s="1"/>
  <c r="CD55" i="33" s="1"/>
  <c r="CD56" i="33" s="1"/>
  <c r="CD57" i="33" s="1"/>
  <c r="CD58" i="33" s="1"/>
  <c r="CD59" i="33" s="1"/>
  <c r="CD60" i="33" s="1"/>
  <c r="CD61" i="33" s="1"/>
  <c r="CD62" i="33" s="1"/>
  <c r="CD63" i="33" s="1"/>
  <c r="CD64" i="33" s="1"/>
  <c r="CD65" i="33" s="1"/>
  <c r="CD66" i="33" s="1"/>
  <c r="CD67" i="33" s="1"/>
  <c r="CD68" i="33" s="1"/>
  <c r="CD69" i="33" s="1"/>
  <c r="CD70" i="33" s="1"/>
  <c r="CD71" i="33" s="1"/>
  <c r="CD72" i="33" s="1"/>
  <c r="CD73" i="33" s="1"/>
  <c r="CD74" i="33" s="1"/>
  <c r="CD75" i="33" s="1"/>
  <c r="CD76" i="33" s="1"/>
  <c r="CD77" i="33" s="1"/>
  <c r="AE24" i="23"/>
  <c r="CU49" i="33"/>
  <c r="CN43" i="33"/>
  <c r="CN44" i="33" s="1"/>
  <c r="CN45" i="33" s="1"/>
  <c r="CN46" i="33" s="1"/>
  <c r="CN47" i="33" s="1"/>
  <c r="CN48" i="33" s="1"/>
  <c r="CN49" i="33" s="1"/>
  <c r="CN50" i="33" s="1"/>
  <c r="CN51" i="33" s="1"/>
  <c r="CN52" i="33" s="1"/>
  <c r="CN53" i="33" s="1"/>
  <c r="CN54" i="33" s="1"/>
  <c r="CN55" i="33" s="1"/>
  <c r="CN56" i="33" s="1"/>
  <c r="CN57" i="33" s="1"/>
  <c r="CN58" i="33" s="1"/>
  <c r="CN59" i="33" s="1"/>
  <c r="CN60" i="33" s="1"/>
  <c r="CN61" i="33" s="1"/>
  <c r="CN62" i="33" s="1"/>
  <c r="CN63" i="33" s="1"/>
  <c r="CN64" i="33" s="1"/>
  <c r="CN65" i="33" s="1"/>
  <c r="CN66" i="33" s="1"/>
  <c r="CN67" i="33" s="1"/>
  <c r="CN68" i="33" s="1"/>
  <c r="CN69" i="33" s="1"/>
  <c r="CN70" i="33" s="1"/>
  <c r="CN71" i="33" s="1"/>
  <c r="CN72" i="33" s="1"/>
  <c r="CN73" i="33" s="1"/>
  <c r="CN74" i="33" s="1"/>
  <c r="CN75" i="33" s="1"/>
  <c r="CN76" i="33" s="1"/>
  <c r="CN77" i="33" s="1"/>
  <c r="BH47" i="23"/>
  <c r="AE21" i="23"/>
  <c r="CC5" i="23"/>
  <c r="CC48" i="23" s="1"/>
  <c r="CT43" i="33"/>
  <c r="CT44" i="33" s="1"/>
  <c r="CT45" i="33" s="1"/>
  <c r="AE22" i="23"/>
  <c r="CI44" i="33"/>
  <c r="CI45" i="33" s="1"/>
  <c r="CI46" i="33" s="1"/>
  <c r="BG133" i="33"/>
  <c r="BH133" i="33" s="1"/>
  <c r="BI133" i="33" s="1"/>
  <c r="BJ133" i="33" s="1"/>
  <c r="BK133" i="33" s="1"/>
  <c r="BL133" i="33" s="1"/>
  <c r="BM133" i="33" s="1"/>
  <c r="BN133" i="33" s="1"/>
  <c r="G44" i="36"/>
  <c r="D48" i="36"/>
  <c r="J45" i="36"/>
  <c r="CV43" i="33"/>
  <c r="CV44" i="33" s="1"/>
  <c r="CV45" i="33" s="1"/>
  <c r="BG135" i="33"/>
  <c r="BH135" i="33" s="1"/>
  <c r="BI135" i="33" s="1"/>
  <c r="BJ135" i="33" s="1"/>
  <c r="BK135" i="33" s="1"/>
  <c r="BL135" i="33" s="1"/>
  <c r="BM135" i="33" s="1"/>
  <c r="BO135" i="33" s="1"/>
  <c r="BQ135" i="33" s="1"/>
  <c r="CH43" i="33"/>
  <c r="CH44" i="33" s="1"/>
  <c r="CH45" i="33" s="1"/>
  <c r="CH46" i="33" s="1"/>
  <c r="CH47" i="33" s="1"/>
  <c r="CH48" i="33" s="1"/>
  <c r="CH49" i="33" s="1"/>
  <c r="CJ44" i="33"/>
  <c r="CJ45" i="33" s="1"/>
  <c r="CJ46" i="33" s="1"/>
  <c r="CJ47" i="33" s="1"/>
  <c r="CJ48" i="33" s="1"/>
  <c r="CJ49" i="33" s="1"/>
  <c r="CJ50" i="33" s="1"/>
  <c r="CJ51" i="33" s="1"/>
  <c r="CJ52" i="33" s="1"/>
  <c r="CJ53" i="33" s="1"/>
  <c r="CJ54" i="33" s="1"/>
  <c r="CJ55" i="33" s="1"/>
  <c r="CJ56" i="33" s="1"/>
  <c r="CJ57" i="33" s="1"/>
  <c r="CJ58" i="33" s="1"/>
  <c r="CS43" i="33"/>
  <c r="CS44" i="33" s="1"/>
  <c r="CS45" i="33" s="1"/>
  <c r="CS46" i="33" s="1"/>
  <c r="CS47" i="33" s="1"/>
  <c r="BQ2" i="20"/>
  <c r="DP123" i="33"/>
  <c r="AW4" i="33" s="1"/>
  <c r="CM123" i="33"/>
  <c r="DD123" i="33"/>
  <c r="DL123" i="33"/>
  <c r="DM123" i="33"/>
  <c r="AT4" i="33" s="1"/>
  <c r="DG123" i="33"/>
  <c r="AN4" i="33" s="1"/>
  <c r="CN123" i="33"/>
  <c r="U4" i="33" s="1"/>
  <c r="DS123" i="33"/>
  <c r="CT123" i="33"/>
  <c r="DA123" i="33"/>
  <c r="AH4" i="33" s="1"/>
  <c r="CO123" i="33"/>
  <c r="V4" i="33" s="1"/>
  <c r="DU123" i="33"/>
  <c r="DC123" i="33"/>
  <c r="CQ123" i="33"/>
  <c r="X4" i="33" s="1"/>
  <c r="CX123" i="33"/>
  <c r="AE4" i="33" s="1"/>
  <c r="DT123" i="33"/>
  <c r="BA4" i="33" s="1"/>
  <c r="DF123" i="33"/>
  <c r="AM4" i="33" s="1"/>
  <c r="CE63" i="23"/>
  <c r="CD22" i="23"/>
  <c r="BV10" i="23"/>
  <c r="CE54" i="23"/>
  <c r="CD19" i="23"/>
  <c r="BV11" i="23"/>
  <c r="CE20" i="23"/>
  <c r="CE51" i="23"/>
  <c r="BO21" i="23"/>
  <c r="CE17" i="23"/>
  <c r="CD20" i="23"/>
  <c r="BT19" i="23"/>
  <c r="CB11" i="23"/>
  <c r="CD18" i="23"/>
  <c r="BZ18" i="23"/>
  <c r="CE62" i="23"/>
  <c r="CC21" i="23"/>
  <c r="CB8" i="23"/>
  <c r="CE66" i="23"/>
  <c r="BV19" i="23"/>
  <c r="CC10" i="23"/>
  <c r="CE23" i="23"/>
  <c r="CE22" i="23"/>
  <c r="BO9" i="23"/>
  <c r="CE18" i="23"/>
  <c r="CC19" i="23"/>
  <c r="BT23" i="23"/>
  <c r="CD17" i="23"/>
  <c r="BW23" i="23"/>
  <c r="CA19" i="23"/>
  <c r="BT8" i="23"/>
  <c r="CE58" i="23"/>
  <c r="CC18" i="23"/>
  <c r="CE11" i="23"/>
  <c r="CE15" i="23"/>
  <c r="CE56" i="23"/>
  <c r="BV22" i="23"/>
  <c r="CB18" i="23"/>
  <c r="BP23" i="23"/>
  <c r="CC16" i="23"/>
  <c r="CD9" i="23"/>
  <c r="CD15" i="23"/>
  <c r="CC17" i="23"/>
  <c r="BU8" i="23"/>
  <c r="BW19" i="23"/>
  <c r="CE65" i="23"/>
  <c r="BT17" i="23"/>
  <c r="CE52" i="23"/>
  <c r="CE57" i="23"/>
  <c r="CE64" i="23"/>
  <c r="BU21" i="23"/>
  <c r="CB9" i="23"/>
  <c r="BT18" i="23"/>
  <c r="CA22" i="23"/>
  <c r="BU16" i="23"/>
  <c r="BV9" i="23"/>
  <c r="CC11" i="23"/>
  <c r="CB23" i="23"/>
  <c r="CB16" i="23"/>
  <c r="CE14" i="23"/>
  <c r="CC14" i="23"/>
  <c r="CE68" i="23"/>
  <c r="CE61" i="23"/>
  <c r="CE69" i="23"/>
  <c r="CB20" i="23"/>
  <c r="BT9" i="23"/>
  <c r="BT14" i="23"/>
  <c r="CD21" i="23"/>
  <c r="BS14" i="23"/>
  <c r="CC8" i="23"/>
  <c r="CB17" i="23"/>
  <c r="CB15" i="23"/>
  <c r="BS8" i="23"/>
  <c r="CE16" i="23"/>
  <c r="BT16" i="23"/>
  <c r="BO16" i="23"/>
  <c r="CB13" i="23"/>
  <c r="CE59" i="23"/>
  <c r="CE53" i="23"/>
  <c r="CE9" i="23"/>
  <c r="BW13" i="23"/>
  <c r="CC20" i="23"/>
  <c r="CD13" i="23"/>
  <c r="BY8" i="23"/>
  <c r="CB21" i="23"/>
  <c r="CB12" i="23"/>
  <c r="BS12" i="23"/>
  <c r="CE19" i="23"/>
  <c r="CD10" i="23"/>
  <c r="CE8" i="23"/>
  <c r="BW20" i="23"/>
  <c r="CD11" i="23"/>
  <c r="CE21" i="23"/>
  <c r="BP49" i="23"/>
  <c r="CE13" i="23"/>
  <c r="CE60" i="23"/>
  <c r="CB10" i="23"/>
  <c r="CB19" i="23"/>
  <c r="BU12" i="23"/>
  <c r="BU19" i="23"/>
  <c r="BZ22" i="23"/>
  <c r="BU22" i="23"/>
  <c r="BT21" i="23"/>
  <c r="BZ19" i="23"/>
  <c r="BV15" i="23"/>
  <c r="BU14" i="23"/>
  <c r="BT13" i="23"/>
  <c r="CQ48" i="33"/>
  <c r="CQ49" i="33" s="1"/>
  <c r="CQ50" i="33" s="1"/>
  <c r="CQ51" i="33" s="1"/>
  <c r="CQ52" i="33" s="1"/>
  <c r="CQ53" i="33" s="1"/>
  <c r="CQ54" i="33" s="1"/>
  <c r="CQ55" i="33" s="1"/>
  <c r="CQ56" i="33" s="1"/>
  <c r="CQ57" i="33" s="1"/>
  <c r="CQ58" i="33" s="1"/>
  <c r="CQ59" i="33" s="1"/>
  <c r="CQ60" i="33" s="1"/>
  <c r="CQ61" i="33" s="1"/>
  <c r="CQ62" i="33" s="1"/>
  <c r="CQ63" i="33" s="1"/>
  <c r="CQ64" i="33" s="1"/>
  <c r="CQ65" i="33" s="1"/>
  <c r="CQ66" i="33" s="1"/>
  <c r="CQ67" i="33" s="1"/>
  <c r="CQ68" i="33" s="1"/>
  <c r="CQ69" i="33" s="1"/>
  <c r="CQ70" i="33" s="1"/>
  <c r="CQ71" i="33" s="1"/>
  <c r="CQ72" i="33" s="1"/>
  <c r="CQ73" i="33" s="1"/>
  <c r="CQ74" i="33" s="1"/>
  <c r="CQ75" i="33" s="1"/>
  <c r="CQ76" i="33" s="1"/>
  <c r="CQ77" i="33" s="1"/>
  <c r="CT46" i="33"/>
  <c r="CT47" i="33" s="1"/>
  <c r="CT48" i="33" s="1"/>
  <c r="CT49" i="33" s="1"/>
  <c r="CT50" i="33" s="1"/>
  <c r="CT51" i="33" s="1"/>
  <c r="BO17" i="23"/>
  <c r="CC12" i="23"/>
  <c r="CA11" i="23"/>
  <c r="AE23" i="23"/>
  <c r="AE9" i="23"/>
  <c r="AE15" i="23"/>
  <c r="BR5" i="23"/>
  <c r="BR48" i="23" s="1"/>
  <c r="AE26" i="23"/>
  <c r="AZ47" i="23"/>
  <c r="AE18" i="23"/>
  <c r="CH50" i="33"/>
  <c r="CH51" i="33" s="1"/>
  <c r="CH52" i="33" s="1"/>
  <c r="CH53" i="33" s="1"/>
  <c r="CH54" i="33" s="1"/>
  <c r="CH55" i="33" s="1"/>
  <c r="CH56" i="33" s="1"/>
  <c r="CH57" i="33" s="1"/>
  <c r="CH58" i="33" s="1"/>
  <c r="CH59" i="33" s="1"/>
  <c r="CH60" i="33" s="1"/>
  <c r="CH61" i="33" s="1"/>
  <c r="CH62" i="33" s="1"/>
  <c r="CH63" i="33" s="1"/>
  <c r="CH64" i="33" s="1"/>
  <c r="CH65" i="33" s="1"/>
  <c r="CH66" i="33" s="1"/>
  <c r="CH67" i="33" s="1"/>
  <c r="CH68" i="33" s="1"/>
  <c r="CH69" i="33" s="1"/>
  <c r="CH70" i="33" s="1"/>
  <c r="CH71" i="33" s="1"/>
  <c r="CH72" i="33" s="1"/>
  <c r="CH73" i="33" s="1"/>
  <c r="CH74" i="33" s="1"/>
  <c r="CH75" i="33" s="1"/>
  <c r="CH76" i="33" s="1"/>
  <c r="CH77" i="33" s="1"/>
  <c r="CC22" i="23"/>
  <c r="CI47" i="33"/>
  <c r="CI48" i="33" s="1"/>
  <c r="CI49" i="33" s="1"/>
  <c r="CI50" i="33" s="1"/>
  <c r="CI51" i="33" s="1"/>
  <c r="CI52" i="33" s="1"/>
  <c r="CI53" i="33" s="1"/>
  <c r="CI54" i="33" s="1"/>
  <c r="CI55" i="33" s="1"/>
  <c r="CI56" i="33" s="1"/>
  <c r="CI57" i="33" s="1"/>
  <c r="CI58" i="33" s="1"/>
  <c r="CI59" i="33" s="1"/>
  <c r="CI60" i="33" s="1"/>
  <c r="CI61" i="33" s="1"/>
  <c r="CI62" i="33" s="1"/>
  <c r="CI63" i="33" s="1"/>
  <c r="CI64" i="33" s="1"/>
  <c r="CI65" i="33" s="1"/>
  <c r="CI66" i="33" s="1"/>
  <c r="CI67" i="33" s="1"/>
  <c r="CI68" i="33" s="1"/>
  <c r="CI69" i="33" s="1"/>
  <c r="CI70" i="33" s="1"/>
  <c r="CI71" i="33" s="1"/>
  <c r="CI72" i="33" s="1"/>
  <c r="CI73" i="33" s="1"/>
  <c r="CI74" i="33" s="1"/>
  <c r="CI75" i="33" s="1"/>
  <c r="CI76" i="33" s="1"/>
  <c r="CI77" i="33" s="1"/>
  <c r="CP123" i="33"/>
  <c r="W4" i="33" s="1"/>
  <c r="CO45" i="33"/>
  <c r="CO46" i="33" s="1"/>
  <c r="CO47" i="33" s="1"/>
  <c r="CO48" i="33" s="1"/>
  <c r="CE12" i="23"/>
  <c r="CK44" i="33"/>
  <c r="CK45" i="33" s="1"/>
  <c r="CK46" i="33" s="1"/>
  <c r="CK47" i="33" s="1"/>
  <c r="CK48" i="33" s="1"/>
  <c r="CK49" i="33" s="1"/>
  <c r="CK50" i="33" s="1"/>
  <c r="CK51" i="33" s="1"/>
  <c r="CK52" i="33" s="1"/>
  <c r="CL45" i="33"/>
  <c r="CL46" i="33" s="1"/>
  <c r="CL47" i="33" s="1"/>
  <c r="CL48" i="33" s="1"/>
  <c r="CL49" i="33" s="1"/>
  <c r="CL50" i="33" s="1"/>
  <c r="CL51" i="33" s="1"/>
  <c r="CE55" i="23"/>
  <c r="CB5" i="23"/>
  <c r="CB48" i="23" s="1"/>
  <c r="BJ47" i="23"/>
  <c r="CW123" i="33"/>
  <c r="BR18" i="23"/>
  <c r="BO23" i="23"/>
  <c r="CC23" i="23"/>
  <c r="BU23" i="23"/>
  <c r="CB22" i="23"/>
  <c r="BT22" i="23"/>
  <c r="BW17" i="23"/>
  <c r="CD16" i="23"/>
  <c r="BV16" i="23"/>
  <c r="CC15" i="23"/>
  <c r="CB14" i="23"/>
  <c r="CA13" i="23"/>
  <c r="BR12" i="23"/>
  <c r="CD8" i="23"/>
  <c r="BV8" i="23"/>
  <c r="CG44" i="33"/>
  <c r="CG45" i="33" s="1"/>
  <c r="CG46" i="33" s="1"/>
  <c r="CG47" i="33" s="1"/>
  <c r="CG48" i="33" s="1"/>
  <c r="CG49" i="33" s="1"/>
  <c r="CG50" i="33" s="1"/>
  <c r="CG51" i="33" s="1"/>
  <c r="CG52" i="33" s="1"/>
  <c r="CG53" i="33" s="1"/>
  <c r="CG54" i="33" s="1"/>
  <c r="CG55" i="33" s="1"/>
  <c r="CG56" i="33" s="1"/>
  <c r="CG57" i="33" s="1"/>
  <c r="CG58" i="33" s="1"/>
  <c r="CG59" i="33" s="1"/>
  <c r="CG60" i="33" s="1"/>
  <c r="CG61" i="33" s="1"/>
  <c r="CG62" i="33" s="1"/>
  <c r="CG63" i="33" s="1"/>
  <c r="CG64" i="33" s="1"/>
  <c r="CG65" i="33" s="1"/>
  <c r="CG66" i="33" s="1"/>
  <c r="CG67" i="33" s="1"/>
  <c r="CG68" i="33" s="1"/>
  <c r="CG69" i="33" s="1"/>
  <c r="CG70" i="33" s="1"/>
  <c r="CG71" i="33" s="1"/>
  <c r="CG72" i="33" s="1"/>
  <c r="CG73" i="33" s="1"/>
  <c r="CG74" i="33" s="1"/>
  <c r="CG75" i="33" s="1"/>
  <c r="CG76" i="33" s="1"/>
  <c r="CG77" i="33" s="1"/>
  <c r="BO22" i="23"/>
  <c r="BV17" i="23"/>
  <c r="BT15" i="23"/>
  <c r="BR13" i="23"/>
  <c r="BW10" i="23"/>
  <c r="BG136" i="33"/>
  <c r="BH136" i="33" s="1"/>
  <c r="BI136" i="33" s="1"/>
  <c r="BJ136" i="33" s="1"/>
  <c r="BK136" i="33" s="1"/>
  <c r="BL136" i="33" s="1"/>
  <c r="BM136" i="33" s="1"/>
  <c r="CF43" i="33"/>
  <c r="CF44" i="33" s="1"/>
  <c r="CF45" i="33" s="1"/>
  <c r="CF46" i="33" s="1"/>
  <c r="CF47" i="33" s="1"/>
  <c r="CF48" i="33" s="1"/>
  <c r="CF49" i="33" s="1"/>
  <c r="CF50" i="33" s="1"/>
  <c r="CF51" i="33" s="1"/>
  <c r="CF52" i="33" s="1"/>
  <c r="CF53" i="33" s="1"/>
  <c r="CF54" i="33" s="1"/>
  <c r="CF55" i="33" s="1"/>
  <c r="CF56" i="33" s="1"/>
  <c r="CF57" i="33" s="1"/>
  <c r="CF58" i="33" s="1"/>
  <c r="CF59" i="33" s="1"/>
  <c r="CF60" i="33" s="1"/>
  <c r="CF61" i="33" s="1"/>
  <c r="CF62" i="33" s="1"/>
  <c r="CF63" i="33" s="1"/>
  <c r="CF64" i="33" s="1"/>
  <c r="CF65" i="33" s="1"/>
  <c r="CF66" i="33" s="1"/>
  <c r="CF67" i="33" s="1"/>
  <c r="CF68" i="33" s="1"/>
  <c r="CF69" i="33" s="1"/>
  <c r="CF70" i="33" s="1"/>
  <c r="CF71" i="33" s="1"/>
  <c r="CF72" i="33" s="1"/>
  <c r="CF73" i="33" s="1"/>
  <c r="CF74" i="33" s="1"/>
  <c r="CF75" i="33" s="1"/>
  <c r="CF76" i="33" s="1"/>
  <c r="CF77" i="33" s="1"/>
  <c r="BO13" i="23"/>
  <c r="AE25" i="23"/>
  <c r="AE7" i="23"/>
  <c r="AE8" i="23"/>
  <c r="AE11" i="23"/>
  <c r="AE33" i="23" s="1"/>
  <c r="AE13" i="23"/>
  <c r="AE14" i="23"/>
  <c r="BW12" i="23"/>
  <c r="BG126" i="33"/>
  <c r="BH126" i="33" s="1"/>
  <c r="BI126" i="33" s="1"/>
  <c r="BJ126" i="33" s="1"/>
  <c r="BK126" i="33" s="1"/>
  <c r="BL126" i="33" s="1"/>
  <c r="BM126" i="33" s="1"/>
  <c r="BV12" i="23"/>
  <c r="BG128" i="33"/>
  <c r="BH128" i="33" s="1"/>
  <c r="BI128" i="33" s="1"/>
  <c r="BJ128" i="33" s="1"/>
  <c r="BK128" i="33" s="1"/>
  <c r="BL128" i="33" s="1"/>
  <c r="BM128" i="33" s="1"/>
  <c r="BO128" i="33" s="1"/>
  <c r="BV128" i="33" s="1"/>
  <c r="CB128" i="33" s="1"/>
  <c r="CH128" i="33" s="1"/>
  <c r="CP43" i="33"/>
  <c r="CP44" i="33" s="1"/>
  <c r="CP45" i="33" s="1"/>
  <c r="CP46" i="33" s="1"/>
  <c r="CP47" i="33" s="1"/>
  <c r="CP48" i="33" s="1"/>
  <c r="CP49" i="33" s="1"/>
  <c r="CP50" i="33" s="1"/>
  <c r="CP51" i="33" s="1"/>
  <c r="CP52" i="33" s="1"/>
  <c r="CP53" i="33" s="1"/>
  <c r="CP54" i="33" s="1"/>
  <c r="CP55" i="33" s="1"/>
  <c r="CP56" i="33" s="1"/>
  <c r="CP57" i="33" s="1"/>
  <c r="CP58" i="33" s="1"/>
  <c r="CP59" i="33" s="1"/>
  <c r="CP60" i="33" s="1"/>
  <c r="CP61" i="33" s="1"/>
  <c r="CP62" i="33" s="1"/>
  <c r="CP63" i="33" s="1"/>
  <c r="CP64" i="33" s="1"/>
  <c r="CP65" i="33" s="1"/>
  <c r="CP66" i="33" s="1"/>
  <c r="CP67" i="33" s="1"/>
  <c r="CP68" i="33" s="1"/>
  <c r="CP69" i="33" s="1"/>
  <c r="CP70" i="33" s="1"/>
  <c r="CP71" i="33" s="1"/>
  <c r="CP72" i="33" s="1"/>
  <c r="CP73" i="33" s="1"/>
  <c r="CP74" i="33" s="1"/>
  <c r="CP75" i="33" s="1"/>
  <c r="CP76" i="33" s="1"/>
  <c r="CP77" i="33" s="1"/>
  <c r="CR48" i="33"/>
  <c r="CR49" i="33" s="1"/>
  <c r="CR50" i="33" s="1"/>
  <c r="CR51" i="33" s="1"/>
  <c r="CR52" i="33" s="1"/>
  <c r="CR53" i="33" s="1"/>
  <c r="CR54" i="33" s="1"/>
  <c r="CR55" i="33" s="1"/>
  <c r="CR56" i="33" s="1"/>
  <c r="CR57" i="33" s="1"/>
  <c r="CR58" i="33" s="1"/>
  <c r="CR59" i="33" s="1"/>
  <c r="CR60" i="33" s="1"/>
  <c r="CR61" i="33" s="1"/>
  <c r="CR62" i="33" s="1"/>
  <c r="CR63" i="33" s="1"/>
  <c r="CR64" i="33" s="1"/>
  <c r="CR65" i="33" s="1"/>
  <c r="CR66" i="33" s="1"/>
  <c r="CR67" i="33" s="1"/>
  <c r="CR68" i="33" s="1"/>
  <c r="CR69" i="33" s="1"/>
  <c r="CR70" i="33" s="1"/>
  <c r="CR71" i="33" s="1"/>
  <c r="CR72" i="33" s="1"/>
  <c r="CR73" i="33" s="1"/>
  <c r="CR74" i="33" s="1"/>
  <c r="CR75" i="33" s="1"/>
  <c r="CR76" i="33" s="1"/>
  <c r="CR77" i="33" s="1"/>
  <c r="CE43" i="33"/>
  <c r="CE44" i="33" s="1"/>
  <c r="CE45" i="33" s="1"/>
  <c r="CE46" i="33" s="1"/>
  <c r="CE47" i="33" s="1"/>
  <c r="CE48" i="33" s="1"/>
  <c r="CE49" i="33" s="1"/>
  <c r="CE50" i="33" s="1"/>
  <c r="CE51" i="33" s="1"/>
  <c r="CE52" i="33" s="1"/>
  <c r="CE53" i="33" s="1"/>
  <c r="CE54" i="33" s="1"/>
  <c r="CE55" i="33" s="1"/>
  <c r="CE56" i="33" s="1"/>
  <c r="CE57" i="33" s="1"/>
  <c r="CE58" i="33" s="1"/>
  <c r="CE59" i="33" s="1"/>
  <c r="CE60" i="33" s="1"/>
  <c r="CE61" i="33" s="1"/>
  <c r="CE62" i="33" s="1"/>
  <c r="CE63" i="33" s="1"/>
  <c r="CE64" i="33" s="1"/>
  <c r="CE65" i="33" s="1"/>
  <c r="CE66" i="33" s="1"/>
  <c r="CE67" i="33" s="1"/>
  <c r="CE68" i="33" s="1"/>
  <c r="CE69" i="33" s="1"/>
  <c r="CE70" i="33" s="1"/>
  <c r="CE71" i="33" s="1"/>
  <c r="CE72" i="33" s="1"/>
  <c r="CE73" i="33" s="1"/>
  <c r="CE74" i="33" s="1"/>
  <c r="CE75" i="33" s="1"/>
  <c r="CE76" i="33" s="1"/>
  <c r="CE77" i="33" s="1"/>
  <c r="BV13" i="23"/>
  <c r="AE20" i="23"/>
  <c r="AE31" i="23" s="1"/>
  <c r="BR22" i="23"/>
  <c r="BR21" i="23"/>
  <c r="BR15" i="23"/>
  <c r="BR10" i="23"/>
  <c r="BR9" i="23"/>
  <c r="BR8" i="23"/>
  <c r="BR11" i="23"/>
  <c r="BR14" i="23"/>
  <c r="BR17" i="23"/>
  <c r="S44" i="36"/>
  <c r="L48" i="36"/>
  <c r="L46" i="36"/>
  <c r="BS20" i="23"/>
  <c r="BP17" i="23"/>
  <c r="T44" i="36"/>
  <c r="W46" i="36"/>
  <c r="G46" i="36"/>
  <c r="U45" i="36"/>
  <c r="Q45" i="36"/>
  <c r="AB30" i="20"/>
  <c r="W45" i="20" s="1"/>
  <c r="X45" i="20" s="1"/>
  <c r="V48" i="20" s="1"/>
  <c r="BY18" i="23"/>
  <c r="Q48" i="36"/>
  <c r="M45" i="36"/>
  <c r="L44" i="36"/>
  <c r="K48" i="36"/>
  <c r="I47" i="36"/>
  <c r="AO103" i="19"/>
  <c r="AO104" i="19" s="1"/>
  <c r="AO105" i="19" s="1"/>
  <c r="AO106" i="19" s="1"/>
  <c r="AO107" i="19" s="1"/>
  <c r="AO108" i="19" s="1"/>
  <c r="AO109" i="19" s="1"/>
  <c r="AO110" i="19" s="1"/>
  <c r="AO111" i="19" s="1"/>
  <c r="AO112" i="19" s="1"/>
  <c r="AO113" i="19" s="1"/>
  <c r="AO114" i="19" s="1"/>
  <c r="AO115" i="19" s="1"/>
  <c r="AO116" i="19" s="1"/>
  <c r="AO117" i="19" s="1"/>
  <c r="AO118" i="19" s="1"/>
  <c r="AO119" i="19" s="1"/>
  <c r="AO120" i="19" s="1"/>
  <c r="AO121" i="19" s="1"/>
  <c r="AO122" i="19" s="1"/>
  <c r="AO123" i="19" s="1"/>
  <c r="AO124" i="19" s="1"/>
  <c r="AO125" i="19" s="1"/>
  <c r="AO126" i="19" s="1"/>
  <c r="AO127" i="19" s="1"/>
  <c r="AO128" i="19" s="1"/>
  <c r="AO129" i="19" s="1"/>
  <c r="AO130" i="19" s="1"/>
  <c r="AO131" i="19" s="1"/>
  <c r="AO132" i="19" s="1"/>
  <c r="AO133" i="19" s="1"/>
  <c r="AO134" i="19" s="1"/>
  <c r="AO135" i="19" s="1"/>
  <c r="AO136" i="19" s="1"/>
  <c r="AO137" i="19" s="1"/>
  <c r="AO138" i="19" s="1"/>
  <c r="AO139" i="19" s="1"/>
  <c r="BX8" i="23"/>
  <c r="BP10" i="23"/>
  <c r="BX10" i="23"/>
  <c r="BP11" i="23"/>
  <c r="BX11" i="23"/>
  <c r="BP12" i="23"/>
  <c r="BX12" i="23"/>
  <c r="BP13" i="23"/>
  <c r="BX13" i="23"/>
  <c r="BP14" i="23"/>
  <c r="BP15" i="23"/>
  <c r="BX15" i="23"/>
  <c r="BP16" i="23"/>
  <c r="BX16" i="23"/>
  <c r="BX17" i="23"/>
  <c r="BP19" i="23"/>
  <c r="BX19" i="23"/>
  <c r="BP20" i="23"/>
  <c r="BP21" i="23"/>
  <c r="BX21" i="23"/>
  <c r="BP22" i="23"/>
  <c r="CD23" i="23"/>
  <c r="R44" i="36"/>
  <c r="E48" i="36"/>
  <c r="S47" i="36"/>
  <c r="P46" i="36"/>
  <c r="H46" i="36"/>
  <c r="V45" i="36"/>
  <c r="CA8" i="23"/>
  <c r="CA9" i="23"/>
  <c r="CA10" i="23"/>
  <c r="BS11" i="23"/>
  <c r="BS13" i="23"/>
  <c r="CA14" i="23"/>
  <c r="CA15" i="23"/>
  <c r="BS16" i="23"/>
  <c r="CA16" i="23"/>
  <c r="CA17" i="23"/>
  <c r="BS19" i="23"/>
  <c r="CA20" i="23"/>
  <c r="CA21" i="23"/>
  <c r="BS22" i="23"/>
  <c r="CA23" i="23"/>
  <c r="C45" i="36"/>
  <c r="P44" i="36"/>
  <c r="W48" i="36"/>
  <c r="G48" i="36"/>
  <c r="U47" i="36"/>
  <c r="E47" i="36"/>
  <c r="AE12" i="23"/>
  <c r="AE34" i="23" s="1"/>
  <c r="BS15" i="23"/>
  <c r="BV23" i="23"/>
  <c r="AE10" i="23"/>
  <c r="AE32" i="23" s="1"/>
  <c r="BX9" i="23"/>
  <c r="BP9" i="23"/>
  <c r="G13" i="21"/>
  <c r="F13" i="21"/>
  <c r="F16" i="21" s="1"/>
  <c r="F17" i="21" s="1"/>
  <c r="R4" i="19" s="1"/>
  <c r="CK53" i="33"/>
  <c r="CK54" i="33" s="1"/>
  <c r="CK55" i="33" s="1"/>
  <c r="CK56" i="33" s="1"/>
  <c r="CK57" i="33" s="1"/>
  <c r="CK58" i="33" s="1"/>
  <c r="CK59" i="33" s="1"/>
  <c r="CK60" i="33" s="1"/>
  <c r="CK61" i="33" s="1"/>
  <c r="CK62" i="33" s="1"/>
  <c r="CK63" i="33" s="1"/>
  <c r="CK64" i="33" s="1"/>
  <c r="CK65" i="33" s="1"/>
  <c r="CK66" i="33" s="1"/>
  <c r="CK67" i="33" s="1"/>
  <c r="CK68" i="33" s="1"/>
  <c r="CK69" i="33" s="1"/>
  <c r="CK70" i="33" s="1"/>
  <c r="CK71" i="33" s="1"/>
  <c r="CK72" i="33" s="1"/>
  <c r="CK73" i="33" s="1"/>
  <c r="CK74" i="33" s="1"/>
  <c r="CK75" i="33" s="1"/>
  <c r="CK76" i="33" s="1"/>
  <c r="CK77" i="33" s="1"/>
  <c r="CU50" i="33"/>
  <c r="CU51" i="33" s="1"/>
  <c r="CU52" i="33" s="1"/>
  <c r="CU53" i="33" s="1"/>
  <c r="CU54" i="33" s="1"/>
  <c r="CU55" i="33" s="1"/>
  <c r="CU56" i="33" s="1"/>
  <c r="CU57" i="33" s="1"/>
  <c r="CU58" i="33" s="1"/>
  <c r="CU59" i="33" s="1"/>
  <c r="CU60" i="33" s="1"/>
  <c r="CU61" i="33" s="1"/>
  <c r="CU62" i="33" s="1"/>
  <c r="CU63" i="33" s="1"/>
  <c r="CU64" i="33" s="1"/>
  <c r="CU65" i="33" s="1"/>
  <c r="CU66" i="33" s="1"/>
  <c r="CU67" i="33" s="1"/>
  <c r="CU68" i="33" s="1"/>
  <c r="CU69" i="33" s="1"/>
  <c r="CU70" i="33" s="1"/>
  <c r="CU71" i="33" s="1"/>
  <c r="CU72" i="33" s="1"/>
  <c r="CU73" i="33" s="1"/>
  <c r="CU74" i="33" s="1"/>
  <c r="CU75" i="33" s="1"/>
  <c r="CU76" i="33" s="1"/>
  <c r="CU77" i="33" s="1"/>
  <c r="CJ59" i="33"/>
  <c r="CJ60" i="33" s="1"/>
  <c r="CJ61" i="33" s="1"/>
  <c r="CJ62" i="33" s="1"/>
  <c r="CJ63" i="33" s="1"/>
  <c r="CJ64" i="33" s="1"/>
  <c r="CJ65" i="33" s="1"/>
  <c r="CJ66" i="33" s="1"/>
  <c r="CJ67" i="33" s="1"/>
  <c r="CJ68" i="33" s="1"/>
  <c r="CJ69" i="33" s="1"/>
  <c r="CJ70" i="33" s="1"/>
  <c r="CJ71" i="33" s="1"/>
  <c r="CJ72" i="33" s="1"/>
  <c r="CJ73" i="33" s="1"/>
  <c r="CJ74" i="33" s="1"/>
  <c r="CJ75" i="33" s="1"/>
  <c r="CJ76" i="33" s="1"/>
  <c r="CJ77" i="33" s="1"/>
  <c r="CO49" i="33"/>
  <c r="CO50" i="33" s="1"/>
  <c r="CO51" i="33" s="1"/>
  <c r="CO52" i="33" s="1"/>
  <c r="CO53" i="33" s="1"/>
  <c r="CO54" i="33" s="1"/>
  <c r="CO55" i="33" s="1"/>
  <c r="CO56" i="33" s="1"/>
  <c r="CO57" i="33" s="1"/>
  <c r="CO58" i="33" s="1"/>
  <c r="CO59" i="33" s="1"/>
  <c r="CO60" i="33" s="1"/>
  <c r="CO61" i="33" s="1"/>
  <c r="CO62" i="33" s="1"/>
  <c r="CO63" i="33" s="1"/>
  <c r="CO64" i="33" s="1"/>
  <c r="CO65" i="33" s="1"/>
  <c r="CO66" i="33" s="1"/>
  <c r="CO67" i="33" s="1"/>
  <c r="CO68" i="33" s="1"/>
  <c r="CO69" i="33" s="1"/>
  <c r="CO70" i="33" s="1"/>
  <c r="CO71" i="33" s="1"/>
  <c r="CO72" i="33" s="1"/>
  <c r="CO73" i="33" s="1"/>
  <c r="CO74" i="33" s="1"/>
  <c r="CO75" i="33" s="1"/>
  <c r="CO76" i="33" s="1"/>
  <c r="CO77" i="33" s="1"/>
  <c r="CW44" i="33"/>
  <c r="CW45" i="33" s="1"/>
  <c r="CW46" i="33" s="1"/>
  <c r="CW47" i="33" s="1"/>
  <c r="CW48" i="33" s="1"/>
  <c r="CW49" i="33" s="1"/>
  <c r="CW50" i="33" s="1"/>
  <c r="CW51" i="33" s="1"/>
  <c r="CW52" i="33" s="1"/>
  <c r="CW53" i="33" s="1"/>
  <c r="CW54" i="33" s="1"/>
  <c r="CW55" i="33" s="1"/>
  <c r="CW56" i="33" s="1"/>
  <c r="CW57" i="33" s="1"/>
  <c r="CW58" i="33" s="1"/>
  <c r="CW59" i="33" s="1"/>
  <c r="CW60" i="33" s="1"/>
  <c r="CW61" i="33" s="1"/>
  <c r="CW62" i="33" s="1"/>
  <c r="CW63" i="33" s="1"/>
  <c r="CW64" i="33" s="1"/>
  <c r="CW65" i="33" s="1"/>
  <c r="CW66" i="33" s="1"/>
  <c r="CW67" i="33" s="1"/>
  <c r="CW68" i="33" s="1"/>
  <c r="CW69" i="33" s="1"/>
  <c r="CW70" i="33" s="1"/>
  <c r="CW71" i="33" s="1"/>
  <c r="CW72" i="33" s="1"/>
  <c r="CW73" i="33" s="1"/>
  <c r="CW74" i="33" s="1"/>
  <c r="CW75" i="33" s="1"/>
  <c r="CW76" i="33" s="1"/>
  <c r="CW77" i="33" s="1"/>
  <c r="CV46" i="33"/>
  <c r="CV47" i="33" s="1"/>
  <c r="CV48" i="33" s="1"/>
  <c r="CV49" i="33" s="1"/>
  <c r="CV50" i="33" s="1"/>
  <c r="CV51" i="33" s="1"/>
  <c r="CV52" i="33" s="1"/>
  <c r="CV53" i="33" s="1"/>
  <c r="CV54" i="33" s="1"/>
  <c r="CV55" i="33" s="1"/>
  <c r="CV56" i="33" s="1"/>
  <c r="CV57" i="33" s="1"/>
  <c r="CV58" i="33" s="1"/>
  <c r="CV59" i="33" s="1"/>
  <c r="CV60" i="33" s="1"/>
  <c r="CV61" i="33" s="1"/>
  <c r="CV62" i="33" s="1"/>
  <c r="CV63" i="33" s="1"/>
  <c r="CV64" i="33" s="1"/>
  <c r="CV65" i="33" s="1"/>
  <c r="CV66" i="33" s="1"/>
  <c r="CV67" i="33" s="1"/>
  <c r="CV68" i="33" s="1"/>
  <c r="CV69" i="33" s="1"/>
  <c r="CV70" i="33" s="1"/>
  <c r="CV71" i="33" s="1"/>
  <c r="CV72" i="33" s="1"/>
  <c r="CV73" i="33" s="1"/>
  <c r="CV74" i="33" s="1"/>
  <c r="CV75" i="33" s="1"/>
  <c r="CV76" i="33" s="1"/>
  <c r="CV77" i="33" s="1"/>
  <c r="CM45" i="33"/>
  <c r="CM46" i="33" s="1"/>
  <c r="CM47" i="33" s="1"/>
  <c r="CM48" i="33" s="1"/>
  <c r="CM49" i="33" s="1"/>
  <c r="CM50" i="33" s="1"/>
  <c r="CM51" i="33" s="1"/>
  <c r="CM52" i="33" s="1"/>
  <c r="CM53" i="33" s="1"/>
  <c r="CM54" i="33" s="1"/>
  <c r="CM55" i="33" s="1"/>
  <c r="CM56" i="33" s="1"/>
  <c r="CM57" i="33" s="1"/>
  <c r="CM58" i="33" s="1"/>
  <c r="CM59" i="33" s="1"/>
  <c r="CM60" i="33" s="1"/>
  <c r="CM61" i="33" s="1"/>
  <c r="CM62" i="33" s="1"/>
  <c r="CM63" i="33" s="1"/>
  <c r="CM64" i="33" s="1"/>
  <c r="CM65" i="33" s="1"/>
  <c r="CM66" i="33" s="1"/>
  <c r="CM67" i="33" s="1"/>
  <c r="CM68" i="33" s="1"/>
  <c r="CM69" i="33" s="1"/>
  <c r="CM70" i="33" s="1"/>
  <c r="CM71" i="33" s="1"/>
  <c r="CM72" i="33" s="1"/>
  <c r="CM73" i="33" s="1"/>
  <c r="CM74" i="33" s="1"/>
  <c r="CM75" i="33" s="1"/>
  <c r="CM76" i="33" s="1"/>
  <c r="CM77" i="33" s="1"/>
  <c r="CT52" i="33"/>
  <c r="CT53" i="33" s="1"/>
  <c r="CT54" i="33" s="1"/>
  <c r="CT55" i="33" s="1"/>
  <c r="CT56" i="33" s="1"/>
  <c r="CT57" i="33" s="1"/>
  <c r="CT58" i="33" s="1"/>
  <c r="CT59" i="33" s="1"/>
  <c r="CT60" i="33" s="1"/>
  <c r="CT61" i="33" s="1"/>
  <c r="CT62" i="33" s="1"/>
  <c r="CT63" i="33" s="1"/>
  <c r="CT64" i="33" s="1"/>
  <c r="CT65" i="33" s="1"/>
  <c r="CT66" i="33" s="1"/>
  <c r="CT67" i="33" s="1"/>
  <c r="CT68" i="33" s="1"/>
  <c r="CT69" i="33" s="1"/>
  <c r="CT70" i="33" s="1"/>
  <c r="CT71" i="33" s="1"/>
  <c r="CT72" i="33" s="1"/>
  <c r="CT73" i="33" s="1"/>
  <c r="CT74" i="33" s="1"/>
  <c r="CT75" i="33" s="1"/>
  <c r="CT76" i="33" s="1"/>
  <c r="CT77" i="33" s="1"/>
  <c r="CS48" i="33"/>
  <c r="CS49" i="33" s="1"/>
  <c r="CS50" i="33" s="1"/>
  <c r="CS51" i="33" s="1"/>
  <c r="CS52" i="33" s="1"/>
  <c r="CS53" i="33" s="1"/>
  <c r="CS54" i="33" s="1"/>
  <c r="CS55" i="33" s="1"/>
  <c r="CS56" i="33" s="1"/>
  <c r="CS57" i="33" s="1"/>
  <c r="CS58" i="33" s="1"/>
  <c r="CS59" i="33" s="1"/>
  <c r="CS60" i="33" s="1"/>
  <c r="CS61" i="33" s="1"/>
  <c r="CS62" i="33" s="1"/>
  <c r="CS63" i="33" s="1"/>
  <c r="CS64" i="33" s="1"/>
  <c r="CS65" i="33" s="1"/>
  <c r="CS66" i="33" s="1"/>
  <c r="CS67" i="33" s="1"/>
  <c r="CS68" i="33" s="1"/>
  <c r="CS69" i="33" s="1"/>
  <c r="CS70" i="33" s="1"/>
  <c r="CS71" i="33" s="1"/>
  <c r="CS72" i="33" s="1"/>
  <c r="CS73" i="33" s="1"/>
  <c r="CS74" i="33" s="1"/>
  <c r="CS75" i="33" s="1"/>
  <c r="CS76" i="33" s="1"/>
  <c r="CS77" i="33" s="1"/>
  <c r="BP5" i="23"/>
  <c r="BP48" i="23" s="1"/>
  <c r="AD20" i="23"/>
  <c r="AD19" i="23"/>
  <c r="AD21" i="23"/>
  <c r="AF23" i="23"/>
  <c r="AD11" i="23"/>
  <c r="AD14" i="23"/>
  <c r="AF22" i="23"/>
  <c r="AD17" i="23"/>
  <c r="AD12" i="23"/>
  <c r="AD24" i="23"/>
  <c r="AD8" i="23"/>
  <c r="AD22" i="23"/>
  <c r="AD15" i="23"/>
  <c r="AD7" i="23"/>
  <c r="AF12" i="23"/>
  <c r="AF18" i="23"/>
  <c r="AD23" i="23"/>
  <c r="AD26" i="23"/>
  <c r="AF13" i="23"/>
  <c r="AF11" i="23"/>
  <c r="AF9" i="23"/>
  <c r="AX47" i="23"/>
  <c r="AD10" i="23"/>
  <c r="AF8" i="23"/>
  <c r="AF25" i="23"/>
  <c r="AD9" i="23"/>
  <c r="AF24" i="23"/>
  <c r="AF10" i="23"/>
  <c r="AF26" i="23"/>
  <c r="AD18" i="23"/>
  <c r="AD13" i="23"/>
  <c r="AF20" i="23"/>
  <c r="AF7" i="23"/>
  <c r="AF14" i="23"/>
  <c r="AF15" i="23"/>
  <c r="AF21" i="23"/>
  <c r="AD25" i="23"/>
  <c r="CL52" i="33"/>
  <c r="CL53" i="33" s="1"/>
  <c r="CL54" i="33" s="1"/>
  <c r="CL55" i="33" s="1"/>
  <c r="CL56" i="33" s="1"/>
  <c r="CL57" i="33" s="1"/>
  <c r="CL58" i="33" s="1"/>
  <c r="CL59" i="33" s="1"/>
  <c r="CL60" i="33" s="1"/>
  <c r="CL61" i="33" s="1"/>
  <c r="CL62" i="33" s="1"/>
  <c r="CL63" i="33" s="1"/>
  <c r="CL64" i="33" s="1"/>
  <c r="CL65" i="33" s="1"/>
  <c r="CL66" i="33" s="1"/>
  <c r="CL67" i="33" s="1"/>
  <c r="CL68" i="33" s="1"/>
  <c r="CL69" i="33" s="1"/>
  <c r="CL70" i="33" s="1"/>
  <c r="CL71" i="33" s="1"/>
  <c r="CL72" i="33" s="1"/>
  <c r="CL73" i="33" s="1"/>
  <c r="CL74" i="33" s="1"/>
  <c r="CL75" i="33" s="1"/>
  <c r="CL76" i="33" s="1"/>
  <c r="CL77" i="33" s="1"/>
  <c r="BZ21" i="23"/>
  <c r="BZ13" i="23"/>
  <c r="BV18" i="23"/>
  <c r="BU17" i="23"/>
  <c r="BO10" i="23"/>
  <c r="BW22" i="23"/>
  <c r="BV21" i="23"/>
  <c r="BS18" i="23"/>
  <c r="BW14" i="23"/>
  <c r="BT11" i="23"/>
  <c r="BN124" i="33"/>
  <c r="BO124" i="33"/>
  <c r="BX22" i="23"/>
  <c r="BV20" i="23"/>
  <c r="BS17" i="23"/>
  <c r="BZ16" i="23"/>
  <c r="BR16" i="23"/>
  <c r="BX14" i="23"/>
  <c r="BU11" i="23"/>
  <c r="BT10" i="23"/>
  <c r="AE19" i="23"/>
  <c r="AD4" i="33"/>
  <c r="BV14" i="23"/>
  <c r="BU13" i="23"/>
  <c r="BT12" i="23"/>
  <c r="BS21" i="23"/>
  <c r="BZ20" i="23"/>
  <c r="BR20" i="23"/>
  <c r="BX18" i="23"/>
  <c r="BP18" i="23"/>
  <c r="BU15" i="23"/>
  <c r="BZ12" i="23"/>
  <c r="D39" i="40"/>
  <c r="D42" i="40"/>
  <c r="D43" i="40"/>
  <c r="D41" i="40"/>
  <c r="D38" i="40"/>
  <c r="D36" i="40"/>
  <c r="D37" i="40"/>
  <c r="D40" i="40"/>
  <c r="BP128" i="33"/>
  <c r="BR128" i="33" s="1"/>
  <c r="BW128" i="33" s="1"/>
  <c r="CC128" i="33" s="1"/>
  <c r="CI128" i="33" s="1"/>
  <c r="BO126" i="33"/>
  <c r="BP126" i="33" s="1"/>
  <c r="BN126" i="33"/>
  <c r="AJ4" i="33"/>
  <c r="BB4" i="33"/>
  <c r="BO133" i="33"/>
  <c r="BQ133" i="33" s="1"/>
  <c r="BU133" i="33" s="1"/>
  <c r="CA133" i="33" s="1"/>
  <c r="CG133" i="33" s="1"/>
  <c r="BQ128" i="33"/>
  <c r="BT128" i="33" s="1"/>
  <c r="BZ128" i="33" s="1"/>
  <c r="CF128" i="33" s="1"/>
  <c r="BN128" i="33"/>
  <c r="AA4" i="33"/>
  <c r="AZ4" i="33"/>
  <c r="BN136" i="33"/>
  <c r="BO136" i="33"/>
  <c r="BP136" i="33" s="1"/>
  <c r="BX136" i="33" s="1"/>
  <c r="CD136" i="33" s="1"/>
  <c r="CJ136" i="33" s="1"/>
  <c r="AS4" i="33"/>
  <c r="AK4" i="33"/>
  <c r="T4" i="33"/>
  <c r="P70" i="20"/>
  <c r="S80" i="20" s="1"/>
  <c r="U80" i="20" s="1"/>
  <c r="BX20" i="23"/>
  <c r="P66" i="20"/>
  <c r="S76" i="20" s="1"/>
  <c r="T76" i="20" s="1"/>
  <c r="BG134" i="33"/>
  <c r="BH134" i="33" s="1"/>
  <c r="BI134" i="33" s="1"/>
  <c r="BJ134" i="33" s="1"/>
  <c r="BK134" i="33" s="1"/>
  <c r="BL134" i="33" s="1"/>
  <c r="BM134" i="33" s="1"/>
  <c r="W47" i="36"/>
  <c r="P67" i="20"/>
  <c r="S77" i="20" s="1"/>
  <c r="U77" i="20" s="1"/>
  <c r="P68" i="20"/>
  <c r="S78" i="20" s="1"/>
  <c r="T78" i="20" s="1"/>
  <c r="BG132" i="33"/>
  <c r="BH132" i="33" s="1"/>
  <c r="BI132" i="33" s="1"/>
  <c r="BJ132" i="33" s="1"/>
  <c r="BK132" i="33" s="1"/>
  <c r="BL132" i="33" s="1"/>
  <c r="BM132" i="33" s="1"/>
  <c r="BG125" i="33"/>
  <c r="BH125" i="33" s="1"/>
  <c r="BI125" i="33" s="1"/>
  <c r="BJ125" i="33" s="1"/>
  <c r="BK125" i="33" s="1"/>
  <c r="BL125" i="33" s="1"/>
  <c r="BM125" i="33" s="1"/>
  <c r="P69" i="20"/>
  <c r="S79" i="20" s="1"/>
  <c r="U79" i="20" s="1"/>
  <c r="BG131" i="33"/>
  <c r="BH131" i="33" s="1"/>
  <c r="BI131" i="33" s="1"/>
  <c r="BJ131" i="33" s="1"/>
  <c r="BK131" i="33" s="1"/>
  <c r="BL131" i="33" s="1"/>
  <c r="BM131" i="33" s="1"/>
  <c r="BG139" i="33"/>
  <c r="BH139" i="33" s="1"/>
  <c r="BI139" i="33" s="1"/>
  <c r="BJ139" i="33" s="1"/>
  <c r="BK139" i="33" s="1"/>
  <c r="BL139" i="33" s="1"/>
  <c r="BM139" i="33" s="1"/>
  <c r="DO123" i="33"/>
  <c r="CS123" i="33"/>
  <c r="CU123" i="33"/>
  <c r="DV123" i="33"/>
  <c r="CV123" i="33"/>
  <c r="DQ123" i="33"/>
  <c r="CR123" i="33"/>
  <c r="CZ123" i="33"/>
  <c r="CY123" i="33"/>
  <c r="BG130" i="33"/>
  <c r="BH130" i="33" s="1"/>
  <c r="BI130" i="33" s="1"/>
  <c r="BJ130" i="33" s="1"/>
  <c r="BK130" i="33" s="1"/>
  <c r="BL130" i="33" s="1"/>
  <c r="BM130" i="33" s="1"/>
  <c r="BG138" i="33"/>
  <c r="BH138" i="33" s="1"/>
  <c r="BI138" i="33" s="1"/>
  <c r="BJ138" i="33" s="1"/>
  <c r="BK138" i="33" s="1"/>
  <c r="BL138" i="33" s="1"/>
  <c r="BM138" i="33" s="1"/>
  <c r="BG127" i="33"/>
  <c r="BH127" i="33" s="1"/>
  <c r="BI127" i="33" s="1"/>
  <c r="BJ127" i="33" s="1"/>
  <c r="BK127" i="33" s="1"/>
  <c r="BL127" i="33" s="1"/>
  <c r="BM127" i="33" s="1"/>
  <c r="BG129" i="33"/>
  <c r="BH129" i="33" s="1"/>
  <c r="BI129" i="33" s="1"/>
  <c r="BJ129" i="33" s="1"/>
  <c r="BK129" i="33" s="1"/>
  <c r="BL129" i="33" s="1"/>
  <c r="BM129" i="33" s="1"/>
  <c r="BG137" i="33"/>
  <c r="BH137" i="33" s="1"/>
  <c r="BI137" i="33" s="1"/>
  <c r="BJ137" i="33" s="1"/>
  <c r="BK137" i="33" s="1"/>
  <c r="BL137" i="33" s="1"/>
  <c r="BM137" i="33" s="1"/>
  <c r="DR123" i="33"/>
  <c r="DH123" i="33"/>
  <c r="DI123" i="33"/>
  <c r="DE123" i="33"/>
  <c r="DB123" i="33"/>
  <c r="DK123" i="33"/>
  <c r="DJ123" i="33"/>
  <c r="DN123" i="33"/>
  <c r="BZ23" i="23"/>
  <c r="N45" i="36"/>
  <c r="BS9" i="23"/>
  <c r="BR23" i="23"/>
  <c r="BR19" i="23"/>
  <c r="J44" i="36"/>
  <c r="BP8" i="23"/>
  <c r="E45" i="36"/>
  <c r="D44" i="36"/>
  <c r="C48" i="36"/>
  <c r="C46" i="36"/>
  <c r="BZ9" i="23"/>
  <c r="BZ10" i="23"/>
  <c r="BZ11" i="23"/>
  <c r="N48" i="36"/>
  <c r="BU9" i="23"/>
  <c r="CC9" i="23"/>
  <c r="CC13" i="23"/>
  <c r="O48" i="36"/>
  <c r="B25" i="36"/>
  <c r="V48" i="36"/>
  <c r="J46" i="36"/>
  <c r="A54" i="36"/>
  <c r="A64" i="36" s="1"/>
  <c r="A74" i="36" s="1"/>
  <c r="A84" i="36" s="1"/>
  <c r="A94" i="36" s="1"/>
  <c r="A104" i="36" s="1"/>
  <c r="A114" i="36" s="1"/>
  <c r="A124" i="36" s="1"/>
  <c r="A134" i="36" s="1"/>
  <c r="A144" i="36" s="1"/>
  <c r="A154" i="36" s="1"/>
  <c r="A164" i="36" s="1"/>
  <c r="A174" i="36" s="1"/>
  <c r="A184" i="36" s="1"/>
  <c r="A194" i="36" s="1"/>
  <c r="BU18" i="23"/>
  <c r="BU10" i="23"/>
  <c r="T45" i="36"/>
  <c r="E13" i="21"/>
  <c r="E16" i="21" s="1"/>
  <c r="E17" i="21" s="1"/>
  <c r="Q4" i="19" s="1"/>
  <c r="A27" i="2"/>
  <c r="A17" i="36" s="1"/>
  <c r="B17" i="36" s="1"/>
  <c r="AH14" i="36" s="1"/>
  <c r="A57" i="2"/>
  <c r="A61" i="2"/>
  <c r="A58" i="2"/>
  <c r="F8" i="19"/>
  <c r="W30" i="20" s="1"/>
  <c r="A60" i="2"/>
  <c r="A23" i="2"/>
  <c r="A9" i="36" s="1"/>
  <c r="B9" i="36" s="1"/>
  <c r="C9" i="36" s="1"/>
  <c r="A24" i="2"/>
  <c r="A11" i="36" s="1"/>
  <c r="B11" i="36" s="1"/>
  <c r="C11" i="36" s="1"/>
  <c r="C15" i="36"/>
  <c r="AH13" i="36"/>
  <c r="C16" i="36"/>
  <c r="G31" i="20"/>
  <c r="B36" i="20" s="1"/>
  <c r="B35" i="20"/>
  <c r="X46" i="20"/>
  <c r="V49" i="20" s="1"/>
  <c r="S48" i="36"/>
  <c r="S46" i="36"/>
  <c r="S45" i="36"/>
  <c r="BZ14" i="23"/>
  <c r="BZ8" i="23"/>
  <c r="R46" i="36"/>
  <c r="BX23" i="23"/>
  <c r="Q47" i="36"/>
  <c r="BS10" i="23"/>
  <c r="J47" i="36"/>
  <c r="AF19" i="23"/>
  <c r="H48" i="36"/>
  <c r="F45" i="36"/>
  <c r="F46" i="36"/>
  <c r="D46" i="36"/>
  <c r="C47" i="36"/>
  <c r="A46" i="36"/>
  <c r="BQ8" i="23"/>
  <c r="BQ9" i="23"/>
  <c r="BY9" i="23"/>
  <c r="BQ11" i="23"/>
  <c r="BQ12" i="23"/>
  <c r="BY12" i="23"/>
  <c r="BQ14" i="23"/>
  <c r="BY14" i="23"/>
  <c r="BQ15" i="23"/>
  <c r="BY15" i="23"/>
  <c r="BQ16" i="23"/>
  <c r="BY16" i="23"/>
  <c r="BQ17" i="23"/>
  <c r="BY17" i="23"/>
  <c r="BQ18" i="23"/>
  <c r="BQ19" i="23"/>
  <c r="BQ20" i="23"/>
  <c r="BY20" i="23"/>
  <c r="BQ21" i="23"/>
  <c r="BY21" i="23"/>
  <c r="BY22" i="23"/>
  <c r="BQ23" i="23"/>
  <c r="R48" i="36"/>
  <c r="N46" i="36"/>
  <c r="F44" i="36"/>
  <c r="N44" i="36"/>
  <c r="V44" i="36"/>
  <c r="I48" i="36"/>
  <c r="O47" i="36"/>
  <c r="I44" i="36"/>
  <c r="Q44" i="36"/>
  <c r="F48" i="36"/>
  <c r="T47" i="36"/>
  <c r="L47" i="36"/>
  <c r="P45" i="36"/>
  <c r="H45" i="36"/>
  <c r="BO8" i="23"/>
  <c r="BW8" i="23"/>
  <c r="BW9" i="23"/>
  <c r="BO11" i="23"/>
  <c r="BW11" i="23"/>
  <c r="BO14" i="23"/>
  <c r="BO15" i="23"/>
  <c r="BW15" i="23"/>
  <c r="BW16" i="23"/>
  <c r="BO18" i="23"/>
  <c r="BW18" i="23"/>
  <c r="BO19" i="23"/>
  <c r="BO20" i="23"/>
  <c r="BW21" i="23"/>
  <c r="BS23" i="23"/>
  <c r="B28" i="36"/>
  <c r="O44" i="36"/>
  <c r="P48" i="36"/>
  <c r="D16" i="21"/>
  <c r="D17" i="21" s="1"/>
  <c r="P4" i="19" s="1"/>
  <c r="G16" i="21"/>
  <c r="G17" i="21" s="1"/>
  <c r="S4" i="19" s="1"/>
  <c r="BO12" i="23"/>
  <c r="BQ22" i="23"/>
  <c r="W45" i="36"/>
  <c r="O45" i="36"/>
  <c r="BY23" i="23"/>
  <c r="A57" i="36"/>
  <c r="A67" i="36" s="1"/>
  <c r="A77" i="36" s="1"/>
  <c r="A87" i="36" s="1"/>
  <c r="A97" i="36" s="1"/>
  <c r="A107" i="36" s="1"/>
  <c r="A117" i="36" s="1"/>
  <c r="A127" i="36" s="1"/>
  <c r="A137" i="36" s="1"/>
  <c r="A147" i="36" s="1"/>
  <c r="A157" i="36" s="1"/>
  <c r="A167" i="36" s="1"/>
  <c r="A177" i="36" s="1"/>
  <c r="A187" i="36" s="1"/>
  <c r="A197" i="36" s="1"/>
  <c r="U48" i="36"/>
  <c r="U44" i="36"/>
  <c r="BZ17" i="23"/>
  <c r="BY19" i="23"/>
  <c r="BY13" i="23"/>
  <c r="BY11" i="23"/>
  <c r="BY10" i="23"/>
  <c r="Q46" i="36"/>
  <c r="U31" i="19"/>
  <c r="U32" i="19" s="1"/>
  <c r="P47" i="36"/>
  <c r="O46" i="36"/>
  <c r="N47" i="36"/>
  <c r="M48" i="36"/>
  <c r="M47" i="36"/>
  <c r="BT20" i="23"/>
  <c r="M46" i="36"/>
  <c r="M44" i="36"/>
  <c r="K47" i="36"/>
  <c r="K46" i="36"/>
  <c r="K45" i="36"/>
  <c r="BQ13" i="23"/>
  <c r="BQ10" i="23"/>
  <c r="J48" i="36"/>
  <c r="I45" i="36"/>
  <c r="I46" i="36"/>
  <c r="AE36" i="23"/>
  <c r="H47" i="36"/>
  <c r="H44" i="36"/>
  <c r="AE37" i="23"/>
  <c r="AE35" i="23"/>
  <c r="G47" i="36"/>
  <c r="G45" i="36"/>
  <c r="E44" i="36"/>
  <c r="D47" i="36"/>
  <c r="C44" i="36"/>
  <c r="A45" i="36"/>
  <c r="AF103" i="19"/>
  <c r="AF104" i="19" s="1"/>
  <c r="AF105" i="19" s="1"/>
  <c r="AF106" i="19" s="1"/>
  <c r="AF107" i="19" s="1"/>
  <c r="AF108" i="19" s="1"/>
  <c r="AF109" i="19" s="1"/>
  <c r="AF110" i="19" s="1"/>
  <c r="AF111" i="19" s="1"/>
  <c r="AF112" i="19" s="1"/>
  <c r="AF113" i="19" s="1"/>
  <c r="AF114" i="19" s="1"/>
  <c r="AF115" i="19" s="1"/>
  <c r="AF116" i="19" s="1"/>
  <c r="AF117" i="19" s="1"/>
  <c r="AF118" i="19" s="1"/>
  <c r="AF119" i="19" s="1"/>
  <c r="AF120" i="19" s="1"/>
  <c r="AF121" i="19" s="1"/>
  <c r="AF122" i="19" s="1"/>
  <c r="AF123" i="19" s="1"/>
  <c r="AF124" i="19" s="1"/>
  <c r="AF125" i="19" s="1"/>
  <c r="AF126" i="19" s="1"/>
  <c r="AF127" i="19" s="1"/>
  <c r="AF128" i="19" s="1"/>
  <c r="AF129" i="19" s="1"/>
  <c r="AF130" i="19" s="1"/>
  <c r="AF131" i="19" s="1"/>
  <c r="AF132" i="19" s="1"/>
  <c r="AF133" i="19" s="1"/>
  <c r="AF134" i="19" s="1"/>
  <c r="AF135" i="19" s="1"/>
  <c r="AF136" i="19" s="1"/>
  <c r="AF137" i="19" s="1"/>
  <c r="AF138" i="19" s="1"/>
  <c r="AF139" i="19" s="1"/>
  <c r="H32" i="19"/>
  <c r="I32" i="19"/>
  <c r="AG103" i="19"/>
  <c r="AG104" i="19" s="1"/>
  <c r="AG105" i="19" s="1"/>
  <c r="AG106" i="19" s="1"/>
  <c r="AG107" i="19" s="1"/>
  <c r="AG108" i="19" s="1"/>
  <c r="AG109" i="19" s="1"/>
  <c r="AG110" i="19" s="1"/>
  <c r="AG111" i="19" s="1"/>
  <c r="AG112" i="19" s="1"/>
  <c r="AG113" i="19" s="1"/>
  <c r="AG114" i="19" s="1"/>
  <c r="AG115" i="19" s="1"/>
  <c r="AG116" i="19" s="1"/>
  <c r="AG117" i="19" s="1"/>
  <c r="AG118" i="19" s="1"/>
  <c r="AG119" i="19" s="1"/>
  <c r="AG120" i="19" s="1"/>
  <c r="AG121" i="19" s="1"/>
  <c r="AG122" i="19" s="1"/>
  <c r="AG123" i="19" s="1"/>
  <c r="AG124" i="19" s="1"/>
  <c r="AG125" i="19" s="1"/>
  <c r="AG126" i="19" s="1"/>
  <c r="AG127" i="19" s="1"/>
  <c r="AG128" i="19" s="1"/>
  <c r="AG129" i="19" s="1"/>
  <c r="AG130" i="19" s="1"/>
  <c r="AG131" i="19" s="1"/>
  <c r="AG132" i="19" s="1"/>
  <c r="AG133" i="19" s="1"/>
  <c r="AG134" i="19" s="1"/>
  <c r="AG135" i="19" s="1"/>
  <c r="AG136" i="19" s="1"/>
  <c r="AG137" i="19" s="1"/>
  <c r="AG138" i="19" s="1"/>
  <c r="AG139" i="19" s="1"/>
  <c r="AH103" i="19"/>
  <c r="AH104" i="19" s="1"/>
  <c r="AH105" i="19" s="1"/>
  <c r="AH106" i="19" s="1"/>
  <c r="AH107" i="19" s="1"/>
  <c r="AH108" i="19" s="1"/>
  <c r="AH109" i="19" s="1"/>
  <c r="AH110" i="19" s="1"/>
  <c r="AH111" i="19" s="1"/>
  <c r="AH112" i="19" s="1"/>
  <c r="AH113" i="19" s="1"/>
  <c r="AH114" i="19" s="1"/>
  <c r="AH115" i="19" s="1"/>
  <c r="AH116" i="19" s="1"/>
  <c r="AH117" i="19" s="1"/>
  <c r="AH118" i="19" s="1"/>
  <c r="AH119" i="19" s="1"/>
  <c r="AH120" i="19" s="1"/>
  <c r="AH121" i="19" s="1"/>
  <c r="AH122" i="19" s="1"/>
  <c r="AH123" i="19" s="1"/>
  <c r="AH124" i="19" s="1"/>
  <c r="AH125" i="19" s="1"/>
  <c r="AH126" i="19" s="1"/>
  <c r="AH127" i="19" s="1"/>
  <c r="AH128" i="19" s="1"/>
  <c r="AH129" i="19" s="1"/>
  <c r="AH130" i="19" s="1"/>
  <c r="AH131" i="19" s="1"/>
  <c r="AH132" i="19" s="1"/>
  <c r="AH133" i="19" s="1"/>
  <c r="AH134" i="19" s="1"/>
  <c r="AH135" i="19" s="1"/>
  <c r="AH136" i="19" s="1"/>
  <c r="AH137" i="19" s="1"/>
  <c r="AH138" i="19" s="1"/>
  <c r="AH139" i="19" s="1"/>
  <c r="J32" i="19"/>
  <c r="AI103" i="19"/>
  <c r="AI104" i="19" s="1"/>
  <c r="AI105" i="19" s="1"/>
  <c r="AI106" i="19" s="1"/>
  <c r="AI107" i="19" s="1"/>
  <c r="AI108" i="19" s="1"/>
  <c r="AI109" i="19" s="1"/>
  <c r="AI110" i="19" s="1"/>
  <c r="AI111" i="19" s="1"/>
  <c r="AI112" i="19" s="1"/>
  <c r="AI113" i="19" s="1"/>
  <c r="AI114" i="19" s="1"/>
  <c r="AI115" i="19" s="1"/>
  <c r="AI116" i="19" s="1"/>
  <c r="AI117" i="19" s="1"/>
  <c r="AI118" i="19" s="1"/>
  <c r="AI119" i="19" s="1"/>
  <c r="AI120" i="19" s="1"/>
  <c r="AI121" i="19" s="1"/>
  <c r="AI122" i="19" s="1"/>
  <c r="AI123" i="19" s="1"/>
  <c r="AI124" i="19" s="1"/>
  <c r="AI125" i="19" s="1"/>
  <c r="AI126" i="19" s="1"/>
  <c r="AI127" i="19" s="1"/>
  <c r="AI128" i="19" s="1"/>
  <c r="AI129" i="19" s="1"/>
  <c r="AI130" i="19" s="1"/>
  <c r="AI131" i="19" s="1"/>
  <c r="AI132" i="19" s="1"/>
  <c r="AI133" i="19" s="1"/>
  <c r="AI134" i="19" s="1"/>
  <c r="AI135" i="19" s="1"/>
  <c r="AI136" i="19" s="1"/>
  <c r="AI137" i="19" s="1"/>
  <c r="AI138" i="19" s="1"/>
  <c r="AI139" i="19" s="1"/>
  <c r="K32" i="19"/>
  <c r="AE29" i="23"/>
  <c r="B35" i="36"/>
  <c r="B44" i="36" s="1"/>
  <c r="A48" i="36"/>
  <c r="V46" i="36"/>
  <c r="L45" i="36"/>
  <c r="D45" i="36"/>
  <c r="U46" i="36"/>
  <c r="E46" i="36"/>
  <c r="A55" i="36"/>
  <c r="A65" i="36" s="1"/>
  <c r="A75" i="36" s="1"/>
  <c r="A85" i="36" s="1"/>
  <c r="A95" i="36" s="1"/>
  <c r="A105" i="36" s="1"/>
  <c r="A115" i="36" s="1"/>
  <c r="A125" i="36" s="1"/>
  <c r="A135" i="36" s="1"/>
  <c r="A145" i="36" s="1"/>
  <c r="A155" i="36" s="1"/>
  <c r="A165" i="36" s="1"/>
  <c r="A175" i="36" s="1"/>
  <c r="A185" i="36" s="1"/>
  <c r="A195" i="36" s="1"/>
  <c r="F10" i="2"/>
  <c r="BP4" i="20"/>
  <c r="V2" i="20" s="1"/>
  <c r="BP5" i="20"/>
  <c r="BV5" i="20"/>
  <c r="BZ5" i="20"/>
  <c r="BR5" i="20"/>
  <c r="BT5" i="20"/>
  <c r="BX5" i="20"/>
  <c r="AE30" i="23" l="1"/>
  <c r="BN135" i="33"/>
  <c r="BA23" i="33"/>
  <c r="BA63" i="33"/>
  <c r="BA40" i="33"/>
  <c r="BA138" i="33" s="1"/>
  <c r="BA25" i="33"/>
  <c r="BA105" i="33" s="1"/>
  <c r="BA8" i="33"/>
  <c r="BA13" i="33"/>
  <c r="BA30" i="33"/>
  <c r="BA116" i="33" s="1"/>
  <c r="BA18" i="33"/>
  <c r="BA28" i="33"/>
  <c r="BA33" i="33"/>
  <c r="CC38" i="33"/>
  <c r="BA35" i="33"/>
  <c r="BA127" i="33" s="1"/>
  <c r="BA38" i="33"/>
  <c r="BA15" i="33"/>
  <c r="BA83" i="33" s="1"/>
  <c r="BA10" i="33"/>
  <c r="BA72" i="33" s="1"/>
  <c r="BA20" i="33"/>
  <c r="BA94" i="33" s="1"/>
  <c r="AE35" i="33"/>
  <c r="AE127" i="33" s="1"/>
  <c r="AE23" i="33"/>
  <c r="AE15" i="33"/>
  <c r="AE83" i="33" s="1"/>
  <c r="AE38" i="33"/>
  <c r="AE10" i="33"/>
  <c r="AE72" i="33" s="1"/>
  <c r="AE8" i="33"/>
  <c r="AE40" i="33"/>
  <c r="AE138" i="33" s="1"/>
  <c r="AE28" i="33"/>
  <c r="CC16" i="33"/>
  <c r="AE33" i="33"/>
  <c r="AE30" i="33"/>
  <c r="AE116" i="33" s="1"/>
  <c r="AE13" i="33"/>
  <c r="AE25" i="33"/>
  <c r="AE105" i="33" s="1"/>
  <c r="AE63" i="33"/>
  <c r="AE20" i="33"/>
  <c r="AE94" i="33" s="1"/>
  <c r="AE18" i="33"/>
  <c r="U30" i="33"/>
  <c r="U116" i="33" s="1"/>
  <c r="U10" i="33"/>
  <c r="U72" i="33" s="1"/>
  <c r="U18" i="33"/>
  <c r="U13" i="33"/>
  <c r="U63" i="33"/>
  <c r="U40" i="33"/>
  <c r="U138" i="33" s="1"/>
  <c r="CC6" i="33"/>
  <c r="U25" i="33"/>
  <c r="U105" i="33" s="1"/>
  <c r="U15" i="33"/>
  <c r="U83" i="33" s="1"/>
  <c r="U20" i="33"/>
  <c r="U94" i="33" s="1"/>
  <c r="U35" i="33"/>
  <c r="U127" i="33" s="1"/>
  <c r="U28" i="33"/>
  <c r="U33" i="33"/>
  <c r="U38" i="33"/>
  <c r="U8" i="33"/>
  <c r="U23" i="33"/>
  <c r="X8" i="33"/>
  <c r="X10" i="33"/>
  <c r="X72" i="33" s="1"/>
  <c r="X23" i="33"/>
  <c r="X13" i="33"/>
  <c r="X15" i="33"/>
  <c r="X83" i="33" s="1"/>
  <c r="X33" i="33"/>
  <c r="X18" i="33"/>
  <c r="X25" i="33"/>
  <c r="X105" i="33" s="1"/>
  <c r="X63" i="33"/>
  <c r="X40" i="33"/>
  <c r="X138" i="33" s="1"/>
  <c r="X28" i="33"/>
  <c r="CC9" i="33"/>
  <c r="X35" i="33"/>
  <c r="X127" i="33" s="1"/>
  <c r="X30" i="33"/>
  <c r="X116" i="33" s="1"/>
  <c r="X38" i="33"/>
  <c r="X20" i="33"/>
  <c r="X94" i="33" s="1"/>
  <c r="AN10" i="33"/>
  <c r="AN72" i="33" s="1"/>
  <c r="CC25" i="33"/>
  <c r="AN63" i="33"/>
  <c r="AN28" i="33"/>
  <c r="AN18" i="33"/>
  <c r="AN23" i="33"/>
  <c r="AN30" i="33"/>
  <c r="AN116" i="33" s="1"/>
  <c r="AN40" i="33"/>
  <c r="AN138" i="33" s="1"/>
  <c r="AN13" i="33"/>
  <c r="AN20" i="33"/>
  <c r="AN94" i="33" s="1"/>
  <c r="AN38" i="33"/>
  <c r="AN8" i="33"/>
  <c r="AN33" i="33"/>
  <c r="AN25" i="33"/>
  <c r="AN105" i="33" s="1"/>
  <c r="AN35" i="33"/>
  <c r="AN127" i="33" s="1"/>
  <c r="AN15" i="33"/>
  <c r="AN83" i="33" s="1"/>
  <c r="AT20" i="33"/>
  <c r="AT94" i="33" s="1"/>
  <c r="AT23" i="33"/>
  <c r="AT13" i="33"/>
  <c r="AT38" i="33"/>
  <c r="AT8" i="33"/>
  <c r="AT63" i="33"/>
  <c r="AT10" i="33"/>
  <c r="AT72" i="33" s="1"/>
  <c r="AT15" i="33"/>
  <c r="AT83" i="33" s="1"/>
  <c r="AT40" i="33"/>
  <c r="AT138" i="33" s="1"/>
  <c r="AT18" i="33"/>
  <c r="AT33" i="33"/>
  <c r="AT28" i="33"/>
  <c r="AT30" i="33"/>
  <c r="AT116" i="33" s="1"/>
  <c r="CC31" i="33"/>
  <c r="AT25" i="33"/>
  <c r="AT105" i="33" s="1"/>
  <c r="AT35" i="33"/>
  <c r="AT127" i="33" s="1"/>
  <c r="V38" i="33"/>
  <c r="V30" i="33"/>
  <c r="V116" i="33" s="1"/>
  <c r="V40" i="33"/>
  <c r="V138" i="33" s="1"/>
  <c r="V15" i="33"/>
  <c r="V83" i="33" s="1"/>
  <c r="V10" i="33"/>
  <c r="V72" i="33" s="1"/>
  <c r="V63" i="33"/>
  <c r="V23" i="33"/>
  <c r="V8" i="33"/>
  <c r="V18" i="33"/>
  <c r="CC7" i="33"/>
  <c r="V13" i="33"/>
  <c r="V33" i="33"/>
  <c r="V35" i="33"/>
  <c r="V127" i="33" s="1"/>
  <c r="V20" i="33"/>
  <c r="V94" i="33" s="1"/>
  <c r="V28" i="33"/>
  <c r="V25" i="33"/>
  <c r="V105" i="33" s="1"/>
  <c r="AH13" i="33"/>
  <c r="AH38" i="33"/>
  <c r="AH40" i="33"/>
  <c r="AH138" i="33" s="1"/>
  <c r="AH15" i="33"/>
  <c r="AH83" i="33" s="1"/>
  <c r="AH33" i="33"/>
  <c r="AH25" i="33"/>
  <c r="AH105" i="33" s="1"/>
  <c r="CC19" i="33"/>
  <c r="AH20" i="33"/>
  <c r="AH94" i="33" s="1"/>
  <c r="AH8" i="33"/>
  <c r="AH35" i="33"/>
  <c r="AH127" i="33" s="1"/>
  <c r="AH63" i="33"/>
  <c r="AH10" i="33"/>
  <c r="AH72" i="33" s="1"/>
  <c r="AH28" i="33"/>
  <c r="AH18" i="33"/>
  <c r="AH23" i="33"/>
  <c r="AH30" i="33"/>
  <c r="AH116" i="33" s="1"/>
  <c r="BQ126" i="33"/>
  <c r="BU126" i="33" s="1"/>
  <c r="CA126" i="33" s="1"/>
  <c r="CG126" i="33" s="1"/>
  <c r="AM63" i="33"/>
  <c r="AM8" i="33"/>
  <c r="AM13" i="33"/>
  <c r="AM10" i="33"/>
  <c r="AM72" i="33" s="1"/>
  <c r="AM15" i="33"/>
  <c r="AM83" i="33" s="1"/>
  <c r="AM25" i="33"/>
  <c r="AM105" i="33" s="1"/>
  <c r="AM28" i="33"/>
  <c r="AM33" i="33"/>
  <c r="AM38" i="33"/>
  <c r="AM20" i="33"/>
  <c r="AM94" i="33" s="1"/>
  <c r="CC24" i="33"/>
  <c r="AM30" i="33"/>
  <c r="AM116" i="33" s="1"/>
  <c r="AM18" i="33"/>
  <c r="AM40" i="33"/>
  <c r="AM138" i="33" s="1"/>
  <c r="AM35" i="33"/>
  <c r="AM127" i="33" s="1"/>
  <c r="AM23" i="33"/>
  <c r="AW8" i="33"/>
  <c r="AW40" i="33"/>
  <c r="AW138" i="33" s="1"/>
  <c r="AW13" i="33"/>
  <c r="AW63" i="33"/>
  <c r="CC34" i="33"/>
  <c r="AW28" i="33"/>
  <c r="AW30" i="33"/>
  <c r="AW116" i="33" s="1"/>
  <c r="AW33" i="33"/>
  <c r="AW15" i="33"/>
  <c r="AW83" i="33" s="1"/>
  <c r="AW38" i="33"/>
  <c r="AW10" i="33"/>
  <c r="AW72" i="33" s="1"/>
  <c r="AW20" i="33"/>
  <c r="AW94" i="33" s="1"/>
  <c r="AW25" i="33"/>
  <c r="AW105" i="33" s="1"/>
  <c r="AW35" i="33"/>
  <c r="AW127" i="33" s="1"/>
  <c r="AW18" i="33"/>
  <c r="AW23" i="33"/>
  <c r="AC30" i="20"/>
  <c r="T79" i="20"/>
  <c r="BJ79" i="20" s="1"/>
  <c r="U78" i="20"/>
  <c r="Q68" i="20" s="1"/>
  <c r="AD31" i="23"/>
  <c r="AD37" i="23"/>
  <c r="AD35" i="23"/>
  <c r="AD30" i="23"/>
  <c r="AF34" i="23"/>
  <c r="AD32" i="23"/>
  <c r="AF37" i="23"/>
  <c r="AF33" i="23"/>
  <c r="AD34" i="23"/>
  <c r="AF36" i="23"/>
  <c r="AF35" i="23"/>
  <c r="AD33" i="23"/>
  <c r="AF32" i="23"/>
  <c r="AF31" i="23"/>
  <c r="AF29" i="23"/>
  <c r="T77" i="20"/>
  <c r="AH77" i="20" s="1"/>
  <c r="U76" i="20"/>
  <c r="U66" i="20" s="1"/>
  <c r="AD29" i="23"/>
  <c r="AD36" i="23"/>
  <c r="AF30" i="23"/>
  <c r="BX126" i="33"/>
  <c r="CD126" i="33" s="1"/>
  <c r="CJ126" i="33" s="1"/>
  <c r="BS126" i="33"/>
  <c r="BY126" i="33" s="1"/>
  <c r="CE126" i="33" s="1"/>
  <c r="BR126" i="33"/>
  <c r="BW126" i="33" s="1"/>
  <c r="CC126" i="33" s="1"/>
  <c r="AY4" i="33"/>
  <c r="AP4" i="33"/>
  <c r="AF4" i="33"/>
  <c r="AV4" i="33"/>
  <c r="CC5" i="33"/>
  <c r="CC42" i="33" s="1"/>
  <c r="T63" i="33"/>
  <c r="T40" i="33"/>
  <c r="T138" i="33" s="1"/>
  <c r="T38" i="33"/>
  <c r="T10" i="33"/>
  <c r="T72" i="33" s="1"/>
  <c r="T8" i="33"/>
  <c r="T35" i="33"/>
  <c r="T127" i="33" s="1"/>
  <c r="T18" i="33"/>
  <c r="T25" i="33"/>
  <c r="T105" i="33" s="1"/>
  <c r="T15" i="33"/>
  <c r="T83" i="33" s="1"/>
  <c r="T13" i="33"/>
  <c r="T28" i="33"/>
  <c r="T30" i="33"/>
  <c r="T116" i="33" s="1"/>
  <c r="T33" i="33"/>
  <c r="T20" i="33"/>
  <c r="T94" i="33" s="1"/>
  <c r="T23" i="33"/>
  <c r="BX128" i="33"/>
  <c r="CD128" i="33" s="1"/>
  <c r="CJ128" i="33" s="1"/>
  <c r="BS128" i="33"/>
  <c r="BY128" i="33" s="1"/>
  <c r="CE128" i="33" s="1"/>
  <c r="AD63" i="33"/>
  <c r="AD38" i="33"/>
  <c r="AD10" i="33"/>
  <c r="AD72" i="33" s="1"/>
  <c r="AD8" i="33"/>
  <c r="CC15" i="33"/>
  <c r="AD40" i="33"/>
  <c r="AD138" i="33" s="1"/>
  <c r="AD28" i="33"/>
  <c r="AD25" i="33"/>
  <c r="AD105" i="33" s="1"/>
  <c r="AD30" i="33"/>
  <c r="AD116" i="33" s="1"/>
  <c r="AD18" i="33"/>
  <c r="AD13" i="33"/>
  <c r="AD20" i="33"/>
  <c r="AD94" i="33" s="1"/>
  <c r="AD23" i="33"/>
  <c r="AD15" i="33"/>
  <c r="AD83" i="33" s="1"/>
  <c r="AD33" i="33"/>
  <c r="AD35" i="33"/>
  <c r="AD127" i="33" s="1"/>
  <c r="AJ63" i="33"/>
  <c r="AJ38" i="33"/>
  <c r="AJ40" i="33"/>
  <c r="AJ138" i="33" s="1"/>
  <c r="AJ8" i="33"/>
  <c r="AJ10" i="33"/>
  <c r="AJ72" i="33" s="1"/>
  <c r="CC21" i="33"/>
  <c r="AJ20" i="33"/>
  <c r="AJ94" i="33" s="1"/>
  <c r="AJ28" i="33"/>
  <c r="AJ30" i="33"/>
  <c r="AJ116" i="33" s="1"/>
  <c r="AJ33" i="33"/>
  <c r="AJ15" i="33"/>
  <c r="AJ83" i="33" s="1"/>
  <c r="AJ35" i="33"/>
  <c r="AJ127" i="33" s="1"/>
  <c r="AJ23" i="33"/>
  <c r="AJ18" i="33"/>
  <c r="AJ25" i="33"/>
  <c r="AJ105" i="33" s="1"/>
  <c r="AJ13" i="33"/>
  <c r="BN134" i="33"/>
  <c r="BO134" i="33"/>
  <c r="AS63" i="33"/>
  <c r="AS38" i="33"/>
  <c r="AS10" i="33"/>
  <c r="AS72" i="33" s="1"/>
  <c r="AS40" i="33"/>
  <c r="AS138" i="33" s="1"/>
  <c r="AS8" i="33"/>
  <c r="CC30" i="33"/>
  <c r="AS33" i="33"/>
  <c r="AS15" i="33"/>
  <c r="AS83" i="33" s="1"/>
  <c r="AS30" i="33"/>
  <c r="AS116" i="33" s="1"/>
  <c r="AS35" i="33"/>
  <c r="AS127" i="33" s="1"/>
  <c r="AS18" i="33"/>
  <c r="AS20" i="33"/>
  <c r="AS94" i="33" s="1"/>
  <c r="AS13" i="33"/>
  <c r="AS28" i="33"/>
  <c r="AS23" i="33"/>
  <c r="AS25" i="33"/>
  <c r="AS105" i="33" s="1"/>
  <c r="AA63" i="33"/>
  <c r="AA40" i="33"/>
  <c r="AA138" i="33" s="1"/>
  <c r="AA38" i="33"/>
  <c r="AA10" i="33"/>
  <c r="AA72" i="33" s="1"/>
  <c r="AA8" i="33"/>
  <c r="CC12" i="33"/>
  <c r="AA28" i="33"/>
  <c r="AA30" i="33"/>
  <c r="AA116" i="33" s="1"/>
  <c r="AA23" i="33"/>
  <c r="AA33" i="33"/>
  <c r="AA13" i="33"/>
  <c r="AA25" i="33"/>
  <c r="AA105" i="33" s="1"/>
  <c r="AA35" i="33"/>
  <c r="AA127" i="33" s="1"/>
  <c r="AA18" i="33"/>
  <c r="AA20" i="33"/>
  <c r="AA94" i="33" s="1"/>
  <c r="AA15" i="33"/>
  <c r="AA83" i="33" s="1"/>
  <c r="BU128" i="33"/>
  <c r="CA128" i="33" s="1"/>
  <c r="CG128" i="33" s="1"/>
  <c r="AU4" i="33"/>
  <c r="BO137" i="33"/>
  <c r="BP137" i="33" s="1"/>
  <c r="BN137" i="33"/>
  <c r="AX4" i="33"/>
  <c r="BV136" i="33"/>
  <c r="CB136" i="33" s="1"/>
  <c r="CH136" i="33" s="1"/>
  <c r="BQ136" i="33"/>
  <c r="BU136" i="33" s="1"/>
  <c r="CA136" i="33" s="1"/>
  <c r="BV124" i="33"/>
  <c r="CB124" i="33" s="1"/>
  <c r="CH124" i="33" s="1"/>
  <c r="Y4" i="33"/>
  <c r="AQ4" i="33"/>
  <c r="BB38" i="33"/>
  <c r="BB8" i="33"/>
  <c r="BB40" i="33"/>
  <c r="BB138" i="33" s="1"/>
  <c r="BB10" i="33"/>
  <c r="BB72" i="33" s="1"/>
  <c r="BB63" i="33"/>
  <c r="CC39" i="33"/>
  <c r="BB13" i="33"/>
  <c r="BB33" i="33"/>
  <c r="BB18" i="33"/>
  <c r="BB15" i="33"/>
  <c r="BB83" i="33" s="1"/>
  <c r="BB35" i="33"/>
  <c r="BB127" i="33" s="1"/>
  <c r="BB20" i="33"/>
  <c r="BB94" i="33" s="1"/>
  <c r="BB23" i="33"/>
  <c r="BB28" i="33"/>
  <c r="BB25" i="33"/>
  <c r="BB105" i="33" s="1"/>
  <c r="BB30" i="33"/>
  <c r="BB116" i="33" s="1"/>
  <c r="AG4" i="33"/>
  <c r="BN131" i="33"/>
  <c r="BO131" i="33"/>
  <c r="BN129" i="33"/>
  <c r="BO129" i="33"/>
  <c r="BQ129" i="33" s="1"/>
  <c r="T80" i="20"/>
  <c r="AE76" i="20" s="1"/>
  <c r="AR4" i="33"/>
  <c r="BO127" i="33"/>
  <c r="BP127" i="33" s="1"/>
  <c r="BX127" i="33" s="1"/>
  <c r="CD127" i="33" s="1"/>
  <c r="CJ127" i="33" s="1"/>
  <c r="BN127" i="33"/>
  <c r="BC4" i="33"/>
  <c r="BN125" i="33"/>
  <c r="BO125" i="33"/>
  <c r="BQ125" i="33" s="1"/>
  <c r="BP125" i="33"/>
  <c r="BX125" i="33" s="1"/>
  <c r="CD125" i="33" s="1"/>
  <c r="CJ125" i="33" s="1"/>
  <c r="AK63" i="33"/>
  <c r="AK38" i="33"/>
  <c r="AK10" i="33"/>
  <c r="AK72" i="33" s="1"/>
  <c r="AK8" i="33"/>
  <c r="AK40" i="33"/>
  <c r="AK138" i="33" s="1"/>
  <c r="CC22" i="33"/>
  <c r="AK20" i="33"/>
  <c r="AK94" i="33" s="1"/>
  <c r="AK28" i="33"/>
  <c r="AK30" i="33"/>
  <c r="AK116" i="33" s="1"/>
  <c r="AK23" i="33"/>
  <c r="AK13" i="33"/>
  <c r="AK33" i="33"/>
  <c r="AK18" i="33"/>
  <c r="AK15" i="33"/>
  <c r="AK83" i="33" s="1"/>
  <c r="AK35" i="33"/>
  <c r="AK127" i="33" s="1"/>
  <c r="AK25" i="33"/>
  <c r="AK105" i="33" s="1"/>
  <c r="BS136" i="33"/>
  <c r="BY136" i="33" s="1"/>
  <c r="CE136" i="33" s="1"/>
  <c r="CK136" i="33" s="1"/>
  <c r="AZ63" i="33"/>
  <c r="AZ38" i="33"/>
  <c r="AZ8" i="33"/>
  <c r="AZ40" i="33"/>
  <c r="AZ138" i="33" s="1"/>
  <c r="AZ10" i="33"/>
  <c r="AZ72" i="33" s="1"/>
  <c r="CC37" i="33"/>
  <c r="AZ28" i="33"/>
  <c r="AZ23" i="33"/>
  <c r="AZ30" i="33"/>
  <c r="AZ116" i="33" s="1"/>
  <c r="AZ13" i="33"/>
  <c r="AZ25" i="33"/>
  <c r="AZ105" i="33" s="1"/>
  <c r="AZ18" i="33"/>
  <c r="AZ15" i="33"/>
  <c r="AZ83" i="33" s="1"/>
  <c r="AZ35" i="33"/>
  <c r="AZ127" i="33" s="1"/>
  <c r="AZ20" i="33"/>
  <c r="AZ94" i="33" s="1"/>
  <c r="AZ33" i="33"/>
  <c r="BU135" i="33"/>
  <c r="CA135" i="33" s="1"/>
  <c r="CG135" i="33" s="1"/>
  <c r="BO139" i="33"/>
  <c r="BQ139" i="33" s="1"/>
  <c r="BU139" i="33" s="1"/>
  <c r="CA139" i="33" s="1"/>
  <c r="BN139" i="33"/>
  <c r="AC4" i="33"/>
  <c r="AI4" i="33"/>
  <c r="BN138" i="33"/>
  <c r="BO138" i="33"/>
  <c r="BP138" i="33" s="1"/>
  <c r="BX138" i="33" s="1"/>
  <c r="CD138" i="33" s="1"/>
  <c r="CJ138" i="33" s="1"/>
  <c r="AB4" i="33"/>
  <c r="BO132" i="33"/>
  <c r="BQ132" i="33" s="1"/>
  <c r="BU132" i="33" s="1"/>
  <c r="CA132" i="33" s="1"/>
  <c r="CG132" i="33" s="1"/>
  <c r="BN132" i="33"/>
  <c r="BR136" i="33"/>
  <c r="BW136" i="33" s="1"/>
  <c r="CC136" i="33" s="1"/>
  <c r="CI136" i="33" s="1"/>
  <c r="BT135" i="33"/>
  <c r="BZ135" i="33" s="1"/>
  <c r="CF135" i="33" s="1"/>
  <c r="BP135" i="33"/>
  <c r="BV135" i="33"/>
  <c r="CB135" i="33" s="1"/>
  <c r="CH135" i="33" s="1"/>
  <c r="BP124" i="33"/>
  <c r="BR124" i="33" s="1"/>
  <c r="BW124" i="33" s="1"/>
  <c r="CC124" i="33" s="1"/>
  <c r="CI124" i="33" s="1"/>
  <c r="AO4" i="33"/>
  <c r="AL4" i="33"/>
  <c r="BN130" i="33"/>
  <c r="BO130" i="33"/>
  <c r="BP130" i="33" s="1"/>
  <c r="BX130" i="33" s="1"/>
  <c r="CD130" i="33" s="1"/>
  <c r="CJ130" i="33" s="1"/>
  <c r="Z4" i="33"/>
  <c r="BV133" i="33"/>
  <c r="CB133" i="33" s="1"/>
  <c r="CH133" i="33" s="1"/>
  <c r="BP133" i="33"/>
  <c r="BR133" i="33" s="1"/>
  <c r="BW133" i="33" s="1"/>
  <c r="CC133" i="33" s="1"/>
  <c r="BT133" i="33"/>
  <c r="BZ133" i="33" s="1"/>
  <c r="CF133" i="33" s="1"/>
  <c r="BV126" i="33"/>
  <c r="CB126" i="33" s="1"/>
  <c r="CH126" i="33" s="1"/>
  <c r="W40" i="33"/>
  <c r="W138" i="33" s="1"/>
  <c r="W63" i="33"/>
  <c r="W38" i="33"/>
  <c r="W8" i="33"/>
  <c r="CC8" i="33"/>
  <c r="W10" i="33"/>
  <c r="W72" i="33" s="1"/>
  <c r="W33" i="33"/>
  <c r="W15" i="33"/>
  <c r="W83" i="33" s="1"/>
  <c r="W35" i="33"/>
  <c r="W127" i="33" s="1"/>
  <c r="W23" i="33"/>
  <c r="W18" i="33"/>
  <c r="W25" i="33"/>
  <c r="W105" i="33" s="1"/>
  <c r="W30" i="33"/>
  <c r="W116" i="33" s="1"/>
  <c r="W20" i="33"/>
  <c r="W94" i="33" s="1"/>
  <c r="W28" i="33"/>
  <c r="W13" i="33"/>
  <c r="BQ124" i="33"/>
  <c r="BU124" i="33" s="1"/>
  <c r="CA124" i="33" s="1"/>
  <c r="CG124" i="33" s="1"/>
  <c r="C30" i="20"/>
  <c r="D30" i="20" s="1"/>
  <c r="A25" i="2"/>
  <c r="A13" i="36" s="1"/>
  <c r="B13" i="36" s="1"/>
  <c r="AH12" i="36" s="1"/>
  <c r="C12" i="36"/>
  <c r="AH11" i="36"/>
  <c r="C17" i="36"/>
  <c r="C18" i="36"/>
  <c r="C10" i="36"/>
  <c r="AH10" i="36"/>
  <c r="AV46" i="23"/>
  <c r="A59" i="2"/>
  <c r="Z76" i="20"/>
  <c r="AZ76" i="20"/>
  <c r="AP76" i="20"/>
  <c r="AV76" i="20"/>
  <c r="BF76" i="20"/>
  <c r="BJ76" i="20"/>
  <c r="X76" i="20"/>
  <c r="AL76" i="20"/>
  <c r="AR76" i="20"/>
  <c r="BH76" i="20"/>
  <c r="AD76" i="20"/>
  <c r="AN76" i="20"/>
  <c r="BB76" i="20"/>
  <c r="BL76" i="20"/>
  <c r="AJ76" i="20"/>
  <c r="AF76" i="20"/>
  <c r="BD76" i="20"/>
  <c r="AB76" i="20"/>
  <c r="AH76" i="20"/>
  <c r="AT76" i="20"/>
  <c r="AX76" i="20"/>
  <c r="Q69" i="20"/>
  <c r="U69" i="20"/>
  <c r="AT79" i="20"/>
  <c r="AM79" i="20"/>
  <c r="BH79" i="20"/>
  <c r="AF79" i="20"/>
  <c r="AH79" i="20"/>
  <c r="AJ79" i="20"/>
  <c r="AH78" i="20"/>
  <c r="AN78" i="20"/>
  <c r="AR78" i="20"/>
  <c r="AX78" i="20"/>
  <c r="BL78" i="20"/>
  <c r="Z78" i="20"/>
  <c r="X78" i="20"/>
  <c r="AF78" i="20"/>
  <c r="AP78" i="20"/>
  <c r="AT78" i="20"/>
  <c r="AV78" i="20"/>
  <c r="AJ78" i="20"/>
  <c r="BD78" i="20"/>
  <c r="AB78" i="20"/>
  <c r="BH78" i="20"/>
  <c r="BJ78" i="20"/>
  <c r="AL78" i="20"/>
  <c r="AD78" i="20"/>
  <c r="BB78" i="20"/>
  <c r="BF78" i="20"/>
  <c r="AZ78" i="20"/>
  <c r="Q70" i="20"/>
  <c r="U70" i="20"/>
  <c r="Q67" i="20"/>
  <c r="U67" i="20"/>
  <c r="AA5" i="20"/>
  <c r="H6" i="36" s="1"/>
  <c r="AM7" i="36" s="1"/>
  <c r="A70" i="36" s="1"/>
  <c r="B49" i="19"/>
  <c r="B67" i="19" s="1"/>
  <c r="G86" i="19" s="1"/>
  <c r="W5" i="20"/>
  <c r="D6" i="36" s="1"/>
  <c r="AI7" i="36" s="1"/>
  <c r="A50" i="36" s="1"/>
  <c r="B47" i="19"/>
  <c r="B65" i="19" s="1"/>
  <c r="G84" i="19" s="1"/>
  <c r="Y5" i="20"/>
  <c r="F6" i="36" s="1"/>
  <c r="AK7" i="36" s="1"/>
  <c r="A60" i="36" s="1"/>
  <c r="B48" i="19"/>
  <c r="B66" i="19" s="1"/>
  <c r="G85" i="19" s="1"/>
  <c r="B50" i="19"/>
  <c r="AE50" i="19" s="1"/>
  <c r="AC5" i="20"/>
  <c r="J6" i="36" s="1"/>
  <c r="AO7" i="36" s="1"/>
  <c r="AE5" i="20"/>
  <c r="L6" i="36" s="1"/>
  <c r="AQ7" i="36" s="1"/>
  <c r="A90" i="36" s="1"/>
  <c r="B51" i="19"/>
  <c r="AE51" i="19" s="1"/>
  <c r="AG5" i="20"/>
  <c r="N6" i="36" s="1"/>
  <c r="AS7" i="36" s="1"/>
  <c r="A100" i="36" s="1"/>
  <c r="B52" i="19"/>
  <c r="AE52" i="19" s="1"/>
  <c r="CB2" i="20"/>
  <c r="BS2" i="20"/>
  <c r="CB3" i="20"/>
  <c r="BN20" i="20"/>
  <c r="BN15" i="20"/>
  <c r="CB5" i="20"/>
  <c r="CF5" i="20"/>
  <c r="BN27" i="20"/>
  <c r="BN26" i="20"/>
  <c r="BN11" i="20"/>
  <c r="BN25" i="20"/>
  <c r="BN24" i="20"/>
  <c r="BN9" i="20"/>
  <c r="BN14" i="20"/>
  <c r="CN5" i="20"/>
  <c r="BN16" i="20"/>
  <c r="BN12" i="20"/>
  <c r="CJ5" i="20"/>
  <c r="CP5" i="20"/>
  <c r="BN19" i="20"/>
  <c r="BN22" i="20"/>
  <c r="BN18" i="20"/>
  <c r="BN10" i="20"/>
  <c r="BN17" i="20"/>
  <c r="BN21" i="20"/>
  <c r="CL5" i="20"/>
  <c r="CD5" i="20"/>
  <c r="CR5" i="20"/>
  <c r="BN13" i="20"/>
  <c r="CH5" i="20"/>
  <c r="BN8" i="20"/>
  <c r="BN23" i="20"/>
  <c r="BG79" i="20" l="1"/>
  <c r="AN79" i="20"/>
  <c r="BF79" i="20"/>
  <c r="BD79" i="20"/>
  <c r="AZ79" i="20"/>
  <c r="AD79" i="20"/>
  <c r="AV79" i="20"/>
  <c r="AB79" i="20"/>
  <c r="AP79" i="20"/>
  <c r="AE79" i="20"/>
  <c r="BL79" i="20"/>
  <c r="Z79" i="20"/>
  <c r="AX79" i="20"/>
  <c r="BB79" i="20"/>
  <c r="AR79" i="20"/>
  <c r="BC78" i="20"/>
  <c r="AL79" i="20"/>
  <c r="AW78" i="20"/>
  <c r="X79" i="20"/>
  <c r="AI78" i="20"/>
  <c r="BQ130" i="33"/>
  <c r="BU130" i="33" s="1"/>
  <c r="CA130" i="33" s="1"/>
  <c r="CG130" i="33" s="1"/>
  <c r="BT126" i="33"/>
  <c r="BZ126" i="33" s="1"/>
  <c r="CF126" i="33" s="1"/>
  <c r="BU129" i="33"/>
  <c r="CA129" i="33" s="1"/>
  <c r="CG129" i="33" s="1"/>
  <c r="CK126" i="33"/>
  <c r="BU125" i="33"/>
  <c r="CA125" i="33" s="1"/>
  <c r="CG125" i="33" s="1"/>
  <c r="BS130" i="33"/>
  <c r="BY130" i="33" s="1"/>
  <c r="CE130" i="33" s="1"/>
  <c r="CK130" i="33" s="1"/>
  <c r="AW89" i="33"/>
  <c r="AW19" i="33"/>
  <c r="AM29" i="33"/>
  <c r="AM111" i="33"/>
  <c r="V9" i="33"/>
  <c r="V67" i="33"/>
  <c r="U100" i="33"/>
  <c r="U24" i="33"/>
  <c r="AE89" i="33"/>
  <c r="AE19" i="33"/>
  <c r="AE111" i="33"/>
  <c r="AE29" i="33"/>
  <c r="BA89" i="33"/>
  <c r="BA19" i="33"/>
  <c r="AW111" i="33"/>
  <c r="AW29" i="33"/>
  <c r="V29" i="33"/>
  <c r="V111" i="33"/>
  <c r="U67" i="33"/>
  <c r="U9" i="33"/>
  <c r="AM89" i="33"/>
  <c r="AM19" i="33"/>
  <c r="AH89" i="33"/>
  <c r="AH19" i="33"/>
  <c r="AN100" i="33"/>
  <c r="AN24" i="33"/>
  <c r="X122" i="33"/>
  <c r="X34" i="33"/>
  <c r="U39" i="33"/>
  <c r="U133" i="33"/>
  <c r="AE67" i="33"/>
  <c r="AE9" i="33"/>
  <c r="BA78" i="33"/>
  <c r="BA14" i="33"/>
  <c r="AH100" i="33"/>
  <c r="AH24" i="33"/>
  <c r="X133" i="33"/>
  <c r="X39" i="33"/>
  <c r="CI133" i="33"/>
  <c r="BR138" i="33"/>
  <c r="BW138" i="33" s="1"/>
  <c r="CC138" i="33" s="1"/>
  <c r="AH111" i="33"/>
  <c r="AH29" i="33"/>
  <c r="AH34" i="33"/>
  <c r="AH122" i="33"/>
  <c r="AT9" i="33"/>
  <c r="AT67" i="33"/>
  <c r="AN122" i="33"/>
  <c r="AN34" i="33"/>
  <c r="AN19" i="33"/>
  <c r="AN89" i="33"/>
  <c r="U122" i="33"/>
  <c r="U34" i="33"/>
  <c r="BA133" i="33"/>
  <c r="BA39" i="33"/>
  <c r="BA67" i="33"/>
  <c r="BA9" i="33"/>
  <c r="AW78" i="33"/>
  <c r="AW14" i="33"/>
  <c r="AM14" i="33"/>
  <c r="AM78" i="33"/>
  <c r="V122" i="33"/>
  <c r="V34" i="33"/>
  <c r="AT111" i="33"/>
  <c r="AT29" i="33"/>
  <c r="AT133" i="33"/>
  <c r="AT39" i="33"/>
  <c r="AN67" i="33"/>
  <c r="AN9" i="33"/>
  <c r="AN111" i="33"/>
  <c r="AN29" i="33"/>
  <c r="X78" i="33"/>
  <c r="X14" i="33"/>
  <c r="U111" i="33"/>
  <c r="U29" i="33"/>
  <c r="U78" i="33"/>
  <c r="U14" i="33"/>
  <c r="AE14" i="33"/>
  <c r="AE78" i="33"/>
  <c r="AE133" i="33"/>
  <c r="AE39" i="33"/>
  <c r="V24" i="33"/>
  <c r="V100" i="33"/>
  <c r="X19" i="33"/>
  <c r="X89" i="33"/>
  <c r="CK128" i="33"/>
  <c r="AW133" i="33"/>
  <c r="AW39" i="33"/>
  <c r="AM67" i="33"/>
  <c r="AM9" i="33"/>
  <c r="V14" i="33"/>
  <c r="V78" i="33"/>
  <c r="AT122" i="33"/>
  <c r="AT34" i="33"/>
  <c r="AT14" i="33"/>
  <c r="AT78" i="33"/>
  <c r="AN133" i="33"/>
  <c r="AN39" i="33"/>
  <c r="X111" i="33"/>
  <c r="X29" i="33"/>
  <c r="X100" i="33"/>
  <c r="X24" i="33"/>
  <c r="U89" i="33"/>
  <c r="U19" i="33"/>
  <c r="BS125" i="33"/>
  <c r="BY125" i="33" s="1"/>
  <c r="CE125" i="33" s="1"/>
  <c r="CK125" i="33" s="1"/>
  <c r="CC43" i="33"/>
  <c r="CC44" i="33" s="1"/>
  <c r="CC45" i="33" s="1"/>
  <c r="CC46" i="33" s="1"/>
  <c r="AW67" i="33"/>
  <c r="AW9" i="33"/>
  <c r="AM133" i="33"/>
  <c r="AM39" i="33"/>
  <c r="AH133" i="33"/>
  <c r="AH39" i="33"/>
  <c r="AT89" i="33"/>
  <c r="AT19" i="33"/>
  <c r="AT100" i="33"/>
  <c r="AT24" i="33"/>
  <c r="AE34" i="33"/>
  <c r="AE122" i="33"/>
  <c r="AE100" i="33"/>
  <c r="AE24" i="33"/>
  <c r="BA34" i="33"/>
  <c r="BA122" i="33"/>
  <c r="BQ127" i="33"/>
  <c r="BU127" i="33" s="1"/>
  <c r="CA127" i="33" s="1"/>
  <c r="CG127" i="33" s="1"/>
  <c r="BR125" i="33"/>
  <c r="BW125" i="33" s="1"/>
  <c r="CC125" i="33" s="1"/>
  <c r="AW24" i="33"/>
  <c r="AW100" i="33"/>
  <c r="AW122" i="33"/>
  <c r="AW34" i="33"/>
  <c r="AM100" i="33"/>
  <c r="AM24" i="33"/>
  <c r="AM122" i="33"/>
  <c r="AM34" i="33"/>
  <c r="AH9" i="33"/>
  <c r="AH67" i="33"/>
  <c r="AH14" i="33"/>
  <c r="AH78" i="33"/>
  <c r="V89" i="33"/>
  <c r="V19" i="33"/>
  <c r="V133" i="33"/>
  <c r="V39" i="33"/>
  <c r="AN14" i="33"/>
  <c r="AN78" i="33"/>
  <c r="X67" i="33"/>
  <c r="X9" i="33"/>
  <c r="BA111" i="33"/>
  <c r="BA29" i="33"/>
  <c r="BA100" i="33"/>
  <c r="BA24" i="33"/>
  <c r="BL80" i="20"/>
  <c r="BE78" i="20"/>
  <c r="U68" i="20"/>
  <c r="Y78" i="20"/>
  <c r="AU79" i="20"/>
  <c r="Y79" i="20"/>
  <c r="AH80" i="20"/>
  <c r="AA79" i="20"/>
  <c r="AZ80" i="20"/>
  <c r="AC78" i="20"/>
  <c r="BA78" i="20"/>
  <c r="AK80" i="20"/>
  <c r="AY78" i="20"/>
  <c r="AK78" i="20"/>
  <c r="AQ79" i="20"/>
  <c r="AU80" i="20"/>
  <c r="AD80" i="20"/>
  <c r="AS78" i="20"/>
  <c r="AK79" i="20"/>
  <c r="AY79" i="20"/>
  <c r="AC79" i="20"/>
  <c r="BH77" i="20"/>
  <c r="AC76" i="20"/>
  <c r="AQ78" i="20"/>
  <c r="AS79" i="20"/>
  <c r="BH80" i="20"/>
  <c r="V35" i="20"/>
  <c r="AC31" i="20"/>
  <c r="V36" i="20" s="1"/>
  <c r="BK80" i="20"/>
  <c r="AM77" i="20"/>
  <c r="AJ77" i="20"/>
  <c r="AP77" i="20"/>
  <c r="AO77" i="20"/>
  <c r="AA77" i="20"/>
  <c r="AU78" i="20"/>
  <c r="BI78" i="20"/>
  <c r="AW79" i="20"/>
  <c r="BE79" i="20"/>
  <c r="AW77" i="20"/>
  <c r="AT77" i="20"/>
  <c r="AV80" i="20"/>
  <c r="Y80" i="20"/>
  <c r="AY76" i="20"/>
  <c r="AU76" i="20"/>
  <c r="AO78" i="20"/>
  <c r="AM78" i="20"/>
  <c r="BK79" i="20"/>
  <c r="W79" i="20"/>
  <c r="BF77" i="20"/>
  <c r="BD77" i="20"/>
  <c r="AE80" i="20"/>
  <c r="AW80" i="20"/>
  <c r="AI76" i="20"/>
  <c r="AE78" i="20"/>
  <c r="AA78" i="20"/>
  <c r="BI79" i="20"/>
  <c r="BK77" i="20"/>
  <c r="BA77" i="20"/>
  <c r="AJ80" i="20"/>
  <c r="AT80" i="20"/>
  <c r="AO76" i="20"/>
  <c r="AG76" i="20"/>
  <c r="BK78" i="20"/>
  <c r="W78" i="20"/>
  <c r="AO79" i="20"/>
  <c r="BB77" i="20"/>
  <c r="AV77" i="20"/>
  <c r="AY80" i="20"/>
  <c r="BD80" i="20"/>
  <c r="AK76" i="20"/>
  <c r="BC76" i="20"/>
  <c r="W80" i="20"/>
  <c r="AO80" i="20"/>
  <c r="AI80" i="20"/>
  <c r="AQ80" i="20"/>
  <c r="AX80" i="20"/>
  <c r="AQ76" i="20"/>
  <c r="AM76" i="20"/>
  <c r="AA76" i="20"/>
  <c r="W76" i="20"/>
  <c r="BG78" i="20"/>
  <c r="AG78" i="20"/>
  <c r="AI79" i="20"/>
  <c r="AG79" i="20"/>
  <c r="BJ80" i="20"/>
  <c r="AL80" i="20"/>
  <c r="AM80" i="20"/>
  <c r="AG80" i="20"/>
  <c r="AP80" i="20"/>
  <c r="AC80" i="20"/>
  <c r="BE76" i="20"/>
  <c r="BC79" i="20"/>
  <c r="BG77" i="20"/>
  <c r="BE80" i="20"/>
  <c r="AB80" i="20"/>
  <c r="AA80" i="20"/>
  <c r="AR80" i="20"/>
  <c r="BA80" i="20"/>
  <c r="BK76" i="20"/>
  <c r="BC80" i="20"/>
  <c r="X80" i="20"/>
  <c r="BG80" i="20"/>
  <c r="Z80" i="20"/>
  <c r="AS80" i="20"/>
  <c r="BI76" i="20"/>
  <c r="Y76" i="20"/>
  <c r="AS76" i="20"/>
  <c r="BA79" i="20"/>
  <c r="AS77" i="20"/>
  <c r="AN80" i="20"/>
  <c r="BI80" i="20"/>
  <c r="BF80" i="20"/>
  <c r="BB80" i="20"/>
  <c r="AF80" i="20"/>
  <c r="BA76" i="20"/>
  <c r="BG76" i="20"/>
  <c r="AW76" i="20"/>
  <c r="AY77" i="20"/>
  <c r="AI77" i="20"/>
  <c r="AE77" i="20"/>
  <c r="AK77" i="20"/>
  <c r="AN77" i="20"/>
  <c r="AG77" i="20"/>
  <c r="AU77" i="20"/>
  <c r="AF77" i="20"/>
  <c r="X77" i="20"/>
  <c r="W77" i="20"/>
  <c r="BE77" i="20"/>
  <c r="AD77" i="20"/>
  <c r="Z77" i="20"/>
  <c r="AR77" i="20"/>
  <c r="Q66" i="20"/>
  <c r="S66" i="20" s="1"/>
  <c r="AQ77" i="20"/>
  <c r="BC77" i="20"/>
  <c r="BJ77" i="20"/>
  <c r="BL77" i="20"/>
  <c r="AL77" i="20"/>
  <c r="AC77" i="20"/>
  <c r="Y77" i="20"/>
  <c r="AB77" i="20"/>
  <c r="AX77" i="20"/>
  <c r="AZ77" i="20"/>
  <c r="BI77" i="20"/>
  <c r="BX137" i="33"/>
  <c r="CD137" i="33" s="1"/>
  <c r="CJ137" i="33" s="1"/>
  <c r="BS137" i="33"/>
  <c r="BY137" i="33" s="1"/>
  <c r="CE137" i="33" s="1"/>
  <c r="CK137" i="33" s="1"/>
  <c r="W78" i="33"/>
  <c r="W14" i="33"/>
  <c r="AO63" i="33"/>
  <c r="AO38" i="33"/>
  <c r="AO40" i="33"/>
  <c r="AO138" i="33" s="1"/>
  <c r="AO8" i="33"/>
  <c r="AO10" i="33"/>
  <c r="AO72" i="33" s="1"/>
  <c r="CC26" i="33"/>
  <c r="AO30" i="33"/>
  <c r="AO116" i="33" s="1"/>
  <c r="AO33" i="33"/>
  <c r="AO35" i="33"/>
  <c r="AO127" i="33" s="1"/>
  <c r="AO23" i="33"/>
  <c r="AO18" i="33"/>
  <c r="AO28" i="33"/>
  <c r="AO13" i="33"/>
  <c r="AO20" i="33"/>
  <c r="AO94" i="33" s="1"/>
  <c r="AO25" i="33"/>
  <c r="AO105" i="33" s="1"/>
  <c r="AO15" i="33"/>
  <c r="AO83" i="33" s="1"/>
  <c r="BR130" i="33"/>
  <c r="BW130" i="33" s="1"/>
  <c r="CC130" i="33" s="1"/>
  <c r="BS138" i="33"/>
  <c r="BY138" i="33" s="1"/>
  <c r="CE138" i="33" s="1"/>
  <c r="CK138" i="33" s="1"/>
  <c r="AZ111" i="33"/>
  <c r="AZ29" i="33"/>
  <c r="AK111" i="33"/>
  <c r="AK29" i="33"/>
  <c r="BQ131" i="33"/>
  <c r="BU131" i="33" s="1"/>
  <c r="CA131" i="33" s="1"/>
  <c r="CG131" i="33" s="1"/>
  <c r="BB9" i="33"/>
  <c r="BB67" i="33"/>
  <c r="AA100" i="33"/>
  <c r="AA24" i="33"/>
  <c r="AS39" i="33"/>
  <c r="AS133" i="33"/>
  <c r="AJ122" i="33"/>
  <c r="AJ34" i="33"/>
  <c r="AJ39" i="33"/>
  <c r="AJ133" i="33"/>
  <c r="AD122" i="33"/>
  <c r="AD34" i="33"/>
  <c r="AD111" i="33"/>
  <c r="AD29" i="33"/>
  <c r="CY128" i="33"/>
  <c r="T89" i="33"/>
  <c r="T19" i="33"/>
  <c r="W111" i="33"/>
  <c r="W29" i="33"/>
  <c r="W122" i="33"/>
  <c r="W34" i="33"/>
  <c r="BS127" i="33"/>
  <c r="BY127" i="33" s="1"/>
  <c r="CE127" i="33" s="1"/>
  <c r="CK127" i="33" s="1"/>
  <c r="BT129" i="33"/>
  <c r="BZ129" i="33" s="1"/>
  <c r="CF129" i="33" s="1"/>
  <c r="BV129" i="33"/>
  <c r="CB129" i="33" s="1"/>
  <c r="CH129" i="33" s="1"/>
  <c r="BB122" i="33"/>
  <c r="BB34" i="33"/>
  <c r="AQ63" i="33"/>
  <c r="AQ40" i="33"/>
  <c r="AQ138" i="33" s="1"/>
  <c r="AQ38" i="33"/>
  <c r="AQ8" i="33"/>
  <c r="AQ10" i="33"/>
  <c r="AQ72" i="33" s="1"/>
  <c r="CC28" i="33"/>
  <c r="AQ18" i="33"/>
  <c r="AQ15" i="33"/>
  <c r="AQ83" i="33" s="1"/>
  <c r="AQ20" i="33"/>
  <c r="AQ94" i="33" s="1"/>
  <c r="AQ23" i="33"/>
  <c r="AQ28" i="33"/>
  <c r="AQ25" i="33"/>
  <c r="AQ105" i="33" s="1"/>
  <c r="AQ30" i="33"/>
  <c r="AQ116" i="33" s="1"/>
  <c r="AQ35" i="33"/>
  <c r="AQ127" i="33" s="1"/>
  <c r="AQ33" i="33"/>
  <c r="AQ13" i="33"/>
  <c r="BT136" i="33"/>
  <c r="BZ136" i="33" s="1"/>
  <c r="CF136" i="33" s="1"/>
  <c r="BR137" i="33"/>
  <c r="BW137" i="33" s="1"/>
  <c r="CC137" i="33" s="1"/>
  <c r="AA111" i="33"/>
  <c r="AA29" i="33"/>
  <c r="AJ14" i="33"/>
  <c r="AJ78" i="33"/>
  <c r="AJ111" i="33"/>
  <c r="AJ29" i="33"/>
  <c r="AD24" i="33"/>
  <c r="AD100" i="33"/>
  <c r="DO128" i="33"/>
  <c r="AF63" i="33"/>
  <c r="AF40" i="33"/>
  <c r="AF138" i="33" s="1"/>
  <c r="AF10" i="33"/>
  <c r="AF72" i="33" s="1"/>
  <c r="AF8" i="33"/>
  <c r="AF38" i="33"/>
  <c r="CC17" i="33"/>
  <c r="AF35" i="33"/>
  <c r="AF127" i="33" s="1"/>
  <c r="AF25" i="33"/>
  <c r="AF105" i="33" s="1"/>
  <c r="AF20" i="33"/>
  <c r="AF94" i="33" s="1"/>
  <c r="AF33" i="33"/>
  <c r="AF13" i="33"/>
  <c r="AF15" i="33"/>
  <c r="AF83" i="33" s="1"/>
  <c r="AF23" i="33"/>
  <c r="AF18" i="33"/>
  <c r="AF28" i="33"/>
  <c r="AF30" i="33"/>
  <c r="AF116" i="33" s="1"/>
  <c r="BT130" i="33"/>
  <c r="BZ130" i="33" s="1"/>
  <c r="CF130" i="33" s="1"/>
  <c r="BV130" i="33"/>
  <c r="CB130" i="33" s="1"/>
  <c r="CH130" i="33" s="1"/>
  <c r="BV138" i="33"/>
  <c r="CB138" i="33" s="1"/>
  <c r="CH138" i="33" s="1"/>
  <c r="AZ89" i="33"/>
  <c r="AZ19" i="33"/>
  <c r="AK19" i="33"/>
  <c r="AK89" i="33"/>
  <c r="BP129" i="33"/>
  <c r="BB78" i="33"/>
  <c r="BB14" i="33"/>
  <c r="Y63" i="33"/>
  <c r="Y38" i="33"/>
  <c r="Y40" i="33"/>
  <c r="Y138" i="33" s="1"/>
  <c r="Y8" i="33"/>
  <c r="Y10" i="33"/>
  <c r="Y72" i="33" s="1"/>
  <c r="CC10" i="33"/>
  <c r="Y23" i="33"/>
  <c r="Y18" i="33"/>
  <c r="Y25" i="33"/>
  <c r="Y105" i="33" s="1"/>
  <c r="Y28" i="33"/>
  <c r="Y20" i="33"/>
  <c r="Y94" i="33" s="1"/>
  <c r="Y13" i="33"/>
  <c r="Y30" i="33"/>
  <c r="Y116" i="33" s="1"/>
  <c r="Y15" i="33"/>
  <c r="Y83" i="33" s="1"/>
  <c r="Y33" i="33"/>
  <c r="Y35" i="33"/>
  <c r="Y127" i="33" s="1"/>
  <c r="AA89" i="33"/>
  <c r="AA19" i="33"/>
  <c r="AS100" i="33"/>
  <c r="AS24" i="33"/>
  <c r="AS122" i="33"/>
  <c r="AS34" i="33"/>
  <c r="BV134" i="33"/>
  <c r="CB134" i="33" s="1"/>
  <c r="CH134" i="33" s="1"/>
  <c r="AD67" i="33"/>
  <c r="AD9" i="33"/>
  <c r="T34" i="33"/>
  <c r="T122" i="33"/>
  <c r="T67" i="33"/>
  <c r="T9" i="33"/>
  <c r="AP63" i="33"/>
  <c r="AP38" i="33"/>
  <c r="AP10" i="33"/>
  <c r="AP72" i="33" s="1"/>
  <c r="AP40" i="33"/>
  <c r="AP138" i="33" s="1"/>
  <c r="CC27" i="33"/>
  <c r="AP8" i="33"/>
  <c r="AP25" i="33"/>
  <c r="AP105" i="33" s="1"/>
  <c r="AP13" i="33"/>
  <c r="AP15" i="33"/>
  <c r="AP83" i="33" s="1"/>
  <c r="AP18" i="33"/>
  <c r="AP28" i="33"/>
  <c r="AP23" i="33"/>
  <c r="AP20" i="33"/>
  <c r="AP94" i="33" s="1"/>
  <c r="AP30" i="33"/>
  <c r="AP116" i="33" s="1"/>
  <c r="AP33" i="33"/>
  <c r="AP35" i="33"/>
  <c r="AP127" i="33" s="1"/>
  <c r="CI126" i="33"/>
  <c r="CY126" i="33" s="1"/>
  <c r="BX133" i="33"/>
  <c r="CD133" i="33" s="1"/>
  <c r="CJ133" i="33" s="1"/>
  <c r="BS133" i="33"/>
  <c r="BY133" i="33" s="1"/>
  <c r="CE133" i="33" s="1"/>
  <c r="BX124" i="33"/>
  <c r="CD124" i="33" s="1"/>
  <c r="CJ124" i="33" s="1"/>
  <c r="BS124" i="33"/>
  <c r="BY124" i="33" s="1"/>
  <c r="CE124" i="33" s="1"/>
  <c r="BP132" i="33"/>
  <c r="BQ138" i="33"/>
  <c r="BU138" i="33" s="1"/>
  <c r="CA138" i="33" s="1"/>
  <c r="BP139" i="33"/>
  <c r="AZ9" i="33"/>
  <c r="AZ67" i="33"/>
  <c r="AK34" i="33"/>
  <c r="AK122" i="33"/>
  <c r="AK9" i="33"/>
  <c r="AK67" i="33"/>
  <c r="BT125" i="33"/>
  <c r="BZ125" i="33" s="1"/>
  <c r="CF125" i="33" s="1"/>
  <c r="BV125" i="33"/>
  <c r="CB125" i="33" s="1"/>
  <c r="CH125" i="33" s="1"/>
  <c r="BV127" i="33"/>
  <c r="CB127" i="33" s="1"/>
  <c r="CH127" i="33" s="1"/>
  <c r="BT127" i="33"/>
  <c r="BZ127" i="33" s="1"/>
  <c r="CF127" i="33" s="1"/>
  <c r="BB111" i="33"/>
  <c r="BB29" i="33"/>
  <c r="BT124" i="33"/>
  <c r="BZ124" i="33" s="1"/>
  <c r="CF124" i="33" s="1"/>
  <c r="AU63" i="33"/>
  <c r="AU38" i="33"/>
  <c r="AU10" i="33"/>
  <c r="AU72" i="33" s="1"/>
  <c r="AU40" i="33"/>
  <c r="AU138" i="33" s="1"/>
  <c r="AU8" i="33"/>
  <c r="CC32" i="33"/>
  <c r="AU30" i="33"/>
  <c r="AU116" i="33" s="1"/>
  <c r="AU13" i="33"/>
  <c r="AU18" i="33"/>
  <c r="AU15" i="33"/>
  <c r="AU83" i="33" s="1"/>
  <c r="AU23" i="33"/>
  <c r="AU20" i="33"/>
  <c r="AU94" i="33" s="1"/>
  <c r="AU25" i="33"/>
  <c r="AU105" i="33" s="1"/>
  <c r="AU28" i="33"/>
  <c r="AU33" i="33"/>
  <c r="AU35" i="33"/>
  <c r="AU127" i="33" s="1"/>
  <c r="AA67" i="33"/>
  <c r="AA9" i="33"/>
  <c r="AS111" i="33"/>
  <c r="AS29" i="33"/>
  <c r="BP134" i="33"/>
  <c r="AJ89" i="33"/>
  <c r="AJ19" i="33"/>
  <c r="AD78" i="33"/>
  <c r="AD14" i="33"/>
  <c r="AY63" i="33"/>
  <c r="AY38" i="33"/>
  <c r="AY40" i="33"/>
  <c r="AY138" i="33" s="1"/>
  <c r="AY8" i="33"/>
  <c r="AY10" i="33"/>
  <c r="AY72" i="33" s="1"/>
  <c r="CC36" i="33"/>
  <c r="AY30" i="33"/>
  <c r="AY116" i="33" s="1"/>
  <c r="AY25" i="33"/>
  <c r="AY105" i="33" s="1"/>
  <c r="AY15" i="33"/>
  <c r="AY83" i="33" s="1"/>
  <c r="AY33" i="33"/>
  <c r="AY18" i="33"/>
  <c r="AY35" i="33"/>
  <c r="AY127" i="33" s="1"/>
  <c r="AY20" i="33"/>
  <c r="AY94" i="33" s="1"/>
  <c r="AY28" i="33"/>
  <c r="AY13" i="33"/>
  <c r="AY23" i="33"/>
  <c r="BB19" i="33"/>
  <c r="BB89" i="33"/>
  <c r="BV137" i="33"/>
  <c r="CB137" i="33" s="1"/>
  <c r="CH137" i="33" s="1"/>
  <c r="T100" i="33"/>
  <c r="T24" i="33"/>
  <c r="AV40" i="33"/>
  <c r="AV138" i="33" s="1"/>
  <c r="AV8" i="33"/>
  <c r="AV10" i="33"/>
  <c r="AV72" i="33" s="1"/>
  <c r="AV63" i="33"/>
  <c r="AV38" i="33"/>
  <c r="CC33" i="33"/>
  <c r="AV23" i="33"/>
  <c r="AV33" i="33"/>
  <c r="AV28" i="33"/>
  <c r="AV25" i="33"/>
  <c r="AV105" i="33" s="1"/>
  <c r="AV35" i="33"/>
  <c r="AV127" i="33" s="1"/>
  <c r="AV30" i="33"/>
  <c r="AV116" i="33" s="1"/>
  <c r="AV13" i="33"/>
  <c r="AV15" i="33"/>
  <c r="AV83" i="33" s="1"/>
  <c r="AV18" i="33"/>
  <c r="AV20" i="33"/>
  <c r="AV94" i="33" s="1"/>
  <c r="W67" i="33"/>
  <c r="W9" i="33"/>
  <c r="AL63" i="33"/>
  <c r="AL38" i="33"/>
  <c r="AL8" i="33"/>
  <c r="AL10" i="33"/>
  <c r="AL72" i="33" s="1"/>
  <c r="CC23" i="33"/>
  <c r="AL40" i="33"/>
  <c r="AL138" i="33" s="1"/>
  <c r="AL13" i="33"/>
  <c r="AL33" i="33"/>
  <c r="AL15" i="33"/>
  <c r="AL83" i="33" s="1"/>
  <c r="AL35" i="33"/>
  <c r="AL127" i="33" s="1"/>
  <c r="AL23" i="33"/>
  <c r="AL28" i="33"/>
  <c r="AL20" i="33"/>
  <c r="AL94" i="33" s="1"/>
  <c r="AL25" i="33"/>
  <c r="AL105" i="33" s="1"/>
  <c r="AL30" i="33"/>
  <c r="AL116" i="33" s="1"/>
  <c r="AL18" i="33"/>
  <c r="AZ78" i="33"/>
  <c r="AZ14" i="33"/>
  <c r="AZ133" i="33"/>
  <c r="AZ39" i="33"/>
  <c r="AK14" i="33"/>
  <c r="AK78" i="33"/>
  <c r="BC63" i="33"/>
  <c r="BC38" i="33"/>
  <c r="BC40" i="33"/>
  <c r="BC138" i="33" s="1"/>
  <c r="BC10" i="33"/>
  <c r="BC72" i="33" s="1"/>
  <c r="BC8" i="33"/>
  <c r="CC40" i="33"/>
  <c r="BC25" i="33"/>
  <c r="BC105" i="33" s="1"/>
  <c r="BC15" i="33"/>
  <c r="BC83" i="33" s="1"/>
  <c r="BC35" i="33"/>
  <c r="BC127" i="33" s="1"/>
  <c r="BC20" i="33"/>
  <c r="BC94" i="33" s="1"/>
  <c r="BC28" i="33"/>
  <c r="BC23" i="33"/>
  <c r="BC30" i="33"/>
  <c r="BC116" i="33" s="1"/>
  <c r="BC13" i="33"/>
  <c r="BC33" i="33"/>
  <c r="BC18" i="33"/>
  <c r="AR63" i="33"/>
  <c r="AR40" i="33"/>
  <c r="AR138" i="33" s="1"/>
  <c r="AR8" i="33"/>
  <c r="CC29" i="33"/>
  <c r="AR38" i="33"/>
  <c r="AR10" i="33"/>
  <c r="AR72" i="33" s="1"/>
  <c r="AR23" i="33"/>
  <c r="AR13" i="33"/>
  <c r="AR33" i="33"/>
  <c r="AR15" i="33"/>
  <c r="AR83" i="33" s="1"/>
  <c r="AR35" i="33"/>
  <c r="AR127" i="33" s="1"/>
  <c r="AR28" i="33"/>
  <c r="AR20" i="33"/>
  <c r="AR94" i="33" s="1"/>
  <c r="AR25" i="33"/>
  <c r="AR105" i="33" s="1"/>
  <c r="AR30" i="33"/>
  <c r="AR116" i="33" s="1"/>
  <c r="AR18" i="33"/>
  <c r="BP131" i="33"/>
  <c r="BR131" i="33" s="1"/>
  <c r="BW131" i="33" s="1"/>
  <c r="CC131" i="33" s="1"/>
  <c r="AG63" i="33"/>
  <c r="AG40" i="33"/>
  <c r="AG138" i="33" s="1"/>
  <c r="AG8" i="33"/>
  <c r="AG38" i="33"/>
  <c r="AG10" i="33"/>
  <c r="AG72" i="33" s="1"/>
  <c r="CC18" i="33"/>
  <c r="AG20" i="33"/>
  <c r="AG94" i="33" s="1"/>
  <c r="AG23" i="33"/>
  <c r="AG25" i="33"/>
  <c r="AG105" i="33" s="1"/>
  <c r="AG33" i="33"/>
  <c r="AG28" i="33"/>
  <c r="AG13" i="33"/>
  <c r="AG35" i="33"/>
  <c r="AG127" i="33" s="1"/>
  <c r="AG30" i="33"/>
  <c r="AG116" i="33" s="1"/>
  <c r="AG18" i="33"/>
  <c r="AG15" i="33"/>
  <c r="AG83" i="33" s="1"/>
  <c r="BB100" i="33"/>
  <c r="BB24" i="33"/>
  <c r="AX63" i="33"/>
  <c r="AX40" i="33"/>
  <c r="AX138" i="33" s="1"/>
  <c r="AX8" i="33"/>
  <c r="AX38" i="33"/>
  <c r="CC35" i="33"/>
  <c r="AX10" i="33"/>
  <c r="AX72" i="33" s="1"/>
  <c r="AX18" i="33"/>
  <c r="AX25" i="33"/>
  <c r="AX105" i="33" s="1"/>
  <c r="AX28" i="33"/>
  <c r="AX20" i="33"/>
  <c r="AX94" i="33" s="1"/>
  <c r="AX30" i="33"/>
  <c r="AX116" i="33" s="1"/>
  <c r="AX13" i="33"/>
  <c r="AX33" i="33"/>
  <c r="AX35" i="33"/>
  <c r="AX127" i="33" s="1"/>
  <c r="AX15" i="33"/>
  <c r="AX83" i="33" s="1"/>
  <c r="AX23" i="33"/>
  <c r="DN128" i="33"/>
  <c r="AS78" i="33"/>
  <c r="AS14" i="33"/>
  <c r="AS67" i="33"/>
  <c r="AS9" i="33"/>
  <c r="BQ134" i="33"/>
  <c r="BU134" i="33" s="1"/>
  <c r="CA134" i="33" s="1"/>
  <c r="CG134" i="33" s="1"/>
  <c r="AJ100" i="33"/>
  <c r="AJ24" i="33"/>
  <c r="AD89" i="33"/>
  <c r="AD19" i="33"/>
  <c r="AD39" i="33"/>
  <c r="AD133" i="33"/>
  <c r="T111" i="33"/>
  <c r="T29" i="33"/>
  <c r="T39" i="33"/>
  <c r="T133" i="33"/>
  <c r="CN126" i="33"/>
  <c r="DS126" i="33"/>
  <c r="W89" i="33"/>
  <c r="W19" i="33"/>
  <c r="W39" i="33"/>
  <c r="W133" i="33"/>
  <c r="Z63" i="33"/>
  <c r="Z40" i="33"/>
  <c r="Z138" i="33" s="1"/>
  <c r="Z8" i="33"/>
  <c r="Z38" i="33"/>
  <c r="Z10" i="33"/>
  <c r="Z72" i="33" s="1"/>
  <c r="CC11" i="33"/>
  <c r="Z35" i="33"/>
  <c r="Z127" i="33" s="1"/>
  <c r="Z20" i="33"/>
  <c r="Z94" i="33" s="1"/>
  <c r="Z28" i="33"/>
  <c r="Z13" i="33"/>
  <c r="Z30" i="33"/>
  <c r="Z116" i="33" s="1"/>
  <c r="Z15" i="33"/>
  <c r="Z83" i="33" s="1"/>
  <c r="Z23" i="33"/>
  <c r="Z33" i="33"/>
  <c r="Z18" i="33"/>
  <c r="Z25" i="33"/>
  <c r="Z105" i="33" s="1"/>
  <c r="BX135" i="33"/>
  <c r="CD135" i="33" s="1"/>
  <c r="CJ135" i="33" s="1"/>
  <c r="BR135" i="33"/>
  <c r="BW135" i="33" s="1"/>
  <c r="CC135" i="33" s="1"/>
  <c r="CI135" i="33" s="1"/>
  <c r="BS135" i="33"/>
  <c r="BY135" i="33" s="1"/>
  <c r="CE135" i="33" s="1"/>
  <c r="BV132" i="33"/>
  <c r="CB132" i="33" s="1"/>
  <c r="CH132" i="33" s="1"/>
  <c r="BT132" i="33"/>
  <c r="BZ132" i="33" s="1"/>
  <c r="CF132" i="33" s="1"/>
  <c r="AI63" i="33"/>
  <c r="AI38" i="33"/>
  <c r="AI40" i="33"/>
  <c r="AI138" i="33" s="1"/>
  <c r="AI10" i="33"/>
  <c r="AI72" i="33" s="1"/>
  <c r="AI8" i="33"/>
  <c r="CC20" i="33"/>
  <c r="AI35" i="33"/>
  <c r="AI127" i="33" s="1"/>
  <c r="AI15" i="33"/>
  <c r="AI83" i="33" s="1"/>
  <c r="AI18" i="33"/>
  <c r="AI23" i="33"/>
  <c r="AI20" i="33"/>
  <c r="AI94" i="33" s="1"/>
  <c r="AI25" i="33"/>
  <c r="AI105" i="33" s="1"/>
  <c r="AI28" i="33"/>
  <c r="AI33" i="33"/>
  <c r="AI13" i="33"/>
  <c r="AI30" i="33"/>
  <c r="AI116" i="33" s="1"/>
  <c r="AK100" i="33"/>
  <c r="AK24" i="33"/>
  <c r="AK133" i="33"/>
  <c r="AK39" i="33"/>
  <c r="DQ126" i="33"/>
  <c r="AA14" i="33"/>
  <c r="AA78" i="33"/>
  <c r="AA133" i="33"/>
  <c r="AA39" i="33"/>
  <c r="AJ67" i="33"/>
  <c r="AJ9" i="33"/>
  <c r="T78" i="33"/>
  <c r="T14" i="33"/>
  <c r="BB39" i="33"/>
  <c r="BB133" i="33"/>
  <c r="W24" i="33"/>
  <c r="W100" i="33"/>
  <c r="AB38" i="33"/>
  <c r="AB63" i="33"/>
  <c r="AB10" i="33"/>
  <c r="AB72" i="33" s="1"/>
  <c r="AB40" i="33"/>
  <c r="AB138" i="33" s="1"/>
  <c r="AB8" i="33"/>
  <c r="CC13" i="33"/>
  <c r="AB33" i="33"/>
  <c r="AB25" i="33"/>
  <c r="AB105" i="33" s="1"/>
  <c r="AB28" i="33"/>
  <c r="AB35" i="33"/>
  <c r="AB127" i="33" s="1"/>
  <c r="AB13" i="33"/>
  <c r="AB18" i="33"/>
  <c r="AB30" i="33"/>
  <c r="AB116" i="33" s="1"/>
  <c r="AB15" i="33"/>
  <c r="AB83" i="33" s="1"/>
  <c r="AB20" i="33"/>
  <c r="AB94" i="33" s="1"/>
  <c r="AB23" i="33"/>
  <c r="AC63" i="33"/>
  <c r="AC8" i="33"/>
  <c r="CC14" i="33"/>
  <c r="AC38" i="33"/>
  <c r="AC10" i="33"/>
  <c r="AC72" i="33" s="1"/>
  <c r="AC40" i="33"/>
  <c r="AC138" i="33" s="1"/>
  <c r="AC35" i="33"/>
  <c r="AC127" i="33" s="1"/>
  <c r="AC25" i="33"/>
  <c r="AC105" i="33" s="1"/>
  <c r="AC13" i="33"/>
  <c r="AC15" i="33"/>
  <c r="AC83" i="33" s="1"/>
  <c r="AC18" i="33"/>
  <c r="AC28" i="33"/>
  <c r="AC23" i="33"/>
  <c r="AC20" i="33"/>
  <c r="AC94" i="33" s="1"/>
  <c r="AC30" i="33"/>
  <c r="AC116" i="33" s="1"/>
  <c r="AC33" i="33"/>
  <c r="BT139" i="33"/>
  <c r="BZ139" i="33" s="1"/>
  <c r="CF139" i="33" s="1"/>
  <c r="BV139" i="33"/>
  <c r="CB139" i="33" s="1"/>
  <c r="CH139" i="33" s="1"/>
  <c r="AZ34" i="33"/>
  <c r="AZ122" i="33"/>
  <c r="AZ100" i="33"/>
  <c r="AZ24" i="33"/>
  <c r="BR127" i="33"/>
  <c r="BW127" i="33" s="1"/>
  <c r="CC127" i="33" s="1"/>
  <c r="CI127" i="33" s="1"/>
  <c r="BV131" i="33"/>
  <c r="CB131" i="33" s="1"/>
  <c r="CH131" i="33" s="1"/>
  <c r="BT131" i="33"/>
  <c r="BZ131" i="33" s="1"/>
  <c r="CF131" i="33" s="1"/>
  <c r="BQ137" i="33"/>
  <c r="BU137" i="33" s="1"/>
  <c r="CA137" i="33" s="1"/>
  <c r="AA122" i="33"/>
  <c r="AA34" i="33"/>
  <c r="AS89" i="33"/>
  <c r="AS19" i="33"/>
  <c r="DR128" i="33"/>
  <c r="X30" i="20"/>
  <c r="X31" i="20" s="1"/>
  <c r="V34" i="20" s="1"/>
  <c r="C13" i="36"/>
  <c r="C14" i="36"/>
  <c r="B33" i="20"/>
  <c r="D31" i="20"/>
  <c r="B34" i="20" s="1"/>
  <c r="S69" i="20"/>
  <c r="R69" i="20"/>
  <c r="T69" i="20" s="1"/>
  <c r="S70" i="20"/>
  <c r="R70" i="20"/>
  <c r="T70" i="20" s="1"/>
  <c r="S68" i="20"/>
  <c r="R68" i="20"/>
  <c r="T68" i="20" s="1"/>
  <c r="S67" i="20"/>
  <c r="R67" i="20"/>
  <c r="T67" i="20" s="1"/>
  <c r="AE47" i="19"/>
  <c r="B70" i="19"/>
  <c r="G89" i="19" s="1"/>
  <c r="B69" i="19"/>
  <c r="G88" i="19" s="1"/>
  <c r="AE48" i="19"/>
  <c r="AE49" i="19"/>
  <c r="B68" i="19"/>
  <c r="G87" i="19" s="1"/>
  <c r="B58" i="19"/>
  <c r="AS5" i="20"/>
  <c r="Z6" i="36" s="1"/>
  <c r="BE7" i="36" s="1"/>
  <c r="A160" i="36" s="1"/>
  <c r="B60" i="19"/>
  <c r="AW5" i="20"/>
  <c r="AD6" i="36" s="1"/>
  <c r="BI7" i="36" s="1"/>
  <c r="A180" i="36" s="1"/>
  <c r="B54" i="19"/>
  <c r="AK5" i="20"/>
  <c r="R6" i="36" s="1"/>
  <c r="AW7" i="36" s="1"/>
  <c r="A120" i="36" s="1"/>
  <c r="AU5" i="20"/>
  <c r="AB6" i="36" s="1"/>
  <c r="BG7" i="36" s="1"/>
  <c r="A170" i="36" s="1"/>
  <c r="B59" i="19"/>
  <c r="B56" i="19"/>
  <c r="AO5" i="20"/>
  <c r="V6" i="36" s="1"/>
  <c r="BA7" i="36" s="1"/>
  <c r="A140" i="36" s="1"/>
  <c r="B55" i="19"/>
  <c r="AM5" i="20"/>
  <c r="T6" i="36" s="1"/>
  <c r="AY7" i="36" s="1"/>
  <c r="A130" i="36" s="1"/>
  <c r="B57" i="19"/>
  <c r="AQ5" i="20"/>
  <c r="X6" i="36" s="1"/>
  <c r="BC7" i="36" s="1"/>
  <c r="A150" i="36" s="1"/>
  <c r="B61" i="19"/>
  <c r="AY5" i="20"/>
  <c r="AF6" i="36" s="1"/>
  <c r="BK7" i="36" s="1"/>
  <c r="A190" i="36" s="1"/>
  <c r="AI5" i="20"/>
  <c r="P6" i="36" s="1"/>
  <c r="AU7" i="36" s="1"/>
  <c r="A110" i="36" s="1"/>
  <c r="B53" i="19"/>
  <c r="CD2" i="20"/>
  <c r="BX24" i="20"/>
  <c r="CC10" i="20"/>
  <c r="CA16" i="20"/>
  <c r="CN8" i="20"/>
  <c r="BS23" i="20"/>
  <c r="CI12" i="20"/>
  <c r="CE9" i="20"/>
  <c r="CD8" i="20"/>
  <c r="CI27" i="20"/>
  <c r="CG14" i="20"/>
  <c r="CM18" i="20"/>
  <c r="CC14" i="20"/>
  <c r="CL26" i="20"/>
  <c r="CO21" i="20"/>
  <c r="BY9" i="20"/>
  <c r="CA8" i="20"/>
  <c r="CH16" i="20"/>
  <c r="CQ21" i="20"/>
  <c r="CO9" i="20"/>
  <c r="CB11" i="20"/>
  <c r="CK17" i="20"/>
  <c r="CE22" i="20"/>
  <c r="CQ17" i="20"/>
  <c r="BR25" i="20"/>
  <c r="CQ8" i="20"/>
  <c r="CI17" i="20"/>
  <c r="CB10" i="20"/>
  <c r="CE23" i="20"/>
  <c r="CD19" i="20"/>
  <c r="CD14" i="20"/>
  <c r="BY22" i="20"/>
  <c r="BS10" i="20"/>
  <c r="CC26" i="20"/>
  <c r="CD25" i="20"/>
  <c r="BZ25" i="20"/>
  <c r="CS14" i="20"/>
  <c r="BZ21" i="20"/>
  <c r="BW10" i="20"/>
  <c r="CA22" i="20"/>
  <c r="BP17" i="20"/>
  <c r="CG17" i="20"/>
  <c r="BV21" i="20"/>
  <c r="CG25" i="20"/>
  <c r="BR26" i="20"/>
  <c r="BQ14" i="20"/>
  <c r="CF25" i="20"/>
  <c r="BT15" i="20"/>
  <c r="CR22" i="20"/>
  <c r="CA14" i="20"/>
  <c r="BX15" i="20"/>
  <c r="BZ10" i="20"/>
  <c r="CL10" i="20"/>
  <c r="CL27" i="20"/>
  <c r="BT18" i="20"/>
  <c r="BX25" i="20"/>
  <c r="BV25" i="20"/>
  <c r="CC21" i="20"/>
  <c r="CO13" i="20"/>
  <c r="CQ10" i="20"/>
  <c r="CB18" i="20"/>
  <c r="CR14" i="20"/>
  <c r="CG26" i="20"/>
  <c r="CJ23" i="20"/>
  <c r="BV23" i="20"/>
  <c r="CM12" i="20"/>
  <c r="BV20" i="20"/>
  <c r="CI8" i="20"/>
  <c r="CO25" i="20"/>
  <c r="CM24" i="20"/>
  <c r="BS12" i="20"/>
  <c r="BZ14" i="20"/>
  <c r="CF27" i="20"/>
  <c r="CR27" i="20"/>
  <c r="BX14" i="20"/>
  <c r="BR12" i="20"/>
  <c r="BZ11" i="20"/>
  <c r="CM23" i="20"/>
  <c r="CA19" i="20"/>
  <c r="BV11" i="20"/>
  <c r="BP16" i="20"/>
  <c r="CM14" i="20"/>
  <c r="BX11" i="20"/>
  <c r="BS20" i="20"/>
  <c r="CG10" i="20"/>
  <c r="BQ18" i="20"/>
  <c r="BP15" i="20"/>
  <c r="BW27" i="20"/>
  <c r="CI19" i="20"/>
  <c r="BZ18" i="20"/>
  <c r="CR18" i="20"/>
  <c r="BU25" i="20"/>
  <c r="CQ26" i="20"/>
  <c r="BW11" i="20"/>
  <c r="BU18" i="20"/>
  <c r="CH24" i="20"/>
  <c r="BW19" i="20"/>
  <c r="CE21" i="20"/>
  <c r="CQ18" i="20"/>
  <c r="BY26" i="20"/>
  <c r="CR10" i="20"/>
  <c r="CM9" i="20"/>
  <c r="BZ16" i="20"/>
  <c r="CH26" i="20"/>
  <c r="CJ11" i="20"/>
  <c r="CB13" i="20"/>
  <c r="CL15" i="20"/>
  <c r="CQ15" i="20"/>
  <c r="CC18" i="20"/>
  <c r="CL23" i="20"/>
  <c r="BY11" i="20"/>
  <c r="CC24" i="20"/>
  <c r="CM11" i="20"/>
  <c r="BT14" i="20"/>
  <c r="CG8" i="20"/>
  <c r="BT17" i="20"/>
  <c r="CF19" i="20"/>
  <c r="CI25" i="20"/>
  <c r="CI22" i="20"/>
  <c r="CE19" i="20"/>
  <c r="CC27" i="20"/>
  <c r="BU13" i="20"/>
  <c r="CP10" i="20"/>
  <c r="CK25" i="20"/>
  <c r="BW15" i="20"/>
  <c r="CE26" i="20"/>
  <c r="CJ25" i="20"/>
  <c r="BS27" i="20"/>
  <c r="BV26" i="20"/>
  <c r="BY16" i="20"/>
  <c r="CP9" i="20"/>
  <c r="BR17" i="20"/>
  <c r="CK16" i="20"/>
  <c r="CE13" i="20"/>
  <c r="CN18" i="20"/>
  <c r="CL20" i="20"/>
  <c r="CL18" i="20"/>
  <c r="CM8" i="20"/>
  <c r="CJ9" i="20"/>
  <c r="CR13" i="20"/>
  <c r="CF8" i="20"/>
  <c r="BX27" i="20"/>
  <c r="CD22" i="20"/>
  <c r="CH13" i="20"/>
  <c r="CC23" i="20"/>
  <c r="CG24" i="20"/>
  <c r="CE16" i="20"/>
  <c r="BV10" i="20"/>
  <c r="BT24" i="20"/>
  <c r="CB15" i="20"/>
  <c r="CO27" i="20"/>
  <c r="CR12" i="20"/>
  <c r="CB23" i="20"/>
  <c r="BP18" i="20"/>
  <c r="CI24" i="20"/>
  <c r="BU21" i="20"/>
  <c r="BP12" i="20"/>
  <c r="CN12" i="20"/>
  <c r="BQ22" i="20"/>
  <c r="CL9" i="20"/>
  <c r="BY8" i="20"/>
  <c r="CF13" i="20"/>
  <c r="CH8" i="20"/>
  <c r="CN21" i="20"/>
  <c r="BZ12" i="20"/>
  <c r="CF17" i="20"/>
  <c r="CF18" i="20"/>
  <c r="BW26" i="20"/>
  <c r="CJ12" i="20"/>
  <c r="CJ16" i="20"/>
  <c r="BR22" i="20"/>
  <c r="CQ9" i="20"/>
  <c r="CH10" i="20"/>
  <c r="CF23" i="20"/>
  <c r="BQ27" i="20"/>
  <c r="CH22" i="20"/>
  <c r="BV9" i="20"/>
  <c r="BS9" i="20"/>
  <c r="CK18" i="20"/>
  <c r="BZ13" i="20"/>
  <c r="CB17" i="20"/>
  <c r="CH17" i="20"/>
  <c r="CA24" i="20"/>
  <c r="BZ26" i="20"/>
  <c r="CM21" i="20"/>
  <c r="CS9" i="20"/>
  <c r="CE10" i="20"/>
  <c r="CC12" i="20"/>
  <c r="BU20" i="20"/>
  <c r="BQ21" i="20"/>
  <c r="BY15" i="20"/>
  <c r="BQ20" i="20"/>
  <c r="CR24" i="20"/>
  <c r="BW16" i="20"/>
  <c r="BP19" i="20"/>
  <c r="BS15" i="20"/>
  <c r="CS8" i="20"/>
  <c r="CG12" i="20"/>
  <c r="CG15" i="20"/>
  <c r="CL11" i="20"/>
  <c r="BY21" i="20"/>
  <c r="CS23" i="20"/>
  <c r="BP20" i="20"/>
  <c r="CP22" i="20"/>
  <c r="BR23" i="20"/>
  <c r="BQ24" i="20"/>
  <c r="CP13" i="20"/>
  <c r="CF14" i="20"/>
  <c r="BX20" i="20"/>
  <c r="CS22" i="20"/>
  <c r="CR26" i="20"/>
  <c r="CM20" i="20"/>
  <c r="BQ9" i="20"/>
  <c r="CA10" i="20"/>
  <c r="CG27" i="20"/>
  <c r="CI15" i="20"/>
  <c r="CK27" i="20"/>
  <c r="BU12" i="20"/>
  <c r="CN20" i="20"/>
  <c r="BR19" i="20"/>
  <c r="CL24" i="20"/>
  <c r="BU17" i="20"/>
  <c r="CH14" i="20"/>
  <c r="CO23" i="20"/>
  <c r="CL16" i="20"/>
  <c r="BS11" i="20"/>
  <c r="BP26" i="20"/>
  <c r="CS19" i="20"/>
  <c r="BW21" i="20"/>
  <c r="CP24" i="20"/>
  <c r="BZ15" i="20"/>
  <c r="CI13" i="20"/>
  <c r="BR9" i="20"/>
  <c r="CJ13" i="20"/>
  <c r="CP17" i="20"/>
  <c r="BP21" i="20"/>
  <c r="CM10" i="20"/>
  <c r="CR25" i="20"/>
  <c r="CS20" i="20"/>
  <c r="BX13" i="20"/>
  <c r="BS26" i="20"/>
  <c r="CP23" i="20"/>
  <c r="CI23" i="20"/>
  <c r="CR9" i="20"/>
  <c r="CO20" i="20"/>
  <c r="BU9" i="20"/>
  <c r="CP21" i="20"/>
  <c r="CN26" i="20"/>
  <c r="BV12" i="20"/>
  <c r="BU8" i="20"/>
  <c r="CQ13" i="20"/>
  <c r="BQ19" i="20"/>
  <c r="CJ15" i="20"/>
  <c r="BR11" i="20"/>
  <c r="CD24" i="20"/>
  <c r="CD18" i="20"/>
  <c r="CO26" i="20"/>
  <c r="BS19" i="20"/>
  <c r="CN25" i="20"/>
  <c r="CJ8" i="20"/>
  <c r="CS25" i="20"/>
  <c r="CM17" i="20"/>
  <c r="CJ14" i="20"/>
  <c r="CQ16" i="20"/>
  <c r="CI11" i="20"/>
  <c r="BQ23" i="20"/>
  <c r="CI18" i="20"/>
  <c r="BV24" i="20"/>
  <c r="CD21" i="20"/>
  <c r="CS11" i="20"/>
  <c r="BT26" i="20"/>
  <c r="CD23" i="20"/>
  <c r="BZ22" i="20"/>
  <c r="CG23" i="20"/>
  <c r="BX23" i="20"/>
  <c r="BY14" i="20"/>
  <c r="CA17" i="20"/>
  <c r="CD15" i="20"/>
  <c r="BY25" i="20"/>
  <c r="CE8" i="20"/>
  <c r="CD17" i="20"/>
  <c r="BP10" i="20"/>
  <c r="CA20" i="20"/>
  <c r="CF9" i="20"/>
  <c r="CG21" i="20"/>
  <c r="CB22" i="20"/>
  <c r="BY10" i="20"/>
  <c r="BV17" i="20"/>
  <c r="CS13" i="20"/>
  <c r="CH9" i="20"/>
  <c r="CL19" i="20"/>
  <c r="CP8" i="20"/>
  <c r="BR15" i="20"/>
  <c r="CM27" i="20"/>
  <c r="CA23" i="20"/>
  <c r="BR13" i="20"/>
  <c r="BY13" i="20"/>
  <c r="CR23" i="20"/>
  <c r="CI14" i="20"/>
  <c r="BT20" i="20"/>
  <c r="CB12" i="20"/>
  <c r="CN16" i="20"/>
  <c r="CG18" i="20"/>
  <c r="CG9" i="20"/>
  <c r="CG11" i="20"/>
  <c r="BX12" i="20"/>
  <c r="BZ20" i="20"/>
  <c r="CP25" i="20"/>
  <c r="CP26" i="20"/>
  <c r="BR18" i="20"/>
  <c r="CI21" i="20"/>
  <c r="BS16" i="20"/>
  <c r="CJ20" i="20"/>
  <c r="BS13" i="20"/>
  <c r="CQ19" i="20"/>
  <c r="CE24" i="20"/>
  <c r="CA11" i="20"/>
  <c r="CC11" i="20"/>
  <c r="CG13" i="20"/>
  <c r="BS18" i="20"/>
  <c r="CS27" i="20"/>
  <c r="CC22" i="20"/>
  <c r="BW12" i="20"/>
  <c r="BT23" i="20"/>
  <c r="BW20" i="20"/>
  <c r="CL13" i="20"/>
  <c r="BZ19" i="20"/>
  <c r="BY24" i="20"/>
  <c r="CP15" i="20"/>
  <c r="CC19" i="20"/>
  <c r="CD12" i="20"/>
  <c r="CP14" i="20"/>
  <c r="CO16" i="20"/>
  <c r="BQ16" i="20"/>
  <c r="BW8" i="20"/>
  <c r="BT11" i="20"/>
  <c r="BU23" i="20"/>
  <c r="CJ17" i="20"/>
  <c r="BX8" i="20"/>
  <c r="CL21" i="20"/>
  <c r="CH20" i="20"/>
  <c r="CQ25" i="20"/>
  <c r="CA26" i="20"/>
  <c r="CF22" i="20"/>
  <c r="BT21" i="20"/>
  <c r="CK23" i="20"/>
  <c r="CR16" i="20"/>
  <c r="BQ10" i="20"/>
  <c r="BV19" i="20"/>
  <c r="CK26" i="20"/>
  <c r="CP11" i="20"/>
  <c r="BU15" i="20"/>
  <c r="BZ27" i="20"/>
  <c r="BS24" i="20"/>
  <c r="CP27" i="20"/>
  <c r="BP13" i="20"/>
  <c r="BR20" i="20"/>
  <c r="CN17" i="20"/>
  <c r="CI9" i="20"/>
  <c r="CB26" i="20"/>
  <c r="CN10" i="20"/>
  <c r="CC15" i="20"/>
  <c r="CJ22" i="20"/>
  <c r="CA21" i="20"/>
  <c r="CQ24" i="20"/>
  <c r="BZ9" i="20"/>
  <c r="BU14" i="20"/>
  <c r="CB20" i="20"/>
  <c r="BY12" i="20"/>
  <c r="CA9" i="20"/>
  <c r="BQ13" i="20"/>
  <c r="BP8" i="20"/>
  <c r="CK22" i="20"/>
  <c r="CA12" i="20"/>
  <c r="CH15" i="20"/>
  <c r="BY18" i="20"/>
  <c r="CB27" i="20"/>
  <c r="BQ11" i="20"/>
  <c r="CK11" i="20"/>
  <c r="BP27" i="20"/>
  <c r="CE20" i="20"/>
  <c r="CD13" i="20"/>
  <c r="BQ12" i="20"/>
  <c r="CO8" i="20"/>
  <c r="CH11" i="20"/>
  <c r="CR21" i="20"/>
  <c r="BW14" i="20"/>
  <c r="CF24" i="20"/>
  <c r="BP9" i="20"/>
  <c r="CE17" i="20"/>
  <c r="CK20" i="20"/>
  <c r="CN14" i="20"/>
  <c r="CD11" i="20"/>
  <c r="CK19" i="20"/>
  <c r="CF12" i="20"/>
  <c r="CS21" i="20"/>
  <c r="BW18" i="20"/>
  <c r="BS8" i="20"/>
  <c r="CD20" i="20"/>
  <c r="CK15" i="20"/>
  <c r="CJ27" i="20"/>
  <c r="CE12" i="20"/>
  <c r="BR21" i="20"/>
  <c r="CM25" i="20"/>
  <c r="CN9" i="20"/>
  <c r="CS16" i="20"/>
  <c r="BT9" i="20"/>
  <c r="CC20" i="20"/>
  <c r="CL12" i="20"/>
  <c r="CF21" i="20"/>
  <c r="BV16" i="20"/>
  <c r="CK12" i="20"/>
  <c r="CB9" i="20"/>
  <c r="CQ12" i="20"/>
  <c r="CO15" i="20"/>
  <c r="BS22" i="20"/>
  <c r="CK8" i="20"/>
  <c r="BP11" i="20"/>
  <c r="CP20" i="20"/>
  <c r="CS24" i="20"/>
  <c r="CM26" i="20"/>
  <c r="BY23" i="20"/>
  <c r="BU16" i="20"/>
  <c r="BY19" i="20"/>
  <c r="BT8" i="20"/>
  <c r="CC13" i="20"/>
  <c r="BY17" i="20"/>
  <c r="BT25" i="20"/>
  <c r="CH12" i="20"/>
  <c r="CQ22" i="20"/>
  <c r="CP16" i="20"/>
  <c r="BT27" i="20"/>
  <c r="BX9" i="20"/>
  <c r="BX10" i="20"/>
  <c r="CN23" i="20"/>
  <c r="BW13" i="20"/>
  <c r="CF10" i="20"/>
  <c r="CL14" i="20"/>
  <c r="BW23" i="20"/>
  <c r="CN11" i="20"/>
  <c r="BV14" i="20"/>
  <c r="CJ21" i="20"/>
  <c r="CL8" i="20"/>
  <c r="CJ24" i="20"/>
  <c r="CK10" i="20"/>
  <c r="CO18" i="20"/>
  <c r="BZ24" i="20"/>
  <c r="CR11" i="20"/>
  <c r="CD26" i="20"/>
  <c r="CF11" i="20"/>
  <c r="CR17" i="20"/>
  <c r="BW17" i="20"/>
  <c r="CA25" i="20"/>
  <c r="CG22" i="20"/>
  <c r="BQ17" i="20"/>
  <c r="BU19" i="20"/>
  <c r="CI10" i="20"/>
  <c r="CE11" i="20"/>
  <c r="CR19" i="20"/>
  <c r="CB16" i="20"/>
  <c r="CR15" i="20"/>
  <c r="BV15" i="20"/>
  <c r="BU26" i="20"/>
  <c r="CI20" i="20"/>
  <c r="BS17" i="20"/>
  <c r="CS10" i="20"/>
  <c r="CF16" i="20"/>
  <c r="CS26" i="20"/>
  <c r="CL25" i="20"/>
  <c r="CB19" i="20"/>
  <c r="BR27" i="20"/>
  <c r="CO24" i="20"/>
  <c r="BT16" i="20"/>
  <c r="CQ20" i="20"/>
  <c r="CC17" i="20"/>
  <c r="BQ26" i="20"/>
  <c r="BS14" i="20"/>
  <c r="CD16" i="20"/>
  <c r="BV27" i="20"/>
  <c r="BR24" i="20"/>
  <c r="BW22" i="20"/>
  <c r="CH19" i="20"/>
  <c r="CE27" i="20"/>
  <c r="CC8" i="20"/>
  <c r="CR8" i="20"/>
  <c r="CQ11" i="20"/>
  <c r="CO12" i="20"/>
  <c r="BQ25" i="20"/>
  <c r="CN13" i="20"/>
  <c r="CS18" i="20"/>
  <c r="CJ10" i="20"/>
  <c r="BX21" i="20"/>
  <c r="BZ23" i="20"/>
  <c r="CO10" i="20"/>
  <c r="CE14" i="20"/>
  <c r="CN27" i="20"/>
  <c r="CE18" i="20"/>
  <c r="CF20" i="20"/>
  <c r="CO14" i="20"/>
  <c r="CS15" i="20"/>
  <c r="BU11" i="20"/>
  <c r="BT19" i="20"/>
  <c r="CK21" i="20"/>
  <c r="CG16" i="20"/>
  <c r="BP14" i="20"/>
  <c r="CM15" i="20"/>
  <c r="BV13" i="20"/>
  <c r="CK9" i="20"/>
  <c r="BZ17" i="20"/>
  <c r="CI26" i="20"/>
  <c r="BP24" i="20"/>
  <c r="CA15" i="20"/>
  <c r="BS21" i="20"/>
  <c r="CO19" i="20"/>
  <c r="CH18" i="20"/>
  <c r="CN24" i="20"/>
  <c r="BR14" i="20"/>
  <c r="BX18" i="20"/>
  <c r="CK13" i="20"/>
  <c r="CH21" i="20"/>
  <c r="CD9" i="20"/>
  <c r="CD27" i="20"/>
  <c r="CS12" i="20"/>
  <c r="CM13" i="20"/>
  <c r="BR10" i="20"/>
  <c r="CK24" i="20"/>
  <c r="CE15" i="20"/>
  <c r="BQ15" i="20"/>
  <c r="BX22" i="20"/>
  <c r="CA27" i="20"/>
  <c r="CF26" i="20"/>
  <c r="CP18" i="20"/>
  <c r="BV8" i="20"/>
  <c r="BU27" i="20"/>
  <c r="BT10" i="20"/>
  <c r="CB21" i="20"/>
  <c r="BW25" i="20"/>
  <c r="BP22" i="20"/>
  <c r="BY20" i="20"/>
  <c r="CA13" i="20"/>
  <c r="BU22" i="20"/>
  <c r="CI16" i="20"/>
  <c r="BR16" i="20"/>
  <c r="BW24" i="20"/>
  <c r="CH25" i="20"/>
  <c r="CR20" i="20"/>
  <c r="CO22" i="20"/>
  <c r="CL17" i="20"/>
  <c r="BP23" i="20"/>
  <c r="CM22" i="20"/>
  <c r="CN22" i="20"/>
  <c r="CC25" i="20"/>
  <c r="BZ8" i="20"/>
  <c r="CJ26" i="20"/>
  <c r="CH27" i="20"/>
  <c r="CC9" i="20"/>
  <c r="BV22" i="20"/>
  <c r="CN15" i="20"/>
  <c r="CN19" i="20"/>
  <c r="BX19" i="20"/>
  <c r="BQ8" i="20"/>
  <c r="CP12" i="20"/>
  <c r="CG20" i="20"/>
  <c r="CO11" i="20"/>
  <c r="CH23" i="20"/>
  <c r="CJ19" i="20"/>
  <c r="BV18" i="20"/>
  <c r="CF15" i="20"/>
  <c r="CG19" i="20"/>
  <c r="CQ14" i="20"/>
  <c r="BS25" i="20"/>
  <c r="CK14" i="20"/>
  <c r="BP25" i="20"/>
  <c r="BR8" i="20"/>
  <c r="CM16" i="20"/>
  <c r="BX26" i="20"/>
  <c r="CD10" i="20"/>
  <c r="CB8" i="20"/>
  <c r="CB14" i="20"/>
  <c r="CQ23" i="20"/>
  <c r="CL22" i="20"/>
  <c r="BX16" i="20"/>
  <c r="BU24" i="20"/>
  <c r="CP19" i="20"/>
  <c r="CB25" i="20"/>
  <c r="BT22" i="20"/>
  <c r="CB24" i="20"/>
  <c r="CO17" i="20"/>
  <c r="BT12" i="20"/>
  <c r="CA18" i="20"/>
  <c r="CS17" i="20"/>
  <c r="CC16" i="20"/>
  <c r="CM19" i="20"/>
  <c r="BU10" i="20"/>
  <c r="CE25" i="20"/>
  <c r="BY27" i="20"/>
  <c r="CQ27" i="20"/>
  <c r="BX17" i="20"/>
  <c r="BT13" i="20"/>
  <c r="BW9" i="20"/>
  <c r="CJ18" i="20"/>
  <c r="CK124" i="33" l="1"/>
  <c r="CI138" i="33"/>
  <c r="CC47" i="33"/>
  <c r="AM41" i="33"/>
  <c r="AM140" i="33" s="1"/>
  <c r="AM135" i="33"/>
  <c r="X26" i="33"/>
  <c r="X107" i="33" s="1"/>
  <c r="X102" i="33"/>
  <c r="AT36" i="33"/>
  <c r="AT129" i="33" s="1"/>
  <c r="AT124" i="33"/>
  <c r="DT128" i="33"/>
  <c r="DU128" i="33"/>
  <c r="DB128" i="33"/>
  <c r="DS128" i="33"/>
  <c r="DL128" i="33"/>
  <c r="CQ128" i="33"/>
  <c r="CX128" i="33"/>
  <c r="CW128" i="33"/>
  <c r="CS128" i="33"/>
  <c r="DI128" i="33"/>
  <c r="DQ128" i="33"/>
  <c r="CR128" i="33"/>
  <c r="CZ128" i="33"/>
  <c r="DV128" i="33"/>
  <c r="DG128" i="33"/>
  <c r="CM128" i="33"/>
  <c r="DE128" i="33"/>
  <c r="DM128" i="33"/>
  <c r="CN128" i="33"/>
  <c r="DP128" i="33"/>
  <c r="CT128" i="33"/>
  <c r="CV128" i="33"/>
  <c r="DJ128" i="33"/>
  <c r="DK128" i="33"/>
  <c r="DA128" i="33"/>
  <c r="DF128" i="33"/>
  <c r="CU128" i="33"/>
  <c r="CO128" i="33"/>
  <c r="DC128" i="33"/>
  <c r="DH128" i="33"/>
  <c r="AN113" i="33"/>
  <c r="AN31" i="33"/>
  <c r="AN118" i="33" s="1"/>
  <c r="V36" i="33"/>
  <c r="V129" i="33" s="1"/>
  <c r="V124" i="33"/>
  <c r="BA135" i="33"/>
  <c r="BA41" i="33"/>
  <c r="BA140" i="33" s="1"/>
  <c r="DD128" i="33"/>
  <c r="AN80" i="33"/>
  <c r="AN16" i="33"/>
  <c r="AN85" i="33" s="1"/>
  <c r="AH69" i="33"/>
  <c r="AH11" i="33"/>
  <c r="AH74" i="33" s="1"/>
  <c r="AW26" i="33"/>
  <c r="AW107" i="33" s="1"/>
  <c r="AW102" i="33"/>
  <c r="AE124" i="33"/>
  <c r="AE36" i="33"/>
  <c r="AE129" i="33" s="1"/>
  <c r="CP128" i="33"/>
  <c r="AE80" i="33"/>
  <c r="AE16" i="33"/>
  <c r="AE85" i="33" s="1"/>
  <c r="AT69" i="33"/>
  <c r="AT11" i="33"/>
  <c r="AT74" i="33" s="1"/>
  <c r="X135" i="33"/>
  <c r="X41" i="33"/>
  <c r="X140" i="33" s="1"/>
  <c r="AM91" i="33"/>
  <c r="AM21" i="33"/>
  <c r="AM96" i="33" s="1"/>
  <c r="BA91" i="33"/>
  <c r="BA21" i="33"/>
  <c r="BA96" i="33" s="1"/>
  <c r="CC48" i="33"/>
  <c r="CC49" i="33" s="1"/>
  <c r="BA102" i="33"/>
  <c r="BA26" i="33"/>
  <c r="BA107" i="33" s="1"/>
  <c r="V41" i="33"/>
  <c r="V140" i="33" s="1"/>
  <c r="V135" i="33"/>
  <c r="AM124" i="33"/>
  <c r="AM36" i="33"/>
  <c r="AM129" i="33" s="1"/>
  <c r="AT102" i="33"/>
  <c r="AT26" i="33"/>
  <c r="AT107" i="33" s="1"/>
  <c r="AW69" i="33"/>
  <c r="AW11" i="33"/>
  <c r="AW74" i="33" s="1"/>
  <c r="X113" i="33"/>
  <c r="X31" i="33"/>
  <c r="X118" i="33" s="1"/>
  <c r="U16" i="33"/>
  <c r="U85" i="33" s="1"/>
  <c r="U80" i="33"/>
  <c r="AN11" i="33"/>
  <c r="AN74" i="33" s="1"/>
  <c r="AN69" i="33"/>
  <c r="U36" i="33"/>
  <c r="U129" i="33" s="1"/>
  <c r="U124" i="33"/>
  <c r="U135" i="33"/>
  <c r="U41" i="33"/>
  <c r="U140" i="33" s="1"/>
  <c r="V69" i="33"/>
  <c r="V11" i="33"/>
  <c r="V74" i="33" s="1"/>
  <c r="AW75" i="33"/>
  <c r="AW86" i="33" s="1"/>
  <c r="AW97" i="33" s="1"/>
  <c r="AW108" i="33" s="1"/>
  <c r="AW119" i="33" s="1"/>
  <c r="AW130" i="33" s="1"/>
  <c r="V80" i="33"/>
  <c r="V16" i="33"/>
  <c r="V85" i="33" s="1"/>
  <c r="X21" i="33"/>
  <c r="X96" i="33" s="1"/>
  <c r="X91" i="33"/>
  <c r="AM80" i="33"/>
  <c r="AM16" i="33"/>
  <c r="AM85" i="33" s="1"/>
  <c r="AH36" i="33"/>
  <c r="AH129" i="33" s="1"/>
  <c r="AH124" i="33"/>
  <c r="AH26" i="33"/>
  <c r="AH107" i="33" s="1"/>
  <c r="AH102" i="33"/>
  <c r="X36" i="33"/>
  <c r="X129" i="33" s="1"/>
  <c r="X124" i="33"/>
  <c r="U11" i="33"/>
  <c r="U74" i="33" s="1"/>
  <c r="U69" i="33"/>
  <c r="AE31" i="33"/>
  <c r="AE118" i="33" s="1"/>
  <c r="AE113" i="33"/>
  <c r="BT137" i="33"/>
  <c r="BZ137" i="33" s="1"/>
  <c r="CF137" i="33" s="1"/>
  <c r="BA113" i="33"/>
  <c r="BA31" i="33"/>
  <c r="BA118" i="33" s="1"/>
  <c r="V21" i="33"/>
  <c r="V96" i="33" s="1"/>
  <c r="V91" i="33"/>
  <c r="AM102" i="33"/>
  <c r="AM26" i="33"/>
  <c r="AM107" i="33" s="1"/>
  <c r="AT91" i="33"/>
  <c r="AT21" i="33"/>
  <c r="AT96" i="33" s="1"/>
  <c r="AN41" i="33"/>
  <c r="AN140" i="33" s="1"/>
  <c r="AN135" i="33"/>
  <c r="AM11" i="33"/>
  <c r="AM74" i="33" s="1"/>
  <c r="AM69" i="33"/>
  <c r="U31" i="33"/>
  <c r="U118" i="33" s="1"/>
  <c r="U113" i="33"/>
  <c r="AT135" i="33"/>
  <c r="AT41" i="33"/>
  <c r="AT140" i="33" s="1"/>
  <c r="AW80" i="33"/>
  <c r="AW16" i="33"/>
  <c r="AW85" i="33" s="1"/>
  <c r="AH113" i="33"/>
  <c r="AH31" i="33"/>
  <c r="AH118" i="33" s="1"/>
  <c r="AM113" i="33"/>
  <c r="AM31" i="33"/>
  <c r="AM118" i="33" s="1"/>
  <c r="CI125" i="33"/>
  <c r="BA124" i="33"/>
  <c r="BA36" i="33"/>
  <c r="BA129" i="33" s="1"/>
  <c r="V26" i="33"/>
  <c r="V107" i="33" s="1"/>
  <c r="V102" i="33"/>
  <c r="AN91" i="33"/>
  <c r="AN21" i="33"/>
  <c r="AN96" i="33" s="1"/>
  <c r="BA80" i="33"/>
  <c r="BA16" i="33"/>
  <c r="BA85" i="33" s="1"/>
  <c r="AN26" i="33"/>
  <c r="AN107" i="33" s="1"/>
  <c r="AN102" i="33"/>
  <c r="AE91" i="33"/>
  <c r="AE21" i="33"/>
  <c r="AE96" i="33" s="1"/>
  <c r="AW91" i="33"/>
  <c r="AW21" i="33"/>
  <c r="AW96" i="33" s="1"/>
  <c r="BT134" i="33"/>
  <c r="BZ134" i="33" s="1"/>
  <c r="CF134" i="33" s="1"/>
  <c r="X69" i="33"/>
  <c r="X11" i="33"/>
  <c r="X74" i="33" s="1"/>
  <c r="AW124" i="33"/>
  <c r="AW36" i="33"/>
  <c r="AW129" i="33" s="1"/>
  <c r="AE26" i="33"/>
  <c r="AE107" i="33" s="1"/>
  <c r="AE102" i="33"/>
  <c r="AH41" i="33"/>
  <c r="AH140" i="33" s="1"/>
  <c r="AH135" i="33"/>
  <c r="U91" i="33"/>
  <c r="U21" i="33"/>
  <c r="U96" i="33" s="1"/>
  <c r="AW135" i="33"/>
  <c r="AW41" i="33"/>
  <c r="AW140" i="33" s="1"/>
  <c r="AE41" i="33"/>
  <c r="AE140" i="33" s="1"/>
  <c r="AE135" i="33"/>
  <c r="X80" i="33"/>
  <c r="X16" i="33"/>
  <c r="X85" i="33" s="1"/>
  <c r="AT31" i="33"/>
  <c r="AT118" i="33" s="1"/>
  <c r="AT113" i="33"/>
  <c r="BA11" i="33"/>
  <c r="BA74" i="33" s="1"/>
  <c r="BA69" i="33"/>
  <c r="AN124" i="33"/>
  <c r="AN36" i="33"/>
  <c r="AN129" i="33" s="1"/>
  <c r="V31" i="33"/>
  <c r="V118" i="33" s="1"/>
  <c r="V113" i="33"/>
  <c r="AH80" i="33"/>
  <c r="AH16" i="33"/>
  <c r="AH85" i="33" s="1"/>
  <c r="AT80" i="33"/>
  <c r="AT16" i="33"/>
  <c r="AT85" i="33" s="1"/>
  <c r="AE11" i="33"/>
  <c r="AE74" i="33" s="1"/>
  <c r="AE69" i="33"/>
  <c r="AE75" i="33" s="1"/>
  <c r="AE86" i="33" s="1"/>
  <c r="AE97" i="33" s="1"/>
  <c r="AE108" i="33" s="1"/>
  <c r="AE119" i="33" s="1"/>
  <c r="AE130" i="33" s="1"/>
  <c r="AE141" i="33" s="1"/>
  <c r="AE143" i="33" s="1"/>
  <c r="AH91" i="33"/>
  <c r="AH21" i="33"/>
  <c r="AH96" i="33" s="1"/>
  <c r="AW31" i="33"/>
  <c r="AW118" i="33" s="1"/>
  <c r="AW113" i="33"/>
  <c r="U102" i="33"/>
  <c r="U26" i="33"/>
  <c r="U107" i="33" s="1"/>
  <c r="AL21" i="20"/>
  <c r="AL10" i="20"/>
  <c r="AS22" i="20"/>
  <c r="AT17" i="20"/>
  <c r="AX15" i="20"/>
  <c r="AQ22" i="20"/>
  <c r="AL17" i="20"/>
  <c r="X15" i="20"/>
  <c r="AI9" i="20"/>
  <c r="AN17" i="20"/>
  <c r="AF14" i="20"/>
  <c r="AE9" i="20"/>
  <c r="AN13" i="20"/>
  <c r="Z14" i="20"/>
  <c r="AS16" i="20"/>
  <c r="AP13" i="20"/>
  <c r="Y24" i="20"/>
  <c r="AG8" i="20"/>
  <c r="AH21" i="20"/>
  <c r="AR13" i="20"/>
  <c r="AM24" i="20"/>
  <c r="AK26" i="20"/>
  <c r="Y21" i="20"/>
  <c r="AH10" i="20"/>
  <c r="AF23" i="20"/>
  <c r="AD19" i="20"/>
  <c r="AV21" i="20"/>
  <c r="AA21" i="20"/>
  <c r="AM17" i="20"/>
  <c r="AS13" i="20"/>
  <c r="W10" i="20"/>
  <c r="AD10" i="20"/>
  <c r="AO15" i="20"/>
  <c r="X24" i="20"/>
  <c r="AG23" i="20"/>
  <c r="AT22" i="20"/>
  <c r="AY9" i="20"/>
  <c r="Y16" i="20"/>
  <c r="AD8" i="20"/>
  <c r="AC20" i="20"/>
  <c r="Z21" i="20"/>
  <c r="AY21" i="20"/>
  <c r="AZ17" i="20"/>
  <c r="X13" i="20"/>
  <c r="AT10" i="20"/>
  <c r="AR15" i="20"/>
  <c r="AX14" i="20"/>
  <c r="AI24" i="20"/>
  <c r="AV23" i="20"/>
  <c r="AJ22" i="20"/>
  <c r="AP9" i="20"/>
  <c r="AO16" i="20"/>
  <c r="Y26" i="20"/>
  <c r="AP20" i="20"/>
  <c r="AW21" i="20"/>
  <c r="AG17" i="20"/>
  <c r="AA17" i="20"/>
  <c r="W13" i="20"/>
  <c r="AE10" i="20"/>
  <c r="AM15" i="20"/>
  <c r="X14" i="20"/>
  <c r="AH24" i="20"/>
  <c r="AS23" i="20"/>
  <c r="AP22" i="20"/>
  <c r="AN9" i="20"/>
  <c r="AZ16" i="20"/>
  <c r="AL26" i="20"/>
  <c r="AO20" i="20"/>
  <c r="AX21" i="20"/>
  <c r="AK17" i="20"/>
  <c r="AE17" i="20"/>
  <c r="AW13" i="20"/>
  <c r="AX10" i="20"/>
  <c r="AN15" i="20"/>
  <c r="AE14" i="20"/>
  <c r="BX30" i="20"/>
  <c r="AE24" i="20"/>
  <c r="AY23" i="20"/>
  <c r="AF22" i="20"/>
  <c r="AS9" i="20"/>
  <c r="AV16" i="20"/>
  <c r="AT26" i="20"/>
  <c r="AS20" i="20"/>
  <c r="AR16" i="20"/>
  <c r="AO18" i="20"/>
  <c r="AU21" i="20"/>
  <c r="AQ17" i="20"/>
  <c r="AD13" i="20"/>
  <c r="AV13" i="20"/>
  <c r="AQ10" i="20"/>
  <c r="AG15" i="20"/>
  <c r="AB14" i="20"/>
  <c r="AG24" i="20"/>
  <c r="AH23" i="20"/>
  <c r="AX22" i="20"/>
  <c r="AH9" i="20"/>
  <c r="W8" i="20"/>
  <c r="AH19" i="20"/>
  <c r="AU18" i="20"/>
  <c r="AP21" i="20"/>
  <c r="AT21" i="20"/>
  <c r="AY17" i="20"/>
  <c r="Y13" i="20"/>
  <c r="AO13" i="20"/>
  <c r="AC10" i="20"/>
  <c r="AS15" i="20"/>
  <c r="BV30" i="20"/>
  <c r="K45" i="19" s="1"/>
  <c r="AC14" i="20"/>
  <c r="AV24" i="20"/>
  <c r="Z23" i="20"/>
  <c r="AM22" i="20"/>
  <c r="AB16" i="20"/>
  <c r="AF8" i="20"/>
  <c r="X19" i="20"/>
  <c r="AA18" i="20"/>
  <c r="AT16" i="20"/>
  <c r="AB8" i="20"/>
  <c r="AX8" i="20"/>
  <c r="AJ8" i="20"/>
  <c r="W26" i="20"/>
  <c r="AA26" i="20"/>
  <c r="AG26" i="20"/>
  <c r="AX26" i="20"/>
  <c r="AT19" i="20"/>
  <c r="CD32" i="20"/>
  <c r="AK19" i="20"/>
  <c r="AF19" i="20"/>
  <c r="AV19" i="20"/>
  <c r="AJ20" i="20"/>
  <c r="AV20" i="20"/>
  <c r="AK20" i="20"/>
  <c r="AN20" i="20"/>
  <c r="AQ18" i="20"/>
  <c r="AL18" i="20"/>
  <c r="Z18" i="20"/>
  <c r="AM25" i="20"/>
  <c r="AG25" i="20"/>
  <c r="AV25" i="20"/>
  <c r="AX25" i="20"/>
  <c r="AU11" i="20"/>
  <c r="AF11" i="20"/>
  <c r="Y11" i="20"/>
  <c r="X11" i="20"/>
  <c r="AN27" i="20"/>
  <c r="AC27" i="20"/>
  <c r="AC60" i="20" s="1"/>
  <c r="AZ27" i="20"/>
  <c r="AJ27" i="20"/>
  <c r="AE12" i="20"/>
  <c r="AI12" i="20"/>
  <c r="Y12" i="20"/>
  <c r="AI21" i="20"/>
  <c r="AG21" i="20"/>
  <c r="AN21" i="20"/>
  <c r="AZ21" i="20"/>
  <c r="AD17" i="20"/>
  <c r="AJ17" i="20"/>
  <c r="AU17" i="20"/>
  <c r="AB17" i="20"/>
  <c r="AJ13" i="20"/>
  <c r="AH13" i="20"/>
  <c r="AZ13" i="20"/>
  <c r="AM13" i="20"/>
  <c r="AB10" i="20"/>
  <c r="X10" i="20"/>
  <c r="AF10" i="20"/>
  <c r="AF15" i="20"/>
  <c r="AU15" i="20"/>
  <c r="AY15" i="20"/>
  <c r="AP15" i="20"/>
  <c r="Y14" i="20"/>
  <c r="BR30" i="20"/>
  <c r="I45" i="19" s="1"/>
  <c r="AA14" i="20"/>
  <c r="BT30" i="20"/>
  <c r="J45" i="19" s="1"/>
  <c r="W14" i="20"/>
  <c r="BP30" i="20"/>
  <c r="H45" i="19" s="1"/>
  <c r="AL14" i="20"/>
  <c r="AL24" i="20"/>
  <c r="AA24" i="20"/>
  <c r="AF24" i="20"/>
  <c r="AT24" i="20"/>
  <c r="AN23" i="20"/>
  <c r="AC23" i="20"/>
  <c r="AA23" i="20"/>
  <c r="W22" i="20"/>
  <c r="AB22" i="20"/>
  <c r="AY22" i="20"/>
  <c r="AZ22" i="20"/>
  <c r="Y9" i="20"/>
  <c r="AL9" i="20"/>
  <c r="AU9" i="20"/>
  <c r="W9" i="20"/>
  <c r="AM16" i="20"/>
  <c r="AN16" i="20"/>
  <c r="AQ16" i="20"/>
  <c r="AJ16" i="20"/>
  <c r="AA8" i="20"/>
  <c r="AH8" i="20"/>
  <c r="AE8" i="20"/>
  <c r="AO26" i="20"/>
  <c r="AR26" i="20"/>
  <c r="AI26" i="20"/>
  <c r="AJ26" i="20"/>
  <c r="AB19" i="20"/>
  <c r="AI19" i="20"/>
  <c r="CB32" i="20"/>
  <c r="AA19" i="20"/>
  <c r="BT32" i="20"/>
  <c r="AG19" i="20"/>
  <c r="BZ32" i="20"/>
  <c r="AW20" i="20"/>
  <c r="AI20" i="20"/>
  <c r="AQ20" i="20"/>
  <c r="AY20" i="20"/>
  <c r="AW18" i="20"/>
  <c r="AD18" i="20"/>
  <c r="AR18" i="20"/>
  <c r="AJ25" i="20"/>
  <c r="W25" i="20"/>
  <c r="AZ25" i="20"/>
  <c r="AI25" i="20"/>
  <c r="AR11" i="20"/>
  <c r="Z11" i="20"/>
  <c r="AG11" i="20"/>
  <c r="AV11" i="20"/>
  <c r="AF27" i="20"/>
  <c r="AI27" i="20"/>
  <c r="AI60" i="20" s="1"/>
  <c r="AP27" i="20"/>
  <c r="AQ27" i="20"/>
  <c r="AQ60" i="20" s="1"/>
  <c r="AA12" i="20"/>
  <c r="AW12" i="20"/>
  <c r="AL12" i="20"/>
  <c r="AO21" i="20"/>
  <c r="AK21" i="20"/>
  <c r="AR21" i="20"/>
  <c r="X21" i="20"/>
  <c r="AO17" i="20"/>
  <c r="AF17" i="20"/>
  <c r="AC17" i="20"/>
  <c r="AS17" i="20"/>
  <c r="AU13" i="20"/>
  <c r="AQ13" i="20"/>
  <c r="AB13" i="20"/>
  <c r="AV10" i="20"/>
  <c r="AG10" i="20"/>
  <c r="Y10" i="20"/>
  <c r="AJ10" i="20"/>
  <c r="AD15" i="20"/>
  <c r="W15" i="20"/>
  <c r="AV15" i="20"/>
  <c r="AL15" i="20"/>
  <c r="AD14" i="20"/>
  <c r="AT14" i="20"/>
  <c r="AQ14" i="20"/>
  <c r="CJ30" i="20"/>
  <c r="AS14" i="20"/>
  <c r="CL30" i="20"/>
  <c r="AK24" i="20"/>
  <c r="AW24" i="20"/>
  <c r="AR24" i="20"/>
  <c r="AZ23" i="20"/>
  <c r="AB23" i="20"/>
  <c r="AW23" i="20"/>
  <c r="AX23" i="20"/>
  <c r="AD22" i="20"/>
  <c r="Y22" i="20"/>
  <c r="AI22" i="20"/>
  <c r="AH22" i="20"/>
  <c r="AB9" i="20"/>
  <c r="AA9" i="20"/>
  <c r="AD9" i="20"/>
  <c r="AM9" i="20"/>
  <c r="AX16" i="20"/>
  <c r="X16" i="20"/>
  <c r="AY16" i="20"/>
  <c r="AU8" i="20"/>
  <c r="AC8" i="20"/>
  <c r="Z8" i="20"/>
  <c r="AQ8" i="20"/>
  <c r="AY26" i="20"/>
  <c r="AW26" i="20"/>
  <c r="AM26" i="20"/>
  <c r="AV26" i="20"/>
  <c r="CN32" i="20"/>
  <c r="AU19" i="20"/>
  <c r="Z19" i="20"/>
  <c r="BR32" i="20"/>
  <c r="Y19" i="20"/>
  <c r="AY19" i="20"/>
  <c r="CR32" i="20"/>
  <c r="AM20" i="20"/>
  <c r="X20" i="20"/>
  <c r="AH20" i="20"/>
  <c r="Y18" i="20"/>
  <c r="AG18" i="20"/>
  <c r="AP18" i="20"/>
  <c r="AV18" i="20"/>
  <c r="AY25" i="20"/>
  <c r="AU25" i="20"/>
  <c r="AE25" i="20"/>
  <c r="AH25" i="20"/>
  <c r="AJ11" i="20"/>
  <c r="AS11" i="20"/>
  <c r="AX11" i="20"/>
  <c r="AO11" i="20"/>
  <c r="AX27" i="20"/>
  <c r="AY27" i="20"/>
  <c r="AY59" i="20" s="1"/>
  <c r="AG27" i="20"/>
  <c r="AG60" i="20" s="1"/>
  <c r="AU12" i="20"/>
  <c r="AR12" i="20"/>
  <c r="X12" i="20"/>
  <c r="AV12" i="20"/>
  <c r="AS10" i="20"/>
  <c r="AO10" i="20"/>
  <c r="AI15" i="20"/>
  <c r="Z15" i="20"/>
  <c r="AB15" i="20"/>
  <c r="AE15" i="20"/>
  <c r="AN14" i="20"/>
  <c r="AK14" i="20"/>
  <c r="CD30" i="20"/>
  <c r="AV14" i="20"/>
  <c r="CF30" i="20"/>
  <c r="AM14" i="20"/>
  <c r="AC24" i="20"/>
  <c r="AN24" i="20"/>
  <c r="AP24" i="20"/>
  <c r="AJ23" i="20"/>
  <c r="AL23" i="20"/>
  <c r="AK23" i="20"/>
  <c r="AU23" i="20"/>
  <c r="AR22" i="20"/>
  <c r="AU22" i="20"/>
  <c r="Z22" i="20"/>
  <c r="X22" i="20"/>
  <c r="AW9" i="20"/>
  <c r="AJ9" i="20"/>
  <c r="AO9" i="20"/>
  <c r="AT9" i="20"/>
  <c r="Z16" i="20"/>
  <c r="AP16" i="20"/>
  <c r="AC16" i="20"/>
  <c r="AT8" i="20"/>
  <c r="AO8" i="20"/>
  <c r="AZ8" i="20"/>
  <c r="AI8" i="20"/>
  <c r="AI7" i="20" s="1"/>
  <c r="AU9" i="36" s="1"/>
  <c r="AF26" i="20"/>
  <c r="AB26" i="20"/>
  <c r="AH26" i="20"/>
  <c r="AD26" i="20"/>
  <c r="AW19" i="20"/>
  <c r="CP32" i="20"/>
  <c r="AM19" i="20"/>
  <c r="CF32" i="20"/>
  <c r="CH32" i="20"/>
  <c r="AO19" i="20"/>
  <c r="AR19" i="20"/>
  <c r="AD20" i="20"/>
  <c r="AF20" i="20"/>
  <c r="AG20" i="20"/>
  <c r="W18" i="20"/>
  <c r="AS18" i="20"/>
  <c r="AM18" i="20"/>
  <c r="AE18" i="20"/>
  <c r="AN25" i="20"/>
  <c r="AB25" i="20"/>
  <c r="AC25" i="20"/>
  <c r="AR25" i="20"/>
  <c r="AE11" i="20"/>
  <c r="AL11" i="20"/>
  <c r="AP11" i="20"/>
  <c r="AI11" i="20"/>
  <c r="W27" i="20"/>
  <c r="W60" i="20" s="1"/>
  <c r="AB27" i="20"/>
  <c r="AH27" i="20"/>
  <c r="AK12" i="20"/>
  <c r="AS12" i="20"/>
  <c r="AO12" i="20"/>
  <c r="AN12" i="20"/>
  <c r="AB21" i="20"/>
  <c r="AD21" i="20"/>
  <c r="AF21" i="20"/>
  <c r="AM21" i="20"/>
  <c r="Z17" i="20"/>
  <c r="AW17" i="20"/>
  <c r="AX17" i="20"/>
  <c r="AA13" i="20"/>
  <c r="AL13" i="20"/>
  <c r="Z13" i="20"/>
  <c r="AK13" i="20"/>
  <c r="AA10" i="20"/>
  <c r="AM10" i="20"/>
  <c r="AN10" i="20"/>
  <c r="AI10" i="20"/>
  <c r="Y15" i="20"/>
  <c r="AH15" i="20"/>
  <c r="AQ15" i="20"/>
  <c r="AJ15" i="20"/>
  <c r="AJ14" i="20"/>
  <c r="BZ30" i="20"/>
  <c r="L45" i="19" s="1"/>
  <c r="AG14" i="20"/>
  <c r="AH14" i="20"/>
  <c r="Z24" i="20"/>
  <c r="AJ24" i="20"/>
  <c r="AB24" i="20"/>
  <c r="AU24" i="20"/>
  <c r="AD23" i="20"/>
  <c r="AP23" i="20"/>
  <c r="W23" i="20"/>
  <c r="AE23" i="20"/>
  <c r="AN22" i="20"/>
  <c r="AA22" i="20"/>
  <c r="AV22" i="20"/>
  <c r="AW22" i="20"/>
  <c r="AQ9" i="20"/>
  <c r="AZ9" i="20"/>
  <c r="AK9" i="20"/>
  <c r="AU16" i="20"/>
  <c r="AE16" i="20"/>
  <c r="AI16" i="20"/>
  <c r="AK16" i="20"/>
  <c r="Y8" i="20"/>
  <c r="AV8" i="20"/>
  <c r="AL8" i="20"/>
  <c r="AY8" i="20"/>
  <c r="AS26" i="20"/>
  <c r="X26" i="20"/>
  <c r="AN26" i="20"/>
  <c r="AU26" i="20"/>
  <c r="AC19" i="20"/>
  <c r="BV32" i="20"/>
  <c r="BP32" i="20"/>
  <c r="W19" i="20"/>
  <c r="AP19" i="20"/>
  <c r="AL20" i="20"/>
  <c r="AU20" i="20"/>
  <c r="AR20" i="20"/>
  <c r="AT20" i="20"/>
  <c r="AN18" i="20"/>
  <c r="AK18" i="20"/>
  <c r="X18" i="20"/>
  <c r="AC18" i="20"/>
  <c r="AL25" i="20"/>
  <c r="AQ25" i="20"/>
  <c r="AP25" i="20"/>
  <c r="AT25" i="20"/>
  <c r="W11" i="20"/>
  <c r="AA11" i="20"/>
  <c r="AB11" i="20"/>
  <c r="AL27" i="20"/>
  <c r="Y27" i="20"/>
  <c r="Y60" i="20" s="1"/>
  <c r="AW27" i="20"/>
  <c r="AW60" i="20" s="1"/>
  <c r="AM27" i="20"/>
  <c r="AM60" i="20" s="1"/>
  <c r="AH12" i="20"/>
  <c r="AX12" i="20"/>
  <c r="W12" i="20"/>
  <c r="AF12" i="20"/>
  <c r="AH18" i="20"/>
  <c r="Y25" i="20"/>
  <c r="Z25" i="20"/>
  <c r="AK25" i="20"/>
  <c r="AS25" i="20"/>
  <c r="AD11" i="20"/>
  <c r="AC11" i="20"/>
  <c r="AH11" i="20"/>
  <c r="Z27" i="20"/>
  <c r="AK27" i="20"/>
  <c r="AK60" i="20" s="1"/>
  <c r="AT27" i="20"/>
  <c r="AU27" i="20"/>
  <c r="AU60" i="20" s="1"/>
  <c r="AQ12" i="20"/>
  <c r="AC12" i="20"/>
  <c r="AM12" i="20"/>
  <c r="Z12" i="20"/>
  <c r="W21" i="20"/>
  <c r="AJ21" i="20"/>
  <c r="AS21" i="20"/>
  <c r="AH17" i="20"/>
  <c r="W17" i="20"/>
  <c r="X17" i="20"/>
  <c r="AR17" i="20"/>
  <c r="AX13" i="20"/>
  <c r="AY13" i="20"/>
  <c r="AF13" i="20"/>
  <c r="AG13" i="20"/>
  <c r="AP10" i="20"/>
  <c r="Z10" i="20"/>
  <c r="AK10" i="20"/>
  <c r="AW10" i="20"/>
  <c r="AZ15" i="20"/>
  <c r="AT15" i="20"/>
  <c r="AK15" i="20"/>
  <c r="AK33" i="20" s="1"/>
  <c r="AI14" i="20"/>
  <c r="CB30" i="20"/>
  <c r="AR14" i="20"/>
  <c r="AP14" i="20"/>
  <c r="AU14" i="20"/>
  <c r="CN30" i="20"/>
  <c r="AD24" i="20"/>
  <c r="AS24" i="20"/>
  <c r="AO24" i="20"/>
  <c r="W24" i="20"/>
  <c r="AR23" i="20"/>
  <c r="Y23" i="20"/>
  <c r="AI23" i="20"/>
  <c r="AO23" i="20"/>
  <c r="AL22" i="20"/>
  <c r="AK22" i="20"/>
  <c r="AC22" i="20"/>
  <c r="Z9" i="20"/>
  <c r="X9" i="20"/>
  <c r="AF9" i="20"/>
  <c r="AV9" i="20"/>
  <c r="AL16" i="20"/>
  <c r="AH16" i="20"/>
  <c r="AA16" i="20"/>
  <c r="AD16" i="20"/>
  <c r="AS8" i="20"/>
  <c r="X8" i="20"/>
  <c r="AN8" i="20"/>
  <c r="AP8" i="20"/>
  <c r="AQ26" i="20"/>
  <c r="AZ26" i="20"/>
  <c r="AP26" i="20"/>
  <c r="AX19" i="20"/>
  <c r="CJ32" i="20"/>
  <c r="AQ19" i="20"/>
  <c r="AZ19" i="20"/>
  <c r="AN19" i="20"/>
  <c r="W20" i="20"/>
  <c r="Z20" i="20"/>
  <c r="Y20" i="20"/>
  <c r="AB20" i="20"/>
  <c r="AB18" i="20"/>
  <c r="AF18" i="20"/>
  <c r="AJ18" i="20"/>
  <c r="AZ18" i="20"/>
  <c r="AO25" i="20"/>
  <c r="X25" i="20"/>
  <c r="AF25" i="20"/>
  <c r="AZ11" i="20"/>
  <c r="AW11" i="20"/>
  <c r="AK11" i="20"/>
  <c r="AQ11" i="20"/>
  <c r="AS27" i="20"/>
  <c r="AS59" i="20" s="1"/>
  <c r="AR27" i="20"/>
  <c r="AE27" i="20"/>
  <c r="AE59" i="20" s="1"/>
  <c r="X27" i="20"/>
  <c r="AB12" i="20"/>
  <c r="AD12" i="20"/>
  <c r="AT12" i="20"/>
  <c r="AY12" i="20"/>
  <c r="AE21" i="20"/>
  <c r="AQ21" i="20"/>
  <c r="AC21" i="20"/>
  <c r="AI17" i="20"/>
  <c r="Y17" i="20"/>
  <c r="AV17" i="20"/>
  <c r="AP17" i="20"/>
  <c r="AI13" i="20"/>
  <c r="AC13" i="20"/>
  <c r="AT13" i="20"/>
  <c r="AE13" i="20"/>
  <c r="AZ10" i="20"/>
  <c r="AR10" i="20"/>
  <c r="AY10" i="20"/>
  <c r="AU10" i="20"/>
  <c r="AC15" i="20"/>
  <c r="AA15" i="20"/>
  <c r="AW15" i="20"/>
  <c r="AW14" i="20"/>
  <c r="CP30" i="20"/>
  <c r="AO14" i="20"/>
  <c r="CH30" i="20"/>
  <c r="AZ14" i="20"/>
  <c r="AY14" i="20"/>
  <c r="CR30" i="20"/>
  <c r="AX24" i="20"/>
  <c r="AQ24" i="20"/>
  <c r="AY24" i="20"/>
  <c r="AZ24" i="20"/>
  <c r="X23" i="20"/>
  <c r="AT23" i="20"/>
  <c r="AM23" i="20"/>
  <c r="AQ23" i="20"/>
  <c r="AG22" i="20"/>
  <c r="AO22" i="20"/>
  <c r="AE22" i="20"/>
  <c r="AG9" i="20"/>
  <c r="AC9" i="20"/>
  <c r="AR9" i="20"/>
  <c r="AX9" i="20"/>
  <c r="AW16" i="20"/>
  <c r="W16" i="20"/>
  <c r="AG16" i="20"/>
  <c r="AF16" i="20"/>
  <c r="AK8" i="20"/>
  <c r="AW8" i="20"/>
  <c r="AM8" i="20"/>
  <c r="AR8" i="20"/>
  <c r="AE26" i="20"/>
  <c r="AC26" i="20"/>
  <c r="Z26" i="20"/>
  <c r="BX32" i="20"/>
  <c r="AE19" i="20"/>
  <c r="AJ19" i="20"/>
  <c r="CL32" i="20"/>
  <c r="AS19" i="20"/>
  <c r="AL19" i="20"/>
  <c r="AZ20" i="20"/>
  <c r="AA20" i="20"/>
  <c r="AE20" i="20"/>
  <c r="AX20" i="20"/>
  <c r="AI18" i="20"/>
  <c r="AX18" i="20"/>
  <c r="AT18" i="20"/>
  <c r="AY18" i="20"/>
  <c r="AA25" i="20"/>
  <c r="AW25" i="20"/>
  <c r="AD25" i="20"/>
  <c r="AY11" i="20"/>
  <c r="AM11" i="20"/>
  <c r="AT11" i="20"/>
  <c r="AN11" i="20"/>
  <c r="AO27" i="20"/>
  <c r="AO59" i="20" s="1"/>
  <c r="AV27" i="20"/>
  <c r="AA27" i="20"/>
  <c r="AA59" i="20" s="1"/>
  <c r="AD27" i="20"/>
  <c r="AP12" i="20"/>
  <c r="AG12" i="20"/>
  <c r="AJ12" i="20"/>
  <c r="AZ12" i="20"/>
  <c r="R66" i="20"/>
  <c r="T66" i="20" s="1"/>
  <c r="AC133" i="33"/>
  <c r="AC39" i="33"/>
  <c r="Z34" i="33"/>
  <c r="Z122" i="33"/>
  <c r="CU126" i="33"/>
  <c r="Y39" i="33"/>
  <c r="Y133" i="33"/>
  <c r="AF111" i="33"/>
  <c r="AF29" i="33"/>
  <c r="AQ9" i="33"/>
  <c r="AQ67" i="33"/>
  <c r="DK126" i="33"/>
  <c r="CI131" i="33"/>
  <c r="DO126" i="33"/>
  <c r="AZ124" i="33"/>
  <c r="AZ36" i="33"/>
  <c r="AZ129" i="33" s="1"/>
  <c r="AC89" i="33"/>
  <c r="AC19" i="33"/>
  <c r="AB78" i="33"/>
  <c r="AB14" i="33"/>
  <c r="W102" i="33"/>
  <c r="W26" i="33"/>
  <c r="W107" i="33" s="1"/>
  <c r="AJ69" i="33"/>
  <c r="AJ75" i="33" s="1"/>
  <c r="AJ86" i="33" s="1"/>
  <c r="AJ97" i="33" s="1"/>
  <c r="AJ108" i="33" s="1"/>
  <c r="AJ119" i="33" s="1"/>
  <c r="AJ130" i="33" s="1"/>
  <c r="AJ11" i="33"/>
  <c r="AJ74" i="33" s="1"/>
  <c r="Z100" i="33"/>
  <c r="Z24" i="33"/>
  <c r="DG126" i="33"/>
  <c r="CT126" i="33"/>
  <c r="T135" i="33"/>
  <c r="T41" i="33"/>
  <c r="T140" i="33" s="1"/>
  <c r="AX19" i="33"/>
  <c r="AX89" i="33"/>
  <c r="BC14" i="33"/>
  <c r="BC78" i="33"/>
  <c r="AZ41" i="33"/>
  <c r="AZ140" i="33" s="1"/>
  <c r="AZ135" i="33"/>
  <c r="AL111" i="33"/>
  <c r="AL29" i="33"/>
  <c r="AV89" i="33"/>
  <c r="AV19" i="33"/>
  <c r="AV100" i="33"/>
  <c r="AV24" i="33"/>
  <c r="AY29" i="33"/>
  <c r="AY111" i="33"/>
  <c r="AD80" i="33"/>
  <c r="AD16" i="33"/>
  <c r="AD85" i="33" s="1"/>
  <c r="AU100" i="33"/>
  <c r="AU24" i="33"/>
  <c r="BX132" i="33"/>
  <c r="CD132" i="33" s="1"/>
  <c r="CJ132" i="33" s="1"/>
  <c r="BS132" i="33"/>
  <c r="BY132" i="33" s="1"/>
  <c r="CE132" i="33" s="1"/>
  <c r="BR132" i="33"/>
  <c r="BW132" i="33" s="1"/>
  <c r="CC132" i="33" s="1"/>
  <c r="CI132" i="33" s="1"/>
  <c r="AP78" i="33"/>
  <c r="AP14" i="33"/>
  <c r="AF89" i="33"/>
  <c r="AF19" i="33"/>
  <c r="CI137" i="33"/>
  <c r="AQ111" i="33"/>
  <c r="AQ29" i="33"/>
  <c r="AQ39" i="33"/>
  <c r="AQ133" i="33"/>
  <c r="T21" i="33"/>
  <c r="T96" i="33" s="1"/>
  <c r="T91" i="33"/>
  <c r="AJ41" i="33"/>
  <c r="AJ140" i="33" s="1"/>
  <c r="AJ135" i="33"/>
  <c r="DN126" i="33"/>
  <c r="AK113" i="33"/>
  <c r="AK31" i="33"/>
  <c r="AK118" i="33" s="1"/>
  <c r="AO34" i="33"/>
  <c r="AO122" i="33"/>
  <c r="CS126" i="33"/>
  <c r="AJ102" i="33"/>
  <c r="AJ26" i="33"/>
  <c r="AJ107" i="33" s="1"/>
  <c r="AK16" i="33"/>
  <c r="AK85" i="33" s="1"/>
  <c r="AK80" i="33"/>
  <c r="AY78" i="33"/>
  <c r="AY14" i="33"/>
  <c r="AI78" i="33"/>
  <c r="AI14" i="33"/>
  <c r="Z39" i="33"/>
  <c r="Z133" i="33"/>
  <c r="DA126" i="33"/>
  <c r="DJ126" i="33"/>
  <c r="BC67" i="33"/>
  <c r="BC9" i="33"/>
  <c r="AL9" i="33"/>
  <c r="AL67" i="33"/>
  <c r="AA69" i="33"/>
  <c r="AA11" i="33"/>
  <c r="AA74" i="33" s="1"/>
  <c r="AU133" i="33"/>
  <c r="AU39" i="33"/>
  <c r="CO127" i="33"/>
  <c r="DA127" i="33"/>
  <c r="CX127" i="33"/>
  <c r="DP127" i="33"/>
  <c r="CT127" i="33"/>
  <c r="DM127" i="33"/>
  <c r="CM127" i="33"/>
  <c r="DU127" i="33"/>
  <c r="CQ127" i="33"/>
  <c r="DG127" i="33"/>
  <c r="CN127" i="33"/>
  <c r="DD127" i="33"/>
  <c r="DS127" i="33"/>
  <c r="DT127" i="33"/>
  <c r="DF127" i="33"/>
  <c r="CP127" i="33"/>
  <c r="CW127" i="33"/>
  <c r="DC127" i="33"/>
  <c r="DL127" i="33"/>
  <c r="CZ127" i="33"/>
  <c r="CS127" i="33"/>
  <c r="CR127" i="33"/>
  <c r="DK127" i="33"/>
  <c r="CV127" i="33"/>
  <c r="CU127" i="33"/>
  <c r="DE127" i="33"/>
  <c r="DH127" i="33"/>
  <c r="CY127" i="33"/>
  <c r="DN127" i="33"/>
  <c r="DB127" i="33"/>
  <c r="DO127" i="33"/>
  <c r="DR127" i="33"/>
  <c r="DQ127" i="33"/>
  <c r="DJ127" i="33"/>
  <c r="DI127" i="33"/>
  <c r="DV127" i="33"/>
  <c r="AK36" i="33"/>
  <c r="AK129" i="33" s="1"/>
  <c r="AK124" i="33"/>
  <c r="AP34" i="33"/>
  <c r="AP122" i="33"/>
  <c r="T11" i="33"/>
  <c r="T74" i="33" s="1"/>
  <c r="T69" i="33"/>
  <c r="AS36" i="33"/>
  <c r="AS129" i="33" s="1"/>
  <c r="AS124" i="33"/>
  <c r="Y89" i="33"/>
  <c r="Y19" i="33"/>
  <c r="BB80" i="33"/>
  <c r="BB16" i="33"/>
  <c r="BB85" i="33" s="1"/>
  <c r="AF100" i="33"/>
  <c r="AF24" i="33"/>
  <c r="AF133" i="33"/>
  <c r="AF39" i="33"/>
  <c r="AD26" i="33"/>
  <c r="AD107" i="33" s="1"/>
  <c r="AD102" i="33"/>
  <c r="AQ100" i="33"/>
  <c r="AQ24" i="33"/>
  <c r="CV126" i="33"/>
  <c r="AJ124" i="33"/>
  <c r="AJ36" i="33"/>
  <c r="AJ129" i="33" s="1"/>
  <c r="W80" i="33"/>
  <c r="W16" i="33"/>
  <c r="W85" i="33" s="1"/>
  <c r="AS113" i="33"/>
  <c r="AS31" i="33"/>
  <c r="AS118" i="33" s="1"/>
  <c r="AG39" i="33"/>
  <c r="AG133" i="33"/>
  <c r="AS21" i="33"/>
  <c r="AS96" i="33" s="1"/>
  <c r="AS91" i="33"/>
  <c r="AC78" i="33"/>
  <c r="AC14" i="33"/>
  <c r="AB111" i="33"/>
  <c r="AB29" i="33"/>
  <c r="AB133" i="33"/>
  <c r="AB39" i="33"/>
  <c r="BB41" i="33"/>
  <c r="BB140" i="33" s="1"/>
  <c r="BB135" i="33"/>
  <c r="AA135" i="33"/>
  <c r="AA41" i="33"/>
  <c r="AA140" i="33" s="1"/>
  <c r="DV126" i="33"/>
  <c r="AI34" i="33"/>
  <c r="AI122" i="33"/>
  <c r="CK135" i="33"/>
  <c r="DQ135" i="33" s="1"/>
  <c r="Z67" i="33"/>
  <c r="Z9" i="33"/>
  <c r="CP126" i="33"/>
  <c r="DT126" i="33"/>
  <c r="CM126" i="33"/>
  <c r="AS69" i="33"/>
  <c r="AS11" i="33"/>
  <c r="AS74" i="33" s="1"/>
  <c r="AX122" i="33"/>
  <c r="AX34" i="33"/>
  <c r="AG111" i="33"/>
  <c r="AG29" i="33"/>
  <c r="AG67" i="33"/>
  <c r="AG9" i="33"/>
  <c r="AR111" i="33"/>
  <c r="AR29" i="33"/>
  <c r="BC100" i="33"/>
  <c r="BC24" i="33"/>
  <c r="AZ16" i="33"/>
  <c r="AZ85" i="33" s="1"/>
  <c r="AZ80" i="33"/>
  <c r="AL133" i="33"/>
  <c r="AL39" i="33"/>
  <c r="AV14" i="33"/>
  <c r="AV78" i="33"/>
  <c r="AV133" i="33"/>
  <c r="AV39" i="33"/>
  <c r="AY67" i="33"/>
  <c r="AY9" i="33"/>
  <c r="AU19" i="33"/>
  <c r="AU89" i="33"/>
  <c r="AP67" i="33"/>
  <c r="AP9" i="33"/>
  <c r="Y122" i="33"/>
  <c r="Y34" i="33"/>
  <c r="Y100" i="33"/>
  <c r="Y24" i="33"/>
  <c r="AF67" i="33"/>
  <c r="AF9" i="33"/>
  <c r="AJ31" i="33"/>
  <c r="AJ118" i="33" s="1"/>
  <c r="AJ113" i="33"/>
  <c r="CR126" i="33"/>
  <c r="DH126" i="33"/>
  <c r="AZ31" i="33"/>
  <c r="AZ118" i="33" s="1"/>
  <c r="AZ113" i="33"/>
  <c r="T102" i="33"/>
  <c r="T26" i="33"/>
  <c r="T107" i="33" s="1"/>
  <c r="T31" i="33"/>
  <c r="T118" i="33" s="1"/>
  <c r="T113" i="33"/>
  <c r="V33" i="20"/>
  <c r="AC122" i="33"/>
  <c r="AC34" i="33"/>
  <c r="AB100" i="33"/>
  <c r="AB24" i="33"/>
  <c r="AK135" i="33"/>
  <c r="AK41" i="33"/>
  <c r="AK140" i="33" s="1"/>
  <c r="AI29" i="33"/>
  <c r="AI111" i="33"/>
  <c r="AI67" i="33"/>
  <c r="AI9" i="33"/>
  <c r="Z78" i="33"/>
  <c r="Z14" i="33"/>
  <c r="DU126" i="33"/>
  <c r="CQ126" i="33"/>
  <c r="CO126" i="33"/>
  <c r="AX14" i="33"/>
  <c r="AX78" i="33"/>
  <c r="AX39" i="33"/>
  <c r="AX133" i="33"/>
  <c r="BB26" i="33"/>
  <c r="BB107" i="33" s="1"/>
  <c r="BB102" i="33"/>
  <c r="AG122" i="33"/>
  <c r="AG34" i="33"/>
  <c r="AR67" i="33"/>
  <c r="AR9" i="33"/>
  <c r="BC111" i="33"/>
  <c r="BC29" i="33"/>
  <c r="AY19" i="33"/>
  <c r="AY89" i="33"/>
  <c r="AJ91" i="33"/>
  <c r="AJ21" i="33"/>
  <c r="AJ96" i="33" s="1"/>
  <c r="AU78" i="33"/>
  <c r="AU14" i="33"/>
  <c r="AZ69" i="33"/>
  <c r="AZ11" i="33"/>
  <c r="AZ74" i="33" s="1"/>
  <c r="CK133" i="33"/>
  <c r="DD133" i="33" s="1"/>
  <c r="AS102" i="33"/>
  <c r="AS26" i="33"/>
  <c r="AS107" i="33" s="1"/>
  <c r="BX129" i="33"/>
  <c r="CD129" i="33" s="1"/>
  <c r="CJ129" i="33" s="1"/>
  <c r="BS129" i="33"/>
  <c r="BY129" i="33" s="1"/>
  <c r="CE129" i="33" s="1"/>
  <c r="CK129" i="33" s="1"/>
  <c r="BT138" i="33"/>
  <c r="BZ138" i="33" s="1"/>
  <c r="CF138" i="33" s="1"/>
  <c r="CW133" i="33"/>
  <c r="AF78" i="33"/>
  <c r="AF14" i="33"/>
  <c r="AQ78" i="33"/>
  <c r="AQ14" i="33"/>
  <c r="BB36" i="33"/>
  <c r="BB129" i="33" s="1"/>
  <c r="BB124" i="33"/>
  <c r="DE126" i="33"/>
  <c r="AD113" i="33"/>
  <c r="AD31" i="33"/>
  <c r="AD118" i="33" s="1"/>
  <c r="BB11" i="33"/>
  <c r="BB74" i="33" s="1"/>
  <c r="BB69" i="33"/>
  <c r="AO78" i="33"/>
  <c r="AO14" i="33"/>
  <c r="AI89" i="33"/>
  <c r="AI19" i="33"/>
  <c r="AR24" i="33"/>
  <c r="AR100" i="33"/>
  <c r="AV122" i="33"/>
  <c r="AV34" i="33"/>
  <c r="AK69" i="33"/>
  <c r="AK11" i="33"/>
  <c r="AK74" i="33" s="1"/>
  <c r="AR133" i="33"/>
  <c r="AR39" i="33"/>
  <c r="AA36" i="33"/>
  <c r="AA129" i="33" s="1"/>
  <c r="AA124" i="33"/>
  <c r="AB122" i="33"/>
  <c r="AB34" i="33"/>
  <c r="Z111" i="33"/>
  <c r="Z29" i="33"/>
  <c r="CW126" i="33"/>
  <c r="DD126" i="33"/>
  <c r="DM126" i="33"/>
  <c r="AD41" i="33"/>
  <c r="AD140" i="33" s="1"/>
  <c r="AD135" i="33"/>
  <c r="AS16" i="33"/>
  <c r="AS85" i="33" s="1"/>
  <c r="AS80" i="33"/>
  <c r="AX67" i="33"/>
  <c r="AX9" i="33"/>
  <c r="BC39" i="33"/>
  <c r="BC133" i="33"/>
  <c r="AL19" i="33"/>
  <c r="AL89" i="33"/>
  <c r="AL34" i="33"/>
  <c r="AL122" i="33"/>
  <c r="BB21" i="33"/>
  <c r="BB96" i="33" s="1"/>
  <c r="BB91" i="33"/>
  <c r="AY34" i="33"/>
  <c r="AY122" i="33"/>
  <c r="AY133" i="33"/>
  <c r="AY39" i="33"/>
  <c r="AU122" i="33"/>
  <c r="AU34" i="33"/>
  <c r="BX139" i="33"/>
  <c r="CD139" i="33" s="1"/>
  <c r="CJ139" i="33" s="1"/>
  <c r="BS139" i="33"/>
  <c r="BY139" i="33" s="1"/>
  <c r="CE139" i="33" s="1"/>
  <c r="BR139" i="33"/>
  <c r="BW139" i="33" s="1"/>
  <c r="CC139" i="33" s="1"/>
  <c r="CI139" i="33" s="1"/>
  <c r="AP24" i="33"/>
  <c r="AP100" i="33"/>
  <c r="T124" i="33"/>
  <c r="T36" i="33"/>
  <c r="T129" i="33" s="1"/>
  <c r="CG136" i="33"/>
  <c r="DS136" i="33" s="1"/>
  <c r="AF122" i="33"/>
  <c r="AF34" i="33"/>
  <c r="AQ34" i="33"/>
  <c r="AQ122" i="33"/>
  <c r="AQ89" i="33"/>
  <c r="AQ19" i="33"/>
  <c r="W124" i="33"/>
  <c r="W36" i="33"/>
  <c r="W129" i="33" s="1"/>
  <c r="AS41" i="33"/>
  <c r="AS140" i="33" s="1"/>
  <c r="AS135" i="33"/>
  <c r="AO111" i="33"/>
  <c r="AO29" i="33"/>
  <c r="AO67" i="33"/>
  <c r="AO9" i="33"/>
  <c r="DR126" i="33"/>
  <c r="AC111" i="33"/>
  <c r="AC29" i="33"/>
  <c r="BC122" i="33"/>
  <c r="BC34" i="33"/>
  <c r="BB113" i="33"/>
  <c r="BB31" i="33"/>
  <c r="BB118" i="33" s="1"/>
  <c r="Y111" i="33"/>
  <c r="Y29" i="33"/>
  <c r="AG78" i="33"/>
  <c r="AG14" i="33"/>
  <c r="AL100" i="33"/>
  <c r="AL24" i="33"/>
  <c r="AZ26" i="33"/>
  <c r="AZ107" i="33" s="1"/>
  <c r="AZ102" i="33"/>
  <c r="CC50" i="33"/>
  <c r="CC51" i="33" s="1"/>
  <c r="CC52" i="33" s="1"/>
  <c r="CC53" i="33" s="1"/>
  <c r="CC54" i="33" s="1"/>
  <c r="CC55" i="33" s="1"/>
  <c r="CC56" i="33" s="1"/>
  <c r="CC57" i="33" s="1"/>
  <c r="CC58" i="33" s="1"/>
  <c r="CC59" i="33" s="1"/>
  <c r="CC60" i="33" s="1"/>
  <c r="CC61" i="33" s="1"/>
  <c r="CC62" i="33" s="1"/>
  <c r="CC63" i="33" s="1"/>
  <c r="CC64" i="33" s="1"/>
  <c r="CC65" i="33" s="1"/>
  <c r="CC66" i="33" s="1"/>
  <c r="CC67" i="33" s="1"/>
  <c r="CC68" i="33" s="1"/>
  <c r="CC69" i="33" s="1"/>
  <c r="CC70" i="33" s="1"/>
  <c r="CC71" i="33" s="1"/>
  <c r="CC72" i="33" s="1"/>
  <c r="CC73" i="33" s="1"/>
  <c r="CC74" i="33" s="1"/>
  <c r="CC75" i="33" s="1"/>
  <c r="CC76" i="33" s="1"/>
  <c r="CC77" i="33" s="1"/>
  <c r="CC79" i="33" s="1"/>
  <c r="CD79" i="33" s="1"/>
  <c r="CE79" i="33" s="1"/>
  <c r="CF79" i="33" s="1"/>
  <c r="CG79" i="33" s="1"/>
  <c r="CH79" i="33" s="1"/>
  <c r="CI79" i="33" s="1"/>
  <c r="CJ79" i="33" s="1"/>
  <c r="CK79" i="33" s="1"/>
  <c r="CL79" i="33" s="1"/>
  <c r="CM79" i="33" s="1"/>
  <c r="CN79" i="33" s="1"/>
  <c r="CO79" i="33" s="1"/>
  <c r="CP79" i="33" s="1"/>
  <c r="CQ79" i="33" s="1"/>
  <c r="CR79" i="33" s="1"/>
  <c r="CS79" i="33" s="1"/>
  <c r="CT79" i="33" s="1"/>
  <c r="CU79" i="33" s="1"/>
  <c r="CV79" i="33" s="1"/>
  <c r="CW79" i="33" s="1"/>
  <c r="DC100" i="33" s="1"/>
  <c r="T80" i="33"/>
  <c r="T16" i="33"/>
  <c r="T85" i="33" s="1"/>
  <c r="AA16" i="33"/>
  <c r="AA85" i="33" s="1"/>
  <c r="AA80" i="33"/>
  <c r="AK26" i="33"/>
  <c r="AK107" i="33" s="1"/>
  <c r="AK102" i="33"/>
  <c r="DL126" i="33"/>
  <c r="DC126" i="33"/>
  <c r="DI126" i="33"/>
  <c r="AD91" i="33"/>
  <c r="AD21" i="33"/>
  <c r="AD96" i="33" s="1"/>
  <c r="AG100" i="33"/>
  <c r="AG24" i="33"/>
  <c r="BX131" i="33"/>
  <c r="CD131" i="33" s="1"/>
  <c r="CJ131" i="33" s="1"/>
  <c r="BS131" i="33"/>
  <c r="BY131" i="33" s="1"/>
  <c r="CE131" i="33" s="1"/>
  <c r="AR34" i="33"/>
  <c r="AR122" i="33"/>
  <c r="AL78" i="33"/>
  <c r="AL14" i="33"/>
  <c r="W69" i="33"/>
  <c r="W11" i="33"/>
  <c r="W74" i="33" s="1"/>
  <c r="AV67" i="33"/>
  <c r="AV9" i="33"/>
  <c r="BX134" i="33"/>
  <c r="CD134" i="33" s="1"/>
  <c r="CJ134" i="33" s="1"/>
  <c r="BR134" i="33"/>
  <c r="BW134" i="33" s="1"/>
  <c r="CC134" i="33" s="1"/>
  <c r="CI134" i="33" s="1"/>
  <c r="BS134" i="33"/>
  <c r="BY134" i="33" s="1"/>
  <c r="CE134" i="33" s="1"/>
  <c r="AU111" i="33"/>
  <c r="AU29" i="33"/>
  <c r="CN124" i="33"/>
  <c r="CQ124" i="33"/>
  <c r="CX124" i="33"/>
  <c r="DF124" i="33"/>
  <c r="DM124" i="33"/>
  <c r="CO124" i="33"/>
  <c r="DD124" i="33"/>
  <c r="DG124" i="33"/>
  <c r="DU124" i="33"/>
  <c r="DP124" i="33"/>
  <c r="CT124" i="33"/>
  <c r="DS124" i="33"/>
  <c r="DA124" i="33"/>
  <c r="DT124" i="33"/>
  <c r="CM124" i="33"/>
  <c r="DC124" i="33"/>
  <c r="DL124" i="33"/>
  <c r="CW124" i="33"/>
  <c r="CP124" i="33"/>
  <c r="CY124" i="33"/>
  <c r="DQ124" i="33"/>
  <c r="CV124" i="33"/>
  <c r="CR124" i="33"/>
  <c r="DJ124" i="33"/>
  <c r="DH124" i="33"/>
  <c r="DK124" i="33"/>
  <c r="DR124" i="33"/>
  <c r="DO124" i="33"/>
  <c r="CZ124" i="33"/>
  <c r="CU124" i="33"/>
  <c r="DI124" i="33"/>
  <c r="DN124" i="33"/>
  <c r="DV124" i="33"/>
  <c r="CS124" i="33"/>
  <c r="DB124" i="33"/>
  <c r="DE124" i="33"/>
  <c r="DA125" i="33"/>
  <c r="DG125" i="33"/>
  <c r="DF125" i="33"/>
  <c r="DM125" i="33"/>
  <c r="CX125" i="33"/>
  <c r="CT125" i="33"/>
  <c r="CO125" i="33"/>
  <c r="CN125" i="33"/>
  <c r="DT125" i="33"/>
  <c r="DC125" i="33"/>
  <c r="CQ125" i="33"/>
  <c r="DL125" i="33"/>
  <c r="CM125" i="33"/>
  <c r="DS125" i="33"/>
  <c r="CP125" i="33"/>
  <c r="DU125" i="33"/>
  <c r="DP125" i="33"/>
  <c r="DD125" i="33"/>
  <c r="CW125" i="33"/>
  <c r="DR125" i="33"/>
  <c r="DK125" i="33"/>
  <c r="DV125" i="33"/>
  <c r="DB125" i="33"/>
  <c r="CU125" i="33"/>
  <c r="DI125" i="33"/>
  <c r="CR125" i="33"/>
  <c r="CV125" i="33"/>
  <c r="DN125" i="33"/>
  <c r="DE125" i="33"/>
  <c r="CS125" i="33"/>
  <c r="DO125" i="33"/>
  <c r="DQ125" i="33"/>
  <c r="CY125" i="33"/>
  <c r="DJ125" i="33"/>
  <c r="DH125" i="33"/>
  <c r="CZ125" i="33"/>
  <c r="DB126" i="33"/>
  <c r="CZ126" i="33"/>
  <c r="AP29" i="33"/>
  <c r="AP111" i="33"/>
  <c r="AD11" i="33"/>
  <c r="AD74" i="33" s="1"/>
  <c r="AD69" i="33"/>
  <c r="Y78" i="33"/>
  <c r="Y14" i="33"/>
  <c r="Y67" i="33"/>
  <c r="Y9" i="33"/>
  <c r="AK91" i="33"/>
  <c r="AK21" i="33"/>
  <c r="AK96" i="33" s="1"/>
  <c r="DI133" i="33"/>
  <c r="AJ80" i="33"/>
  <c r="AJ16" i="33"/>
  <c r="AJ85" i="33" s="1"/>
  <c r="AD36" i="33"/>
  <c r="AD129" i="33" s="1"/>
  <c r="AD124" i="33"/>
  <c r="CI130" i="33"/>
  <c r="CN130" i="33" s="1"/>
  <c r="AO19" i="33"/>
  <c r="AO89" i="33"/>
  <c r="BR129" i="33"/>
  <c r="BW129" i="33" s="1"/>
  <c r="CC129" i="33" s="1"/>
  <c r="CI129" i="33" s="1"/>
  <c r="CN129" i="33" s="1"/>
  <c r="AB89" i="33"/>
  <c r="AB19" i="33"/>
  <c r="W91" i="33"/>
  <c r="W21" i="33"/>
  <c r="W96" i="33" s="1"/>
  <c r="AX100" i="33"/>
  <c r="AX24" i="33"/>
  <c r="AC9" i="33"/>
  <c r="AC67" i="33"/>
  <c r="DF126" i="33"/>
  <c r="CG137" i="33"/>
  <c r="DF137" i="33" s="1"/>
  <c r="AC24" i="33"/>
  <c r="AC100" i="33"/>
  <c r="AB67" i="33"/>
  <c r="AB9" i="33"/>
  <c r="AI100" i="33"/>
  <c r="AI24" i="33"/>
  <c r="AI133" i="33"/>
  <c r="AI39" i="33"/>
  <c r="Z89" i="33"/>
  <c r="Z19" i="33"/>
  <c r="W135" i="33"/>
  <c r="W41" i="33"/>
  <c r="W140" i="33" s="1"/>
  <c r="CX126" i="33"/>
  <c r="DP126" i="33"/>
  <c r="DO135" i="33"/>
  <c r="AX29" i="33"/>
  <c r="AX111" i="33"/>
  <c r="AG19" i="33"/>
  <c r="AG89" i="33"/>
  <c r="AR19" i="33"/>
  <c r="AR89" i="33"/>
  <c r="AR78" i="33"/>
  <c r="AR14" i="33"/>
  <c r="BC19" i="33"/>
  <c r="BC89" i="33"/>
  <c r="AV111" i="33"/>
  <c r="AV29" i="33"/>
  <c r="AY100" i="33"/>
  <c r="AY24" i="33"/>
  <c r="AU9" i="33"/>
  <c r="AU67" i="33"/>
  <c r="AP89" i="33"/>
  <c r="AP19" i="33"/>
  <c r="AP133" i="33"/>
  <c r="AP39" i="33"/>
  <c r="AA21" i="33"/>
  <c r="AA96" i="33" s="1"/>
  <c r="AA91" i="33"/>
  <c r="AZ91" i="33"/>
  <c r="AZ21" i="33"/>
  <c r="AZ96" i="33" s="1"/>
  <c r="DF130" i="33"/>
  <c r="DP130" i="33"/>
  <c r="DK130" i="33"/>
  <c r="DR130" i="33"/>
  <c r="AA31" i="33"/>
  <c r="AA118" i="33" s="1"/>
  <c r="AA113" i="33"/>
  <c r="CO129" i="33"/>
  <c r="CX129" i="33"/>
  <c r="DP129" i="33"/>
  <c r="DA129" i="33"/>
  <c r="CQ129" i="33"/>
  <c r="DD129" i="33"/>
  <c r="DC129" i="33"/>
  <c r="DU129" i="33"/>
  <c r="CW129" i="33"/>
  <c r="DL129" i="33"/>
  <c r="DI129" i="33"/>
  <c r="DE129" i="33"/>
  <c r="CZ129" i="33"/>
  <c r="CS129" i="33"/>
  <c r="DR129" i="33"/>
  <c r="CV129" i="33"/>
  <c r="CR129" i="33"/>
  <c r="DN129" i="33"/>
  <c r="DV129" i="33"/>
  <c r="CU129" i="33"/>
  <c r="DH129" i="33"/>
  <c r="W113" i="33"/>
  <c r="W31" i="33"/>
  <c r="W118" i="33" s="1"/>
  <c r="AA102" i="33"/>
  <c r="AA26" i="33"/>
  <c r="AA107" i="33" s="1"/>
  <c r="CS135" i="33"/>
  <c r="AO24" i="33"/>
  <c r="AO100" i="33"/>
  <c r="AO39" i="33"/>
  <c r="AO133" i="33"/>
  <c r="CG139" i="33"/>
  <c r="B71" i="19"/>
  <c r="G90" i="19" s="1"/>
  <c r="AE53" i="19"/>
  <c r="B74" i="19"/>
  <c r="G93" i="19" s="1"/>
  <c r="AE56" i="19"/>
  <c r="AE59" i="19"/>
  <c r="B77" i="19"/>
  <c r="G96" i="19" s="1"/>
  <c r="AE61" i="19"/>
  <c r="B79" i="19"/>
  <c r="G98" i="19" s="1"/>
  <c r="AE58" i="19"/>
  <c r="B76" i="19"/>
  <c r="G95" i="19" s="1"/>
  <c r="AE57" i="19"/>
  <c r="B75" i="19"/>
  <c r="G94" i="19" s="1"/>
  <c r="AE54" i="19"/>
  <c r="B72" i="19"/>
  <c r="G91" i="19" s="1"/>
  <c r="B73" i="19"/>
  <c r="G92" i="19" s="1"/>
  <c r="AE55" i="19"/>
  <c r="AE60" i="19"/>
  <c r="B78" i="19"/>
  <c r="G97" i="19" s="1"/>
  <c r="AG34" i="20" l="1"/>
  <c r="W18" i="36"/>
  <c r="S14" i="36"/>
  <c r="AT33" i="20"/>
  <c r="AU34" i="20"/>
  <c r="AW34" i="20"/>
  <c r="S9" i="36"/>
  <c r="G10" i="36"/>
  <c r="AK35" i="20"/>
  <c r="AC33" i="20"/>
  <c r="Y9" i="36"/>
  <c r="AA33" i="20"/>
  <c r="AO36" i="20"/>
  <c r="AC11" i="36"/>
  <c r="AH34" i="20"/>
  <c r="AN49" i="20"/>
  <c r="W11" i="36"/>
  <c r="AA10" i="36"/>
  <c r="AI35" i="20"/>
  <c r="I10" i="36"/>
  <c r="AE15" i="36"/>
  <c r="AO33" i="20"/>
  <c r="O13" i="36"/>
  <c r="E9" i="36"/>
  <c r="AL49" i="20"/>
  <c r="AD36" i="20"/>
  <c r="AH35" i="20"/>
  <c r="AG12" i="36"/>
  <c r="AY48" i="20"/>
  <c r="S10" i="36"/>
  <c r="AU33" i="20"/>
  <c r="AE36" i="20"/>
  <c r="E10" i="36"/>
  <c r="AO34" i="20"/>
  <c r="I9" i="36"/>
  <c r="AM36" i="20"/>
  <c r="AY36" i="20"/>
  <c r="AV49" i="20"/>
  <c r="O11" i="36"/>
  <c r="AE11" i="36"/>
  <c r="U9" i="36"/>
  <c r="Q11" i="36"/>
  <c r="AW36" i="20"/>
  <c r="AQ33" i="20"/>
  <c r="AM35" i="20"/>
  <c r="S13" i="36"/>
  <c r="M10" i="36"/>
  <c r="X35" i="20"/>
  <c r="AV48" i="20"/>
  <c r="K10" i="36"/>
  <c r="AB48" i="20"/>
  <c r="AP34" i="20"/>
  <c r="AE10" i="36"/>
  <c r="W10" i="36"/>
  <c r="AD34" i="20"/>
  <c r="G14" i="36"/>
  <c r="AA35" i="20"/>
  <c r="AU35" i="20"/>
  <c r="AE33" i="20"/>
  <c r="AZ49" i="20"/>
  <c r="Y33" i="20"/>
  <c r="AS33" i="20"/>
  <c r="U15" i="36"/>
  <c r="AW33" i="20"/>
  <c r="W35" i="20"/>
  <c r="W33" i="20"/>
  <c r="AR35" i="20"/>
  <c r="AY33" i="20"/>
  <c r="E13" i="36"/>
  <c r="Q10" i="36"/>
  <c r="AE16" i="36"/>
  <c r="AF35" i="20"/>
  <c r="AI34" i="20"/>
  <c r="AJ34" i="20"/>
  <c r="U14" i="36"/>
  <c r="AQ36" i="20"/>
  <c r="AC14" i="36"/>
  <c r="AJ36" i="20"/>
  <c r="AC15" i="36"/>
  <c r="O15" i="36"/>
  <c r="AB33" i="20"/>
  <c r="AU49" i="20"/>
  <c r="AI49" i="20"/>
  <c r="Q15" i="36"/>
  <c r="AA18" i="36"/>
  <c r="I11" i="36"/>
  <c r="AM33" i="20"/>
  <c r="AG9" i="36"/>
  <c r="AX49" i="20"/>
  <c r="AE35" i="20"/>
  <c r="G13" i="36"/>
  <c r="K11" i="36"/>
  <c r="I18" i="36"/>
  <c r="K15" i="36"/>
  <c r="AG33" i="20"/>
  <c r="AG15" i="36"/>
  <c r="M11" i="36"/>
  <c r="AI33" i="20"/>
  <c r="AC48" i="20"/>
  <c r="AS35" i="20"/>
  <c r="AV33" i="20"/>
  <c r="W12" i="36"/>
  <c r="AC10" i="36"/>
  <c r="AP35" i="20"/>
  <c r="K12" i="36"/>
  <c r="AD48" i="20"/>
  <c r="G16" i="36"/>
  <c r="AG10" i="36"/>
  <c r="AJ48" i="20"/>
  <c r="AG35" i="20"/>
  <c r="M12" i="36"/>
  <c r="S17" i="36"/>
  <c r="Y34" i="20"/>
  <c r="O10" i="36"/>
  <c r="AC34" i="20"/>
  <c r="Y10" i="36"/>
  <c r="Y35" i="20"/>
  <c r="AQ35" i="20"/>
  <c r="AK34" i="20"/>
  <c r="AK40" i="20" s="1"/>
  <c r="Y18" i="36"/>
  <c r="AT34" i="20"/>
  <c r="Y14" i="36"/>
  <c r="AA15" i="36"/>
  <c r="AA34" i="20"/>
  <c r="AE34" i="20"/>
  <c r="AY34" i="20"/>
  <c r="AQ34" i="20"/>
  <c r="X49" i="20"/>
  <c r="O18" i="36"/>
  <c r="AG14" i="36"/>
  <c r="X34" i="20"/>
  <c r="W34" i="20"/>
  <c r="W36" i="20"/>
  <c r="AX34" i="20"/>
  <c r="AG49" i="20"/>
  <c r="AM34" i="20"/>
  <c r="S11" i="36"/>
  <c r="I14" i="36"/>
  <c r="Y15" i="36"/>
  <c r="AE9" i="36"/>
  <c r="AF49" i="20"/>
  <c r="AS34" i="20"/>
  <c r="E15" i="36"/>
  <c r="K9" i="36"/>
  <c r="U11" i="36"/>
  <c r="G9" i="36"/>
  <c r="I15" i="36"/>
  <c r="AK49" i="20"/>
  <c r="Y13" i="36"/>
  <c r="G11" i="36"/>
  <c r="AG11" i="36"/>
  <c r="AC36" i="20"/>
  <c r="G18" i="36"/>
  <c r="M9" i="36"/>
  <c r="E11" i="36"/>
  <c r="AN7" i="20"/>
  <c r="AZ9" i="36" s="1"/>
  <c r="AF7" i="20"/>
  <c r="AR9" i="36" s="1"/>
  <c r="Z69" i="20"/>
  <c r="DQ129" i="33"/>
  <c r="CP129" i="33"/>
  <c r="DF129" i="33"/>
  <c r="DJ129" i="33"/>
  <c r="CM129" i="33"/>
  <c r="DG129" i="33"/>
  <c r="DK129" i="33"/>
  <c r="DT129" i="33"/>
  <c r="BB75" i="33"/>
  <c r="BB86" i="33" s="1"/>
  <c r="BB97" i="33" s="1"/>
  <c r="BB108" i="33" s="1"/>
  <c r="BB119" i="33" s="1"/>
  <c r="BB130" i="33" s="1"/>
  <c r="BB141" i="33" s="1"/>
  <c r="BB143" i="33" s="1"/>
  <c r="DM129" i="33"/>
  <c r="AD75" i="33"/>
  <c r="AD86" i="33" s="1"/>
  <c r="AD97" i="33" s="1"/>
  <c r="AD108" i="33" s="1"/>
  <c r="AD119" i="33" s="1"/>
  <c r="AD130" i="33" s="1"/>
  <c r="AD141" i="33" s="1"/>
  <c r="AD143" i="33" s="1"/>
  <c r="DE135" i="33"/>
  <c r="AM75" i="33"/>
  <c r="AM86" i="33" s="1"/>
  <c r="AM97" i="33" s="1"/>
  <c r="AM108" i="33" s="1"/>
  <c r="AM119" i="33" s="1"/>
  <c r="AM130" i="33" s="1"/>
  <c r="AM141" i="33" s="1"/>
  <c r="AM143" i="33" s="1"/>
  <c r="DV136" i="33"/>
  <c r="DO129" i="33"/>
  <c r="CT129" i="33"/>
  <c r="T75" i="33"/>
  <c r="T86" i="33" s="1"/>
  <c r="T97" i="33" s="1"/>
  <c r="T108" i="33" s="1"/>
  <c r="T119" i="33" s="1"/>
  <c r="T130" i="33" s="1"/>
  <c r="T141" i="33" s="1"/>
  <c r="T143" i="33" s="1"/>
  <c r="AW141" i="33"/>
  <c r="AW143" i="33" s="1"/>
  <c r="AH75" i="33"/>
  <c r="AH86" i="33" s="1"/>
  <c r="AH97" i="33" s="1"/>
  <c r="AH108" i="33" s="1"/>
  <c r="AH119" i="33" s="1"/>
  <c r="AH130" i="33" s="1"/>
  <c r="AP33" i="20"/>
  <c r="AN69" i="20"/>
  <c r="AV34" i="20"/>
  <c r="AN34" i="20"/>
  <c r="AC13" i="36"/>
  <c r="AV67" i="20"/>
  <c r="E14" i="36"/>
  <c r="AS65" i="20"/>
  <c r="AS70" i="20" s="1"/>
  <c r="AA65" i="20"/>
  <c r="AA70" i="20" s="1"/>
  <c r="AS48" i="20"/>
  <c r="AC12" i="36"/>
  <c r="AA13" i="36"/>
  <c r="AP49" i="20"/>
  <c r="AV68" i="20"/>
  <c r="AA12" i="36"/>
  <c r="W13" i="36"/>
  <c r="AP36" i="20"/>
  <c r="O16" i="36"/>
  <c r="AC59" i="20"/>
  <c r="AC63" i="20" s="1"/>
  <c r="J4" i="36" s="1"/>
  <c r="J16" i="36" s="1"/>
  <c r="AE60" i="20"/>
  <c r="AE63" i="20" s="1"/>
  <c r="O17" i="36"/>
  <c r="AO49" i="20"/>
  <c r="Z34" i="20"/>
  <c r="AH67" i="20"/>
  <c r="AT69" i="20"/>
  <c r="AB36" i="20"/>
  <c r="AH68" i="20"/>
  <c r="Z68" i="20"/>
  <c r="AE18" i="36"/>
  <c r="Z33" i="20"/>
  <c r="AE49" i="20"/>
  <c r="Q14" i="36"/>
  <c r="K14" i="36"/>
  <c r="AE48" i="20"/>
  <c r="AG59" i="20"/>
  <c r="AG63" i="20" s="1"/>
  <c r="O12" i="36"/>
  <c r="AH33" i="20"/>
  <c r="AA48" i="20"/>
  <c r="AW59" i="20"/>
  <c r="AW63" i="20" s="1"/>
  <c r="AB49" i="20"/>
  <c r="AX36" i="20"/>
  <c r="G12" i="36"/>
  <c r="AU48" i="20"/>
  <c r="AE65" i="20"/>
  <c r="AE70" i="20" s="1"/>
  <c r="AP7" i="20"/>
  <c r="BB9" i="36" s="1"/>
  <c r="AE7" i="20"/>
  <c r="AQ9" i="36" s="1"/>
  <c r="AP68" i="20"/>
  <c r="AA60" i="20"/>
  <c r="AA63" i="20" s="1"/>
  <c r="O14" i="36"/>
  <c r="AU7" i="20"/>
  <c r="BG9" i="36" s="1"/>
  <c r="X7" i="20"/>
  <c r="AJ9" i="36" s="1"/>
  <c r="AR36" i="20"/>
  <c r="W59" i="20"/>
  <c r="W63" i="20" s="1"/>
  <c r="AT49" i="20"/>
  <c r="AT67" i="20"/>
  <c r="AN35" i="20"/>
  <c r="AS36" i="20"/>
  <c r="AF67" i="20"/>
  <c r="AH69" i="20"/>
  <c r="AR34" i="20"/>
  <c r="AX7" i="20"/>
  <c r="BJ9" i="36" s="1"/>
  <c r="AQ7" i="20"/>
  <c r="BC9" i="36" s="1"/>
  <c r="Q16" i="36"/>
  <c r="AW65" i="20"/>
  <c r="AW68" i="20" s="1"/>
  <c r="AW48" i="20"/>
  <c r="AL35" i="20"/>
  <c r="AJ69" i="20"/>
  <c r="AZ36" i="20"/>
  <c r="AP67" i="20"/>
  <c r="AA36" i="20"/>
  <c r="Q17" i="36"/>
  <c r="M13" i="36"/>
  <c r="Y12" i="36"/>
  <c r="AZ66" i="20"/>
  <c r="AR33" i="20"/>
  <c r="AT35" i="20"/>
  <c r="AT48" i="20"/>
  <c r="AW35" i="20"/>
  <c r="U17" i="36"/>
  <c r="AA49" i="20"/>
  <c r="AN48" i="20"/>
  <c r="AK36" i="20"/>
  <c r="AG18" i="36"/>
  <c r="AF33" i="20"/>
  <c r="AJ70" i="20"/>
  <c r="AL48" i="20"/>
  <c r="U16" i="36"/>
  <c r="S16" i="36"/>
  <c r="AG48" i="20"/>
  <c r="AS49" i="20"/>
  <c r="AJ35" i="20"/>
  <c r="AA16" i="36"/>
  <c r="Z67" i="20"/>
  <c r="AW49" i="20"/>
  <c r="AA17" i="36"/>
  <c r="AB69" i="20"/>
  <c r="I16" i="36"/>
  <c r="W14" i="36"/>
  <c r="AD66" i="20"/>
  <c r="AA11" i="36"/>
  <c r="I13" i="36"/>
  <c r="I12" i="36"/>
  <c r="AR68" i="20"/>
  <c r="AT68" i="20"/>
  <c r="AT70" i="20"/>
  <c r="AR49" i="20"/>
  <c r="AM59" i="20"/>
  <c r="AM63" i="20" s="1"/>
  <c r="AQ59" i="20"/>
  <c r="AQ63" i="20" s="1"/>
  <c r="X4" i="36" s="1"/>
  <c r="X9" i="36" s="1"/>
  <c r="AT36" i="20"/>
  <c r="AB67" i="20"/>
  <c r="AB70" i="20"/>
  <c r="AU65" i="20"/>
  <c r="AU66" i="20" s="1"/>
  <c r="AJ49" i="20"/>
  <c r="AU36" i="20"/>
  <c r="I17" i="36"/>
  <c r="AA14" i="36"/>
  <c r="CS130" i="33"/>
  <c r="DU130" i="33"/>
  <c r="CK134" i="33"/>
  <c r="DA134" i="33" s="1"/>
  <c r="CM136" i="33"/>
  <c r="AF68" i="20"/>
  <c r="AP66" i="20"/>
  <c r="U75" i="33"/>
  <c r="U86" i="33" s="1"/>
  <c r="U97" i="33" s="1"/>
  <c r="U108" i="33" s="1"/>
  <c r="U119" i="33" s="1"/>
  <c r="U130" i="33" s="1"/>
  <c r="U141" i="33" s="1"/>
  <c r="U143" i="33" s="1"/>
  <c r="V75" i="33"/>
  <c r="V86" i="33" s="1"/>
  <c r="V97" i="33" s="1"/>
  <c r="V108" i="33" s="1"/>
  <c r="V119" i="33" s="1"/>
  <c r="V130" i="33" s="1"/>
  <c r="V141" i="33" s="1"/>
  <c r="V143" i="33" s="1"/>
  <c r="DV130" i="33"/>
  <c r="CX130" i="33"/>
  <c r="DF133" i="33"/>
  <c r="DG133" i="33"/>
  <c r="DG136" i="33"/>
  <c r="BA75" i="33"/>
  <c r="BA86" i="33" s="1"/>
  <c r="BA97" i="33" s="1"/>
  <c r="BA108" i="33" s="1"/>
  <c r="BA119" i="33" s="1"/>
  <c r="BA130" i="33" s="1"/>
  <c r="BA141" i="33" s="1"/>
  <c r="BA143" i="33" s="1"/>
  <c r="DI130" i="33"/>
  <c r="DS130" i="33"/>
  <c r="CZ133" i="33"/>
  <c r="CK131" i="33"/>
  <c r="AA75" i="33"/>
  <c r="AA86" i="33" s="1"/>
  <c r="AA97" i="33" s="1"/>
  <c r="AA108" i="33" s="1"/>
  <c r="AA119" i="33" s="1"/>
  <c r="AA130" i="33" s="1"/>
  <c r="AA141" i="33" s="1"/>
  <c r="AA143" i="33" s="1"/>
  <c r="AZ70" i="20"/>
  <c r="AV7" i="20"/>
  <c r="BH9" i="36" s="1"/>
  <c r="DN130" i="33"/>
  <c r="DA130" i="33"/>
  <c r="AJ141" i="33"/>
  <c r="AJ143" i="33" s="1"/>
  <c r="X75" i="33"/>
  <c r="X86" i="33" s="1"/>
  <c r="X97" i="33" s="1"/>
  <c r="X108" i="33" s="1"/>
  <c r="X119" i="33" s="1"/>
  <c r="X130" i="33" s="1"/>
  <c r="X141" i="33" s="1"/>
  <c r="X143" i="33" s="1"/>
  <c r="DD130" i="33"/>
  <c r="DM133" i="33"/>
  <c r="AT66" i="20"/>
  <c r="AR67" i="20"/>
  <c r="CO131" i="33"/>
  <c r="AH141" i="33"/>
  <c r="AH143" i="33" s="1"/>
  <c r="AN75" i="33"/>
  <c r="AN86" i="33" s="1"/>
  <c r="AN97" i="33" s="1"/>
  <c r="AN108" i="33" s="1"/>
  <c r="AN119" i="33" s="1"/>
  <c r="AN130" i="33" s="1"/>
  <c r="AN141" i="33" s="1"/>
  <c r="AN143" i="33" s="1"/>
  <c r="AT75" i="33"/>
  <c r="AT86" i="33" s="1"/>
  <c r="AT97" i="33" s="1"/>
  <c r="AT108" i="33" s="1"/>
  <c r="AT119" i="33" s="1"/>
  <c r="AT130" i="33" s="1"/>
  <c r="AT141" i="33" s="1"/>
  <c r="AT143" i="33" s="1"/>
  <c r="CU130" i="33"/>
  <c r="DM130" i="33"/>
  <c r="CK139" i="33"/>
  <c r="DM139" i="33" s="1"/>
  <c r="CV135" i="33"/>
  <c r="DJ136" i="33"/>
  <c r="AC35" i="20"/>
  <c r="AH48" i="20"/>
  <c r="Y7" i="20"/>
  <c r="AK9" i="36" s="1"/>
  <c r="Q18" i="36"/>
  <c r="AX48" i="20"/>
  <c r="AR7" i="20"/>
  <c r="BD9" i="36" s="1"/>
  <c r="AN66" i="20"/>
  <c r="AT7" i="20"/>
  <c r="BF9" i="36" s="1"/>
  <c r="AI48" i="20"/>
  <c r="AB35" i="20"/>
  <c r="AA7" i="20"/>
  <c r="AM9" i="36" s="1"/>
  <c r="AI65" i="20"/>
  <c r="AI68" i="20" s="1"/>
  <c r="AX66" i="20"/>
  <c r="AE17" i="36"/>
  <c r="AX70" i="20"/>
  <c r="AQ65" i="20"/>
  <c r="AQ69" i="20" s="1"/>
  <c r="Z36" i="20"/>
  <c r="AD35" i="20"/>
  <c r="AK48" i="20"/>
  <c r="AK65" i="20"/>
  <c r="AK67" i="20" s="1"/>
  <c r="AY35" i="20"/>
  <c r="AF34" i="20"/>
  <c r="AH66" i="20"/>
  <c r="AK7" i="20"/>
  <c r="AW9" i="36" s="1"/>
  <c r="AO7" i="20"/>
  <c r="BA9" i="36" s="1"/>
  <c r="Y65" i="20"/>
  <c r="Y69" i="20" s="1"/>
  <c r="W7" i="20"/>
  <c r="AI9" i="36" s="1"/>
  <c r="AH70" i="20"/>
  <c r="AN68" i="20"/>
  <c r="AG7" i="20"/>
  <c r="AS9" i="36" s="1"/>
  <c r="AL33" i="20"/>
  <c r="AY60" i="20"/>
  <c r="AY63" i="20" s="1"/>
  <c r="AF4" i="36" s="1"/>
  <c r="AF17" i="36" s="1"/>
  <c r="Y59" i="20"/>
  <c r="Y63" i="20" s="1"/>
  <c r="AM48" i="20"/>
  <c r="S12" i="36"/>
  <c r="AI59" i="20"/>
  <c r="AI63" i="20" s="1"/>
  <c r="U13" i="36"/>
  <c r="AH49" i="20"/>
  <c r="AZ34" i="20"/>
  <c r="AK59" i="20"/>
  <c r="AK63" i="20" s="1"/>
  <c r="W9" i="36"/>
  <c r="U10" i="36"/>
  <c r="M14" i="36"/>
  <c r="X36" i="20"/>
  <c r="AN33" i="20"/>
  <c r="U12" i="36"/>
  <c r="AN67" i="20"/>
  <c r="E18" i="36"/>
  <c r="AH36" i="20"/>
  <c r="K18" i="36"/>
  <c r="AD49" i="20"/>
  <c r="AC16" i="36"/>
  <c r="AD7" i="20"/>
  <c r="AP9" i="36" s="1"/>
  <c r="AL69" i="20"/>
  <c r="AL34" i="20"/>
  <c r="X66" i="20"/>
  <c r="AD69" i="20"/>
  <c r="Y36" i="20"/>
  <c r="AZ48" i="20"/>
  <c r="AD33" i="20"/>
  <c r="AD41" i="20" s="1"/>
  <c r="D50" i="19" s="1"/>
  <c r="K13" i="36"/>
  <c r="AZ7" i="20"/>
  <c r="BL9" i="36" s="1"/>
  <c r="AJ7" i="20"/>
  <c r="AV9" i="36" s="1"/>
  <c r="AV66" i="20"/>
  <c r="AH7" i="20"/>
  <c r="AT9" i="36" s="1"/>
  <c r="AS7" i="20"/>
  <c r="BE9" i="36" s="1"/>
  <c r="X68" i="20"/>
  <c r="Z35" i="20"/>
  <c r="AP70" i="20"/>
  <c r="AD70" i="20"/>
  <c r="AP48" i="20"/>
  <c r="AL66" i="20"/>
  <c r="AS60" i="20"/>
  <c r="AS63" i="20" s="1"/>
  <c r="AZ35" i="20"/>
  <c r="G15" i="36"/>
  <c r="K16" i="36"/>
  <c r="W16" i="36"/>
  <c r="S15" i="36"/>
  <c r="AF36" i="20"/>
  <c r="AD68" i="20"/>
  <c r="M18" i="36"/>
  <c r="AM7" i="20"/>
  <c r="AY9" i="36" s="1"/>
  <c r="AP69" i="20"/>
  <c r="AJ68" i="20"/>
  <c r="W17" i="36"/>
  <c r="BB14" i="36" s="1"/>
  <c r="AG16" i="36"/>
  <c r="U18" i="36"/>
  <c r="Y49" i="20"/>
  <c r="AW7" i="20"/>
  <c r="BI9" i="36" s="1"/>
  <c r="Z48" i="20"/>
  <c r="AZ69" i="20"/>
  <c r="G17" i="36"/>
  <c r="AN36" i="20"/>
  <c r="AD67" i="20"/>
  <c r="AN70" i="20"/>
  <c r="AL36" i="20"/>
  <c r="AO60" i="20"/>
  <c r="AO63" i="20" s="1"/>
  <c r="K17" i="36"/>
  <c r="AG17" i="36"/>
  <c r="AL70" i="20"/>
  <c r="S18" i="36"/>
  <c r="AC9" i="36"/>
  <c r="AL67" i="20"/>
  <c r="X70" i="20"/>
  <c r="AR70" i="20"/>
  <c r="O9" i="36"/>
  <c r="AX68" i="20"/>
  <c r="AM49" i="20"/>
  <c r="Y16" i="36"/>
  <c r="AG13" i="36"/>
  <c r="AV36" i="20"/>
  <c r="W48" i="20"/>
  <c r="AJ66" i="20"/>
  <c r="Z7" i="20"/>
  <c r="AL9" i="36" s="1"/>
  <c r="AF69" i="20"/>
  <c r="AR66" i="20"/>
  <c r="AL7" i="20"/>
  <c r="AX9" i="36" s="1"/>
  <c r="AF66" i="20"/>
  <c r="AB7" i="20"/>
  <c r="AN9" i="36" s="1"/>
  <c r="AO65" i="20"/>
  <c r="AO66" i="20" s="1"/>
  <c r="AY7" i="20"/>
  <c r="BK9" i="36" s="1"/>
  <c r="AX67" i="20"/>
  <c r="W49" i="20"/>
  <c r="AL68" i="20"/>
  <c r="E12" i="36"/>
  <c r="E16" i="36"/>
  <c r="AB68" i="20"/>
  <c r="Z66" i="20"/>
  <c r="AE14" i="36"/>
  <c r="AC7" i="20"/>
  <c r="AO9" i="36" s="1"/>
  <c r="X33" i="20"/>
  <c r="Y17" i="36"/>
  <c r="X69" i="20"/>
  <c r="AR69" i="20"/>
  <c r="AV69" i="20"/>
  <c r="AC17" i="36"/>
  <c r="W65" i="20"/>
  <c r="W69" i="20" s="1"/>
  <c r="AG65" i="20"/>
  <c r="AG66" i="20" s="1"/>
  <c r="AB66" i="20"/>
  <c r="E17" i="36"/>
  <c r="AC18" i="36"/>
  <c r="AZ68" i="20"/>
  <c r="AB34" i="20"/>
  <c r="AZ67" i="20"/>
  <c r="Q12" i="36"/>
  <c r="AO48" i="20"/>
  <c r="W15" i="36"/>
  <c r="AV35" i="20"/>
  <c r="AV70" i="20"/>
  <c r="AU59" i="20"/>
  <c r="AU63" i="20" s="1"/>
  <c r="AU41" i="20" s="1"/>
  <c r="C59" i="19" s="1"/>
  <c r="AQ49" i="20"/>
  <c r="AX69" i="20"/>
  <c r="AF70" i="20"/>
  <c r="M15" i="36"/>
  <c r="AY65" i="20"/>
  <c r="AY68" i="20" s="1"/>
  <c r="AR48" i="20"/>
  <c r="AA9" i="36"/>
  <c r="AJ33" i="20"/>
  <c r="M16" i="36"/>
  <c r="AZ33" i="20"/>
  <c r="Q13" i="36"/>
  <c r="AO35" i="20"/>
  <c r="AJ67" i="20"/>
  <c r="X48" i="20"/>
  <c r="Y11" i="36"/>
  <c r="AC65" i="20"/>
  <c r="AC70" i="20" s="1"/>
  <c r="AE13" i="36"/>
  <c r="AE12" i="36"/>
  <c r="AQ48" i="20"/>
  <c r="Q9" i="36"/>
  <c r="Z70" i="20"/>
  <c r="AM65" i="20"/>
  <c r="AM69" i="20" s="1"/>
  <c r="AG36" i="20"/>
  <c r="Y48" i="20"/>
  <c r="AC49" i="20"/>
  <c r="AI36" i="20"/>
  <c r="Z49" i="20"/>
  <c r="AF48" i="20"/>
  <c r="AX35" i="20"/>
  <c r="M17" i="36"/>
  <c r="AY49" i="20"/>
  <c r="X67" i="20"/>
  <c r="AX33" i="20"/>
  <c r="AO102" i="33"/>
  <c r="AO26" i="33"/>
  <c r="AO107" i="33" s="1"/>
  <c r="AV31" i="33"/>
  <c r="AV118" i="33" s="1"/>
  <c r="AV113" i="33"/>
  <c r="AR21" i="33"/>
  <c r="AR96" i="33" s="1"/>
  <c r="AR91" i="33"/>
  <c r="AI102" i="33"/>
  <c r="AI26" i="33"/>
  <c r="AI107" i="33" s="1"/>
  <c r="Y80" i="33"/>
  <c r="Y16" i="33"/>
  <c r="Y85" i="33" s="1"/>
  <c r="AR124" i="33"/>
  <c r="AR36" i="33"/>
  <c r="AR129" i="33" s="1"/>
  <c r="AY135" i="33"/>
  <c r="AY41" i="33"/>
  <c r="AY140" i="33" s="1"/>
  <c r="Z113" i="33"/>
  <c r="Z31" i="33"/>
  <c r="Z118" i="33" s="1"/>
  <c r="AR26" i="33"/>
  <c r="AR107" i="33" s="1"/>
  <c r="AR102" i="33"/>
  <c r="DE133" i="33"/>
  <c r="CY133" i="33"/>
  <c r="CS133" i="33"/>
  <c r="DQ133" i="33"/>
  <c r="DO133" i="33"/>
  <c r="CT133" i="33"/>
  <c r="DN133" i="33"/>
  <c r="CR133" i="33"/>
  <c r="DA133" i="33"/>
  <c r="CX133" i="33"/>
  <c r="DL133" i="33"/>
  <c r="DC133" i="33"/>
  <c r="DJ133" i="33"/>
  <c r="CV133" i="33"/>
  <c r="AR69" i="33"/>
  <c r="AR75" i="33" s="1"/>
  <c r="AR86" i="33" s="1"/>
  <c r="AR97" i="33" s="1"/>
  <c r="AR108" i="33" s="1"/>
  <c r="AR119" i="33" s="1"/>
  <c r="AR130" i="33" s="1"/>
  <c r="AR11" i="33"/>
  <c r="AR74" i="33" s="1"/>
  <c r="AU21" i="33"/>
  <c r="AU96" i="33" s="1"/>
  <c r="AU91" i="33"/>
  <c r="AG69" i="33"/>
  <c r="AG11" i="33"/>
  <c r="AG74" i="33" s="1"/>
  <c r="AS75" i="33"/>
  <c r="AS86" i="33" s="1"/>
  <c r="AS97" i="33" s="1"/>
  <c r="AS108" i="33" s="1"/>
  <c r="AS119" i="33" s="1"/>
  <c r="AS130" i="33" s="1"/>
  <c r="AS141" i="33" s="1"/>
  <c r="AS143" i="33" s="1"/>
  <c r="AB41" i="33"/>
  <c r="AB140" i="33" s="1"/>
  <c r="AB135" i="33"/>
  <c r="DF139" i="33"/>
  <c r="DN137" i="33"/>
  <c r="DJ137" i="33"/>
  <c r="DD137" i="33"/>
  <c r="CX137" i="33"/>
  <c r="CO137" i="33"/>
  <c r="DN134" i="33"/>
  <c r="DV134" i="33"/>
  <c r="DC134" i="33"/>
  <c r="DD134" i="33"/>
  <c r="CZ136" i="33"/>
  <c r="DH136" i="33"/>
  <c r="CQ136" i="33"/>
  <c r="DU136" i="33"/>
  <c r="Z41" i="33"/>
  <c r="Z140" i="33" s="1"/>
  <c r="Z135" i="33"/>
  <c r="AQ113" i="33"/>
  <c r="AQ31" i="33"/>
  <c r="AQ118" i="33" s="1"/>
  <c r="CM133" i="33"/>
  <c r="CK132" i="33"/>
  <c r="DS132" i="33" s="1"/>
  <c r="CR135" i="33"/>
  <c r="AC21" i="33"/>
  <c r="AC96" i="33" s="1"/>
  <c r="AC91" i="33"/>
  <c r="CZ131" i="33"/>
  <c r="DN131" i="33"/>
  <c r="CP131" i="33"/>
  <c r="CX131" i="33"/>
  <c r="AQ69" i="33"/>
  <c r="AQ11" i="33"/>
  <c r="AQ74" i="33" s="1"/>
  <c r="BC36" i="33"/>
  <c r="BC129" i="33" s="1"/>
  <c r="BC124" i="33"/>
  <c r="AL91" i="33"/>
  <c r="AL21" i="33"/>
  <c r="AL96" i="33" s="1"/>
  <c r="AY91" i="33"/>
  <c r="AY21" i="33"/>
  <c r="AY96" i="33" s="1"/>
  <c r="AF11" i="33"/>
  <c r="AF74" i="33" s="1"/>
  <c r="AF69" i="33"/>
  <c r="DE137" i="33"/>
  <c r="CT137" i="33"/>
  <c r="AI80" i="33"/>
  <c r="AI16" i="33"/>
  <c r="AI85" i="33" s="1"/>
  <c r="DR131" i="33"/>
  <c r="DC131" i="33"/>
  <c r="DQ130" i="33"/>
  <c r="DB130" i="33"/>
  <c r="CP130" i="33"/>
  <c r="CQ130" i="33"/>
  <c r="DT130" i="33"/>
  <c r="AG91" i="33"/>
  <c r="AG21" i="33"/>
  <c r="AG96" i="33" s="1"/>
  <c r="W75" i="33"/>
  <c r="W86" i="33" s="1"/>
  <c r="W97" i="33" s="1"/>
  <c r="W108" i="33" s="1"/>
  <c r="W119" i="33" s="1"/>
  <c r="W130" i="33" s="1"/>
  <c r="W141" i="33" s="1"/>
  <c r="W143" i="33" s="1"/>
  <c r="CP133" i="33"/>
  <c r="AI91" i="33"/>
  <c r="AI21" i="33"/>
  <c r="AI96" i="33" s="1"/>
  <c r="AQ16" i="33"/>
  <c r="AQ85" i="33" s="1"/>
  <c r="AQ80" i="33"/>
  <c r="AZ75" i="33"/>
  <c r="AZ86" i="33" s="1"/>
  <c r="AZ97" i="33" s="1"/>
  <c r="AZ108" i="33" s="1"/>
  <c r="AZ119" i="33" s="1"/>
  <c r="AZ130" i="33" s="1"/>
  <c r="AZ141" i="33" s="1"/>
  <c r="AZ143" i="33" s="1"/>
  <c r="AG124" i="33"/>
  <c r="AG36" i="33"/>
  <c r="AG129" i="33" s="1"/>
  <c r="DK135" i="33"/>
  <c r="AG113" i="33"/>
  <c r="AG31" i="33"/>
  <c r="AG118" i="33" s="1"/>
  <c r="AI36" i="33"/>
  <c r="AI129" i="33" s="1"/>
  <c r="AI124" i="33"/>
  <c r="AB31" i="33"/>
  <c r="AB118" i="33" s="1"/>
  <c r="AB113" i="33"/>
  <c r="DR137" i="33"/>
  <c r="CU137" i="33"/>
  <c r="CW137" i="33"/>
  <c r="DM137" i="33"/>
  <c r="AG41" i="33"/>
  <c r="AG140" i="33" s="1"/>
  <c r="AG135" i="33"/>
  <c r="CV134" i="33"/>
  <c r="DR134" i="33"/>
  <c r="DU134" i="33"/>
  <c r="CQ134" i="33"/>
  <c r="DK136" i="33"/>
  <c r="CR136" i="33"/>
  <c r="CT136" i="33"/>
  <c r="DA136" i="33"/>
  <c r="AL11" i="33"/>
  <c r="AL74" i="33" s="1"/>
  <c r="AL69" i="33"/>
  <c r="DB133" i="33"/>
  <c r="AX91" i="33"/>
  <c r="AX21" i="33"/>
  <c r="AX96" i="33" s="1"/>
  <c r="CY131" i="33"/>
  <c r="DB131" i="33"/>
  <c r="DD131" i="33"/>
  <c r="DU131" i="33"/>
  <c r="AC41" i="33"/>
  <c r="AC140" i="33" s="1"/>
  <c r="AC135" i="33"/>
  <c r="AP26" i="33"/>
  <c r="AP107" i="33" s="1"/>
  <c r="AP102" i="33"/>
  <c r="CO138" i="33"/>
  <c r="CR138" i="33"/>
  <c r="DH130" i="33"/>
  <c r="DO130" i="33"/>
  <c r="CT130" i="33"/>
  <c r="CO130" i="33"/>
  <c r="CG138" i="33"/>
  <c r="CN138" i="33" s="1"/>
  <c r="AB21" i="33"/>
  <c r="AB96" i="33" s="1"/>
  <c r="AB91" i="33"/>
  <c r="DP133" i="33"/>
  <c r="AL16" i="33"/>
  <c r="AL85" i="33" s="1"/>
  <c r="AL80" i="33"/>
  <c r="AG102" i="33"/>
  <c r="AG26" i="33"/>
  <c r="AG107" i="33" s="1"/>
  <c r="CU135" i="33"/>
  <c r="AY36" i="33"/>
  <c r="AY129" i="33" s="1"/>
  <c r="AY124" i="33"/>
  <c r="BC135" i="33"/>
  <c r="BC41" i="33"/>
  <c r="BC140" i="33" s="1"/>
  <c r="DV133" i="33"/>
  <c r="DH135" i="33"/>
  <c r="AB102" i="33"/>
  <c r="AB26" i="33"/>
  <c r="AB107" i="33" s="1"/>
  <c r="CO133" i="33"/>
  <c r="AV135" i="33"/>
  <c r="AV41" i="33"/>
  <c r="AV140" i="33" s="1"/>
  <c r="BC102" i="33"/>
  <c r="BC26" i="33"/>
  <c r="BC107" i="33" s="1"/>
  <c r="CS137" i="33"/>
  <c r="DQ137" i="33"/>
  <c r="CM137" i="33"/>
  <c r="DU137" i="33"/>
  <c r="DO134" i="33"/>
  <c r="DB134" i="33"/>
  <c r="DL134" i="33"/>
  <c r="DG134" i="33"/>
  <c r="CU136" i="33"/>
  <c r="DE136" i="33"/>
  <c r="DN136" i="33"/>
  <c r="DP136" i="33"/>
  <c r="DF136" i="33"/>
  <c r="AF102" i="33"/>
  <c r="AF26" i="33"/>
  <c r="AF107" i="33" s="1"/>
  <c r="BC11" i="33"/>
  <c r="BC74" i="33" s="1"/>
  <c r="BC69" i="33"/>
  <c r="DH133" i="33"/>
  <c r="AY31" i="33"/>
  <c r="AY118" i="33" s="1"/>
  <c r="AY113" i="33"/>
  <c r="CO135" i="33"/>
  <c r="CR131" i="33"/>
  <c r="CV131" i="33"/>
  <c r="DT131" i="33"/>
  <c r="DM131" i="33"/>
  <c r="AP91" i="33"/>
  <c r="AP21" i="33"/>
  <c r="AP96" i="33" s="1"/>
  <c r="AQ21" i="33"/>
  <c r="AQ96" i="33" s="1"/>
  <c r="AQ91" i="33"/>
  <c r="Y36" i="33"/>
  <c r="Y129" i="33" s="1"/>
  <c r="Y124" i="33"/>
  <c r="DH137" i="33"/>
  <c r="Z102" i="33"/>
  <c r="Z26" i="33"/>
  <c r="Z107" i="33" s="1"/>
  <c r="DJ131" i="33"/>
  <c r="DL131" i="33"/>
  <c r="CV130" i="33"/>
  <c r="CR130" i="33"/>
  <c r="CW130" i="33"/>
  <c r="DL130" i="33"/>
  <c r="BC21" i="33"/>
  <c r="BC96" i="33" s="1"/>
  <c r="BC91" i="33"/>
  <c r="Z21" i="33"/>
  <c r="Z96" i="33" s="1"/>
  <c r="Z91" i="33"/>
  <c r="AB69" i="33"/>
  <c r="AB11" i="33"/>
  <c r="AB74" i="33" s="1"/>
  <c r="AC11" i="33"/>
  <c r="AC74" i="33" s="1"/>
  <c r="AC69" i="33"/>
  <c r="Y31" i="33"/>
  <c r="Y118" i="33" s="1"/>
  <c r="Y113" i="33"/>
  <c r="AC31" i="33"/>
  <c r="AC118" i="33" s="1"/>
  <c r="AC113" i="33"/>
  <c r="AQ124" i="33"/>
  <c r="AQ36" i="33"/>
  <c r="AQ129" i="33" s="1"/>
  <c r="AB124" i="33"/>
  <c r="AB36" i="33"/>
  <c r="AB129" i="33" s="1"/>
  <c r="AK75" i="33"/>
  <c r="AK86" i="33" s="1"/>
  <c r="AK97" i="33" s="1"/>
  <c r="AK108" i="33" s="1"/>
  <c r="AK119" i="33" s="1"/>
  <c r="AK130" i="33" s="1"/>
  <c r="AK141" i="33" s="1"/>
  <c r="AK143" i="33" s="1"/>
  <c r="AU16" i="33"/>
  <c r="AU85" i="33" s="1"/>
  <c r="AU80" i="33"/>
  <c r="AI69" i="33"/>
  <c r="AI11" i="33"/>
  <c r="AI74" i="33" s="1"/>
  <c r="CQ133" i="33"/>
  <c r="AP11" i="33"/>
  <c r="AP74" i="33" s="1"/>
  <c r="AP69" i="33"/>
  <c r="DK139" i="33"/>
  <c r="CV137" i="33"/>
  <c r="CY137" i="33"/>
  <c r="DL137" i="33"/>
  <c r="DT137" i="33"/>
  <c r="DQ134" i="33"/>
  <c r="CU134" i="33"/>
  <c r="DE134" i="33"/>
  <c r="DF134" i="33"/>
  <c r="CO134" i="33"/>
  <c r="DB136" i="33"/>
  <c r="DR136" i="33"/>
  <c r="DD136" i="33"/>
  <c r="DC136" i="33"/>
  <c r="CN136" i="33"/>
  <c r="AY16" i="33"/>
  <c r="AY85" i="33" s="1"/>
  <c r="AY80" i="33"/>
  <c r="CY135" i="33"/>
  <c r="AU26" i="33"/>
  <c r="AU107" i="33" s="1"/>
  <c r="AU102" i="33"/>
  <c r="DG135" i="33"/>
  <c r="DO131" i="33"/>
  <c r="DQ131" i="33"/>
  <c r="DK131" i="33"/>
  <c r="DG131" i="33"/>
  <c r="CT131" i="33"/>
  <c r="AU31" i="33"/>
  <c r="AU118" i="33" s="1"/>
  <c r="AU113" i="33"/>
  <c r="AG16" i="33"/>
  <c r="AG85" i="33" s="1"/>
  <c r="AG80" i="33"/>
  <c r="AR41" i="33"/>
  <c r="AR140" i="33" s="1"/>
  <c r="AR135" i="33"/>
  <c r="AX80" i="33"/>
  <c r="AX16" i="33"/>
  <c r="AX85" i="33" s="1"/>
  <c r="DG137" i="33"/>
  <c r="AQ102" i="33"/>
  <c r="AQ26" i="33"/>
  <c r="AQ107" i="33" s="1"/>
  <c r="AF41" i="33"/>
  <c r="AF140" i="33" s="1"/>
  <c r="AF135" i="33"/>
  <c r="Z36" i="33"/>
  <c r="Z129" i="33" s="1"/>
  <c r="Z124" i="33"/>
  <c r="CN133" i="33"/>
  <c r="CZ130" i="33"/>
  <c r="DE130" i="33"/>
  <c r="DC130" i="33"/>
  <c r="DG130" i="33"/>
  <c r="AU11" i="33"/>
  <c r="AU74" i="33" s="1"/>
  <c r="AU69" i="33"/>
  <c r="AR80" i="33"/>
  <c r="AR16" i="33"/>
  <c r="AR85" i="33" s="1"/>
  <c r="AX31" i="33"/>
  <c r="AX118" i="33" s="1"/>
  <c r="AX113" i="33"/>
  <c r="AP113" i="33"/>
  <c r="AP31" i="33"/>
  <c r="AP118" i="33" s="1"/>
  <c r="AU124" i="33"/>
  <c r="AU36" i="33"/>
  <c r="AU129" i="33" s="1"/>
  <c r="AV36" i="33"/>
  <c r="AV129" i="33" s="1"/>
  <c r="AV124" i="33"/>
  <c r="DR133" i="33"/>
  <c r="AF80" i="33"/>
  <c r="AF16" i="33"/>
  <c r="AF85" i="33" s="1"/>
  <c r="AC124" i="33"/>
  <c r="AC36" i="33"/>
  <c r="AC129" i="33" s="1"/>
  <c r="DU133" i="33"/>
  <c r="AX36" i="33"/>
  <c r="AX129" i="33" s="1"/>
  <c r="AX124" i="33"/>
  <c r="Z69" i="33"/>
  <c r="Z11" i="33"/>
  <c r="Z74" i="33" s="1"/>
  <c r="AC16" i="33"/>
  <c r="AC85" i="33" s="1"/>
  <c r="AC80" i="33"/>
  <c r="DV137" i="33"/>
  <c r="CZ137" i="33"/>
  <c r="DO137" i="33"/>
  <c r="CQ137" i="33"/>
  <c r="CN137" i="33"/>
  <c r="DI134" i="33"/>
  <c r="CZ134" i="33"/>
  <c r="CW134" i="33"/>
  <c r="DT134" i="33"/>
  <c r="DP134" i="33"/>
  <c r="DQ136" i="33"/>
  <c r="CV136" i="33"/>
  <c r="CW136" i="33"/>
  <c r="DT136" i="33"/>
  <c r="CX136" i="33"/>
  <c r="AU135" i="33"/>
  <c r="AU41" i="33"/>
  <c r="AU140" i="33" s="1"/>
  <c r="AF21" i="33"/>
  <c r="AF96" i="33" s="1"/>
  <c r="AF91" i="33"/>
  <c r="AP80" i="33"/>
  <c r="AP16" i="33"/>
  <c r="AP85" i="33" s="1"/>
  <c r="AV102" i="33"/>
  <c r="AV26" i="33"/>
  <c r="AV107" i="33" s="1"/>
  <c r="AB16" i="33"/>
  <c r="AB85" i="33" s="1"/>
  <c r="AB80" i="33"/>
  <c r="CS131" i="33"/>
  <c r="DI131" i="33"/>
  <c r="CW131" i="33"/>
  <c r="CN131" i="33"/>
  <c r="CQ131" i="33"/>
  <c r="Y41" i="33"/>
  <c r="Y140" i="33" s="1"/>
  <c r="Y135" i="33"/>
  <c r="AO31" i="33"/>
  <c r="AO118" i="33" s="1"/>
  <c r="AO113" i="33"/>
  <c r="AY11" i="33"/>
  <c r="AY74" i="33" s="1"/>
  <c r="AY69" i="33"/>
  <c r="AL113" i="33"/>
  <c r="AL31" i="33"/>
  <c r="AL118" i="33" s="1"/>
  <c r="AF113" i="33"/>
  <c r="AF31" i="33"/>
  <c r="AF118" i="33" s="1"/>
  <c r="AO41" i="33"/>
  <c r="AO140" i="33" s="1"/>
  <c r="AO135" i="33"/>
  <c r="CY129" i="33"/>
  <c r="DB129" i="33"/>
  <c r="DS129" i="33"/>
  <c r="DS133" i="33"/>
  <c r="DJ130" i="33"/>
  <c r="CY130" i="33"/>
  <c r="CM130" i="33"/>
  <c r="AY26" i="33"/>
  <c r="AY107" i="33" s="1"/>
  <c r="AY102" i="33"/>
  <c r="AI41" i="33"/>
  <c r="AI140" i="33" s="1"/>
  <c r="AI135" i="33"/>
  <c r="Y69" i="33"/>
  <c r="Y11" i="33"/>
  <c r="Y74" i="33" s="1"/>
  <c r="AF36" i="33"/>
  <c r="AF129" i="33" s="1"/>
  <c r="AF124" i="33"/>
  <c r="AX11" i="33"/>
  <c r="AX74" i="33" s="1"/>
  <c r="AX69" i="33"/>
  <c r="DR135" i="33"/>
  <c r="BC31" i="33"/>
  <c r="BC118" i="33" s="1"/>
  <c r="BC113" i="33"/>
  <c r="Z80" i="33"/>
  <c r="Z16" i="33"/>
  <c r="Z85" i="33" s="1"/>
  <c r="CU133" i="33"/>
  <c r="AV80" i="33"/>
  <c r="AV16" i="33"/>
  <c r="AV85" i="33" s="1"/>
  <c r="AR31" i="33"/>
  <c r="AR118" i="33" s="1"/>
  <c r="AR113" i="33"/>
  <c r="DK137" i="33"/>
  <c r="CR137" i="33"/>
  <c r="DP137" i="33"/>
  <c r="DS137" i="33"/>
  <c r="DA137" i="33"/>
  <c r="DH134" i="33"/>
  <c r="CR134" i="33"/>
  <c r="CP134" i="33"/>
  <c r="CX134" i="33"/>
  <c r="DS134" i="33"/>
  <c r="DO136" i="33"/>
  <c r="DI136" i="33"/>
  <c r="CP136" i="33"/>
  <c r="DM136" i="33"/>
  <c r="CO136" i="33"/>
  <c r="AP36" i="33"/>
  <c r="AP129" i="33" s="1"/>
  <c r="AP124" i="33"/>
  <c r="AO124" i="33"/>
  <c r="AO36" i="33"/>
  <c r="AO129" i="33" s="1"/>
  <c r="DA132" i="33"/>
  <c r="CU131" i="33"/>
  <c r="DE131" i="33"/>
  <c r="DP131" i="33"/>
  <c r="DF131" i="33"/>
  <c r="DA131" i="33"/>
  <c r="AP41" i="33"/>
  <c r="AP140" i="33" s="1"/>
  <c r="AP135" i="33"/>
  <c r="AC102" i="33"/>
  <c r="AC26" i="33"/>
  <c r="AC107" i="33" s="1"/>
  <c r="AX26" i="33"/>
  <c r="AX107" i="33" s="1"/>
  <c r="AX102" i="33"/>
  <c r="AO91" i="33"/>
  <c r="AO21" i="33"/>
  <c r="AO96" i="33" s="1"/>
  <c r="AV69" i="33"/>
  <c r="AV11" i="33"/>
  <c r="AV74" i="33" s="1"/>
  <c r="AL26" i="33"/>
  <c r="AL107" i="33" s="1"/>
  <c r="AL102" i="33"/>
  <c r="AO69" i="33"/>
  <c r="AO11" i="33"/>
  <c r="AO74" i="33" s="1"/>
  <c r="AL124" i="33"/>
  <c r="AL36" i="33"/>
  <c r="AL129" i="33" s="1"/>
  <c r="AO16" i="33"/>
  <c r="AO85" i="33" s="1"/>
  <c r="AO80" i="33"/>
  <c r="AX41" i="33"/>
  <c r="AX140" i="33" s="1"/>
  <c r="AX135" i="33"/>
  <c r="AI113" i="33"/>
  <c r="AI31" i="33"/>
  <c r="AI118" i="33" s="1"/>
  <c r="Y26" i="33"/>
  <c r="Y107" i="33" s="1"/>
  <c r="Y102" i="33"/>
  <c r="AL41" i="33"/>
  <c r="AL140" i="33" s="1"/>
  <c r="AL135" i="33"/>
  <c r="DN135" i="33"/>
  <c r="DS135" i="33"/>
  <c r="DU135" i="33"/>
  <c r="CM135" i="33"/>
  <c r="CW135" i="33"/>
  <c r="CX135" i="33"/>
  <c r="DM135" i="33"/>
  <c r="DD135" i="33"/>
  <c r="DA135" i="33"/>
  <c r="DT135" i="33"/>
  <c r="CP135" i="33"/>
  <c r="DI135" i="33"/>
  <c r="CN135" i="33"/>
  <c r="DC135" i="33"/>
  <c r="DL135" i="33"/>
  <c r="DV135" i="33"/>
  <c r="CQ135" i="33"/>
  <c r="DF135" i="33"/>
  <c r="CT135" i="33"/>
  <c r="CZ135" i="33"/>
  <c r="DB135" i="33"/>
  <c r="DJ135" i="33"/>
  <c r="DP135" i="33"/>
  <c r="DB137" i="33"/>
  <c r="DI137" i="33"/>
  <c r="CP137" i="33"/>
  <c r="DC137" i="33"/>
  <c r="DJ134" i="33"/>
  <c r="CS134" i="33"/>
  <c r="CM134" i="33"/>
  <c r="CT134" i="33"/>
  <c r="CY136" i="33"/>
  <c r="CS136" i="33"/>
  <c r="DL136" i="33"/>
  <c r="Y91" i="33"/>
  <c r="Y21" i="33"/>
  <c r="Y96" i="33" s="1"/>
  <c r="AQ41" i="33"/>
  <c r="AQ140" i="33" s="1"/>
  <c r="AQ135" i="33"/>
  <c r="DT133" i="33"/>
  <c r="AV21" i="33"/>
  <c r="AV96" i="33" s="1"/>
  <c r="AV91" i="33"/>
  <c r="BC80" i="33"/>
  <c r="BC16" i="33"/>
  <c r="BC85" i="33" s="1"/>
  <c r="DV131" i="33"/>
  <c r="DH131" i="33"/>
  <c r="CM131" i="33"/>
  <c r="DS131" i="33"/>
  <c r="DK133" i="33"/>
  <c r="AX12" i="36" l="1"/>
  <c r="AC40" i="20"/>
  <c r="BL12" i="36"/>
  <c r="AO41" i="20"/>
  <c r="C56" i="19" s="1"/>
  <c r="BD10" i="36"/>
  <c r="AG40" i="20"/>
  <c r="AJ10" i="36"/>
  <c r="X52" i="20"/>
  <c r="BL13" i="36"/>
  <c r="X42" i="20"/>
  <c r="BJ13" i="36"/>
  <c r="AL10" i="36"/>
  <c r="AJ13" i="36"/>
  <c r="X40" i="20"/>
  <c r="AU40" i="20"/>
  <c r="AF52" i="20"/>
  <c r="AN14" i="36"/>
  <c r="AJ12" i="36"/>
  <c r="AZ52" i="20"/>
  <c r="BH10" i="36"/>
  <c r="AS40" i="20"/>
  <c r="AP10" i="36"/>
  <c r="AT40" i="20"/>
  <c r="AL13" i="36"/>
  <c r="BH11" i="36"/>
  <c r="BF13" i="36"/>
  <c r="AW40" i="20"/>
  <c r="AX10" i="36"/>
  <c r="AT12" i="36"/>
  <c r="AG41" i="20"/>
  <c r="C52" i="19" s="1"/>
  <c r="AE40" i="20"/>
  <c r="Y40" i="20"/>
  <c r="AV52" i="20"/>
  <c r="AP13" i="36"/>
  <c r="BF14" i="36"/>
  <c r="AN52" i="20"/>
  <c r="AM40" i="20"/>
  <c r="AB52" i="20"/>
  <c r="AZ13" i="36"/>
  <c r="AN13" i="36"/>
  <c r="AH41" i="20"/>
  <c r="D52" i="19" s="1"/>
  <c r="AY40" i="20"/>
  <c r="BJ10" i="36"/>
  <c r="W40" i="20"/>
  <c r="BH12" i="36"/>
  <c r="BB11" i="36"/>
  <c r="AP40" i="20"/>
  <c r="AV41" i="20"/>
  <c r="D59" i="19" s="1"/>
  <c r="F59" i="19" s="1"/>
  <c r="V59" i="19" s="1"/>
  <c r="V77" i="19" s="1"/>
  <c r="BF10" i="36"/>
  <c r="AN10" i="36"/>
  <c r="AT10" i="36"/>
  <c r="W41" i="20"/>
  <c r="C47" i="19" s="1"/>
  <c r="AR42" i="20"/>
  <c r="AX14" i="36"/>
  <c r="BB10" i="36"/>
  <c r="AW41" i="20"/>
  <c r="C60" i="19" s="1"/>
  <c r="BH13" i="36"/>
  <c r="AL12" i="36"/>
  <c r="AQ40" i="20"/>
  <c r="BL10" i="36"/>
  <c r="AP41" i="20"/>
  <c r="D56" i="19" s="1"/>
  <c r="AT13" i="36"/>
  <c r="AR11" i="36"/>
  <c r="AI40" i="20"/>
  <c r="AA40" i="20"/>
  <c r="AO40" i="20"/>
  <c r="AP11" i="36"/>
  <c r="AN11" i="36"/>
  <c r="BL11" i="36"/>
  <c r="AA41" i="20"/>
  <c r="C49" i="19" s="1"/>
  <c r="AL11" i="36"/>
  <c r="AF42" i="20"/>
  <c r="AR10" i="36"/>
  <c r="BD12" i="36"/>
  <c r="AL14" i="36"/>
  <c r="AL52" i="20"/>
  <c r="BJ11" i="36"/>
  <c r="AT41" i="20"/>
  <c r="D58" i="19" s="1"/>
  <c r="AP42" i="20"/>
  <c r="BD14" i="36"/>
  <c r="AX11" i="36"/>
  <c r="AJ41" i="20"/>
  <c r="D53" i="19" s="1"/>
  <c r="AD42" i="20"/>
  <c r="AV11" i="36"/>
  <c r="AJ11" i="36"/>
  <c r="BD13" i="36"/>
  <c r="AV10" i="36"/>
  <c r="AZ10" i="36"/>
  <c r="AT11" i="36"/>
  <c r="AX40" i="20"/>
  <c r="AJ52" i="20"/>
  <c r="AZ12" i="36"/>
  <c r="AX52" i="20"/>
  <c r="AV13" i="36"/>
  <c r="AI41" i="20"/>
  <c r="C53" i="19" s="1"/>
  <c r="AH42" i="20"/>
  <c r="AM41" i="20"/>
  <c r="C55" i="19" s="1"/>
  <c r="AJ42" i="20"/>
  <c r="AB41" i="20"/>
  <c r="D49" i="19" s="1"/>
  <c r="Y41" i="20"/>
  <c r="C48" i="19" s="1"/>
  <c r="AZ11" i="36"/>
  <c r="AN12" i="36"/>
  <c r="AT14" i="36"/>
  <c r="AE42" i="20"/>
  <c r="AD52" i="20"/>
  <c r="AS67" i="20"/>
  <c r="AV40" i="20"/>
  <c r="AN40" i="20"/>
  <c r="Y75" i="33"/>
  <c r="Y86" i="33" s="1"/>
  <c r="Y97" i="33" s="1"/>
  <c r="Y108" i="33" s="1"/>
  <c r="Y119" i="33" s="1"/>
  <c r="Y130" i="33" s="1"/>
  <c r="AV75" i="33"/>
  <c r="AV86" i="33" s="1"/>
  <c r="AV97" i="33" s="1"/>
  <c r="AV108" i="33" s="1"/>
  <c r="AV119" i="33" s="1"/>
  <c r="AV130" i="33" s="1"/>
  <c r="AV141" i="33" s="1"/>
  <c r="AV143" i="33" s="1"/>
  <c r="AB75" i="33"/>
  <c r="AB86" i="33" s="1"/>
  <c r="AB97" i="33" s="1"/>
  <c r="AB108" i="33" s="1"/>
  <c r="AB119" i="33" s="1"/>
  <c r="AB130" i="33" s="1"/>
  <c r="AB141" i="33" s="1"/>
  <c r="AB143" i="33" s="1"/>
  <c r="DC138" i="33"/>
  <c r="AG75" i="33"/>
  <c r="AG86" i="33" s="1"/>
  <c r="AG97" i="33" s="1"/>
  <c r="AG108" i="33" s="1"/>
  <c r="AG119" i="33" s="1"/>
  <c r="AG130" i="33" s="1"/>
  <c r="AG141" i="33" s="1"/>
  <c r="AG143" i="33" s="1"/>
  <c r="CY134" i="33"/>
  <c r="CN134" i="33"/>
  <c r="AY75" i="33"/>
  <c r="AY86" i="33" s="1"/>
  <c r="AY97" i="33" s="1"/>
  <c r="AY108" i="33" s="1"/>
  <c r="AY119" i="33" s="1"/>
  <c r="AY130" i="33" s="1"/>
  <c r="AY141" i="33" s="1"/>
  <c r="AY143" i="33" s="1"/>
  <c r="Z75" i="33"/>
  <c r="Z86" i="33" s="1"/>
  <c r="Z97" i="33" s="1"/>
  <c r="Z108" i="33" s="1"/>
  <c r="Z119" i="33" s="1"/>
  <c r="Z130" i="33" s="1"/>
  <c r="Z141" i="33" s="1"/>
  <c r="Z143" i="33" s="1"/>
  <c r="AA67" i="20"/>
  <c r="AP12" i="36"/>
  <c r="BF12" i="36"/>
  <c r="AS66" i="20"/>
  <c r="AS69" i="20"/>
  <c r="AS68" i="20"/>
  <c r="AP52" i="20"/>
  <c r="AA69" i="20"/>
  <c r="AA68" i="20"/>
  <c r="AA66" i="20"/>
  <c r="AC41" i="20"/>
  <c r="C50" i="19" s="1"/>
  <c r="F50" i="19" s="1"/>
  <c r="K50" i="19" s="1"/>
  <c r="K68" i="19" s="1"/>
  <c r="AE41" i="20"/>
  <c r="C51" i="19" s="1"/>
  <c r="L4" i="36"/>
  <c r="L16" i="36" s="1"/>
  <c r="BJ14" i="36"/>
  <c r="AC52" i="20"/>
  <c r="Z53" i="20" s="1"/>
  <c r="BF11" i="36"/>
  <c r="AC42" i="20"/>
  <c r="BB12" i="36"/>
  <c r="AB42" i="20"/>
  <c r="N4" i="36"/>
  <c r="N10" i="36" s="1"/>
  <c r="AG42" i="20"/>
  <c r="AY52" i="20"/>
  <c r="AE69" i="20"/>
  <c r="Z41" i="20"/>
  <c r="D48" i="19" s="1"/>
  <c r="AH40" i="20"/>
  <c r="D4" i="36"/>
  <c r="D16" i="36" s="1"/>
  <c r="AG52" i="20"/>
  <c r="AB53" i="20" s="1"/>
  <c r="Z40" i="20"/>
  <c r="AA52" i="20"/>
  <c r="Y53" i="20" s="1"/>
  <c r="AG67" i="20"/>
  <c r="AX42" i="20"/>
  <c r="AW66" i="20"/>
  <c r="H4" i="36"/>
  <c r="H12" i="36" s="1"/>
  <c r="AA42" i="20"/>
  <c r="AV12" i="36"/>
  <c r="AW42" i="20"/>
  <c r="AD4" i="36"/>
  <c r="AD16" i="36" s="1"/>
  <c r="AW67" i="20"/>
  <c r="AE52" i="20"/>
  <c r="AA53" i="20" s="1"/>
  <c r="BD11" i="36"/>
  <c r="AE68" i="20"/>
  <c r="AE67" i="20"/>
  <c r="AE66" i="20"/>
  <c r="AW52" i="20"/>
  <c r="AJ53" i="20" s="1"/>
  <c r="AS42" i="20"/>
  <c r="AF11" i="36"/>
  <c r="AT52" i="20"/>
  <c r="X17" i="36"/>
  <c r="W42" i="20"/>
  <c r="AR40" i="20"/>
  <c r="AW69" i="20"/>
  <c r="AN42" i="20"/>
  <c r="AX13" i="36"/>
  <c r="AW70" i="20"/>
  <c r="T4" i="36"/>
  <c r="T9" i="36" s="1"/>
  <c r="AU70" i="20"/>
  <c r="AR12" i="36"/>
  <c r="AM42" i="20"/>
  <c r="AR52" i="20"/>
  <c r="AL42" i="20"/>
  <c r="AK42" i="20"/>
  <c r="AJ14" i="36"/>
  <c r="AR41" i="20"/>
  <c r="D57" i="19" s="1"/>
  <c r="BL14" i="36"/>
  <c r="AZ14" i="36"/>
  <c r="AF10" i="36"/>
  <c r="AV14" i="36"/>
  <c r="X16" i="36"/>
  <c r="AQ41" i="20"/>
  <c r="C57" i="19" s="1"/>
  <c r="AQ66" i="20"/>
  <c r="AC66" i="20"/>
  <c r="AF41" i="20"/>
  <c r="D51" i="19" s="1"/>
  <c r="X14" i="36"/>
  <c r="X10" i="36"/>
  <c r="BC10" i="36" s="1"/>
  <c r="AF14" i="36"/>
  <c r="X12" i="36"/>
  <c r="AF16" i="36"/>
  <c r="X13" i="36"/>
  <c r="AQ42" i="20"/>
  <c r="AF18" i="36"/>
  <c r="BK14" i="36" s="1"/>
  <c r="AF15" i="36"/>
  <c r="X18" i="36"/>
  <c r="AY41" i="20"/>
  <c r="C61" i="19" s="1"/>
  <c r="AB40" i="20"/>
  <c r="AF9" i="36"/>
  <c r="X11" i="36"/>
  <c r="AY42" i="20"/>
  <c r="AC67" i="20"/>
  <c r="AF13" i="36"/>
  <c r="X15" i="36"/>
  <c r="R4" i="36"/>
  <c r="R17" i="36" s="1"/>
  <c r="AC69" i="20"/>
  <c r="AZ42" i="20"/>
  <c r="AF12" i="36"/>
  <c r="AK41" i="20"/>
  <c r="C54" i="19" s="1"/>
  <c r="AC68" i="20"/>
  <c r="AT42" i="20"/>
  <c r="AS52" i="20"/>
  <c r="AH53" i="20" s="1"/>
  <c r="AH52" i="20"/>
  <c r="Z42" i="20"/>
  <c r="AU68" i="20"/>
  <c r="AU67" i="20"/>
  <c r="AU69" i="20"/>
  <c r="AF40" i="20"/>
  <c r="CS139" i="33"/>
  <c r="DQ139" i="33"/>
  <c r="DN139" i="33"/>
  <c r="DT139" i="33"/>
  <c r="CR139" i="33"/>
  <c r="AX75" i="33"/>
  <c r="AX86" i="33" s="1"/>
  <c r="AX97" i="33" s="1"/>
  <c r="AX108" i="33" s="1"/>
  <c r="AX119" i="33" s="1"/>
  <c r="AX130" i="33" s="1"/>
  <c r="AX141" i="33" s="1"/>
  <c r="AX143" i="33" s="1"/>
  <c r="AP75" i="33"/>
  <c r="AP86" i="33" s="1"/>
  <c r="AP97" i="33" s="1"/>
  <c r="AP108" i="33" s="1"/>
  <c r="AP119" i="33" s="1"/>
  <c r="AP130" i="33" s="1"/>
  <c r="AP141" i="33" s="1"/>
  <c r="AP143" i="33" s="1"/>
  <c r="AC75" i="33"/>
  <c r="AC86" i="33" s="1"/>
  <c r="AC97" i="33" s="1"/>
  <c r="AC108" i="33" s="1"/>
  <c r="AC119" i="33" s="1"/>
  <c r="AC130" i="33" s="1"/>
  <c r="AC141" i="33" s="1"/>
  <c r="AC143" i="33" s="1"/>
  <c r="CV138" i="33"/>
  <c r="AL75" i="33"/>
  <c r="AL86" i="33" s="1"/>
  <c r="AL97" i="33" s="1"/>
  <c r="AL108" i="33" s="1"/>
  <c r="AL119" i="33" s="1"/>
  <c r="AL130" i="33" s="1"/>
  <c r="AL141" i="33" s="1"/>
  <c r="AL143" i="33" s="1"/>
  <c r="CO139" i="33"/>
  <c r="CT139" i="33"/>
  <c r="CN139" i="33"/>
  <c r="DG139" i="33"/>
  <c r="DS139" i="33"/>
  <c r="CU139" i="33"/>
  <c r="DU139" i="33"/>
  <c r="DP139" i="33"/>
  <c r="DD139" i="33"/>
  <c r="CT138" i="33"/>
  <c r="CP139" i="33"/>
  <c r="CV139" i="33"/>
  <c r="CM139" i="33"/>
  <c r="CX139" i="33"/>
  <c r="DV139" i="33"/>
  <c r="DJ139" i="33"/>
  <c r="AR141" i="33"/>
  <c r="AR143" i="33" s="1"/>
  <c r="DK134" i="33"/>
  <c r="DC139" i="33"/>
  <c r="DI139" i="33"/>
  <c r="AO75" i="33"/>
  <c r="AO86" i="33" s="1"/>
  <c r="AO97" i="33" s="1"/>
  <c r="AO108" i="33" s="1"/>
  <c r="AO119" i="33" s="1"/>
  <c r="AO130" i="33" s="1"/>
  <c r="AO141" i="33" s="1"/>
  <c r="AO143" i="33" s="1"/>
  <c r="CY139" i="33"/>
  <c r="DL139" i="33"/>
  <c r="CQ139" i="33"/>
  <c r="AI75" i="33"/>
  <c r="AI86" i="33" s="1"/>
  <c r="AI97" i="33" s="1"/>
  <c r="AI108" i="33" s="1"/>
  <c r="AI119" i="33" s="1"/>
  <c r="AI130" i="33" s="1"/>
  <c r="AI141" i="33" s="1"/>
  <c r="AI143" i="33" s="1"/>
  <c r="DN132" i="33"/>
  <c r="DB139" i="33"/>
  <c r="DJ132" i="33"/>
  <c r="DE139" i="33"/>
  <c r="DM134" i="33"/>
  <c r="CZ139" i="33"/>
  <c r="DA139" i="33"/>
  <c r="DH139" i="33"/>
  <c r="DR139" i="33"/>
  <c r="Y141" i="33"/>
  <c r="Y143" i="33" s="1"/>
  <c r="DO139" i="33"/>
  <c r="AU75" i="33"/>
  <c r="AU86" i="33" s="1"/>
  <c r="AU97" i="33" s="1"/>
  <c r="AU108" i="33" s="1"/>
  <c r="AU119" i="33" s="1"/>
  <c r="AU130" i="33" s="1"/>
  <c r="AU141" i="33" s="1"/>
  <c r="AU143" i="33" s="1"/>
  <c r="CW139" i="33"/>
  <c r="AX41" i="20"/>
  <c r="D60" i="19" s="1"/>
  <c r="AQ52" i="20"/>
  <c r="AG53" i="20" s="1"/>
  <c r="AK52" i="20"/>
  <c r="AD53" i="20" s="1"/>
  <c r="AG69" i="20"/>
  <c r="AP14" i="36"/>
  <c r="AK70" i="20"/>
  <c r="AG70" i="20"/>
  <c r="F4" i="36"/>
  <c r="F9" i="36" s="1"/>
  <c r="AG68" i="20"/>
  <c r="AI69" i="20"/>
  <c r="AI42" i="20"/>
  <c r="AI66" i="20"/>
  <c r="AI67" i="20"/>
  <c r="AI70" i="20"/>
  <c r="AK69" i="20"/>
  <c r="AL41" i="20"/>
  <c r="D54" i="19" s="1"/>
  <c r="AL40" i="20"/>
  <c r="AU42" i="20"/>
  <c r="AB4" i="36"/>
  <c r="AB12" i="36" s="1"/>
  <c r="AM66" i="20"/>
  <c r="AU52" i="20"/>
  <c r="AI53" i="20" s="1"/>
  <c r="AQ68" i="20"/>
  <c r="AQ67" i="20"/>
  <c r="AM70" i="20"/>
  <c r="AM68" i="20"/>
  <c r="AJ40" i="20"/>
  <c r="AM67" i="20"/>
  <c r="AM52" i="20"/>
  <c r="AE53" i="20" s="1"/>
  <c r="AQ70" i="20"/>
  <c r="AZ41" i="20"/>
  <c r="D61" i="19" s="1"/>
  <c r="W52" i="20"/>
  <c r="W53" i="20" s="1"/>
  <c r="Y67" i="20"/>
  <c r="AS41" i="20"/>
  <c r="C58" i="19" s="1"/>
  <c r="Y68" i="20"/>
  <c r="Y70" i="20"/>
  <c r="Y66" i="20"/>
  <c r="AZ40" i="20"/>
  <c r="Z4" i="36"/>
  <c r="Z15" i="36" s="1"/>
  <c r="AY69" i="20"/>
  <c r="X41" i="20"/>
  <c r="D47" i="19" s="1"/>
  <c r="AD40" i="20"/>
  <c r="AY66" i="20"/>
  <c r="AK66" i="20"/>
  <c r="AI52" i="20"/>
  <c r="AC53" i="20" s="1"/>
  <c r="AK68" i="20"/>
  <c r="AO68" i="20"/>
  <c r="AR14" i="36"/>
  <c r="P4" i="36"/>
  <c r="P14" i="36" s="1"/>
  <c r="AO69" i="20"/>
  <c r="AO70" i="20"/>
  <c r="AO67" i="20"/>
  <c r="BB13" i="36"/>
  <c r="AN41" i="20"/>
  <c r="D55" i="19" s="1"/>
  <c r="Y42" i="20"/>
  <c r="BH14" i="36"/>
  <c r="AV42" i="20"/>
  <c r="AR13" i="36"/>
  <c r="Y52" i="20"/>
  <c r="X53" i="20" s="1"/>
  <c r="BJ12" i="36"/>
  <c r="AO42" i="20"/>
  <c r="Z52" i="20"/>
  <c r="V4" i="36"/>
  <c r="V12" i="36" s="1"/>
  <c r="AO52" i="20"/>
  <c r="AF53" i="20" s="1"/>
  <c r="W68" i="20"/>
  <c r="W67" i="20"/>
  <c r="W66" i="20"/>
  <c r="W70" i="20"/>
  <c r="AY67" i="20"/>
  <c r="AY70" i="20"/>
  <c r="CO122" i="33"/>
  <c r="V5" i="33" s="1"/>
  <c r="BH63" i="33" s="1"/>
  <c r="BI63" i="33" s="1"/>
  <c r="G106" i="19" s="1"/>
  <c r="CT132" i="33"/>
  <c r="CT122" i="33" s="1"/>
  <c r="AA5" i="33" s="1"/>
  <c r="BH68" i="33" s="1"/>
  <c r="BI68" i="33" s="1"/>
  <c r="G111" i="19" s="1"/>
  <c r="DP132" i="33"/>
  <c r="CO132" i="33"/>
  <c r="DD132" i="33"/>
  <c r="DE132" i="33"/>
  <c r="DR138" i="33"/>
  <c r="DJ138" i="33"/>
  <c r="DL138" i="33"/>
  <c r="DF138" i="33"/>
  <c r="CQ138" i="33"/>
  <c r="DI132" i="33"/>
  <c r="DK132" i="33"/>
  <c r="DL132" i="33"/>
  <c r="CV132" i="33"/>
  <c r="CV122" i="33" s="1"/>
  <c r="AC5" i="33" s="1"/>
  <c r="BH70" i="33" s="1"/>
  <c r="BI70" i="33" s="1"/>
  <c r="G113" i="19" s="1"/>
  <c r="DK138" i="33"/>
  <c r="DH138" i="33"/>
  <c r="CW138" i="33"/>
  <c r="DA138" i="33"/>
  <c r="DA122" i="33" s="1"/>
  <c r="AH5" i="33" s="1"/>
  <c r="BH75" i="33" s="1"/>
  <c r="BI75" i="33" s="1"/>
  <c r="G118" i="19" s="1"/>
  <c r="DM138" i="33"/>
  <c r="CX132" i="33"/>
  <c r="DB132" i="33"/>
  <c r="DF132" i="33"/>
  <c r="DF122" i="33" s="1"/>
  <c r="AM5" i="33" s="1"/>
  <c r="BH80" i="33" s="1"/>
  <c r="BI80" i="33" s="1"/>
  <c r="G123" i="19" s="1"/>
  <c r="CP132" i="33"/>
  <c r="DN138" i="33"/>
  <c r="DN122" i="33" s="1"/>
  <c r="AU5" i="33" s="1"/>
  <c r="BH88" i="33" s="1"/>
  <c r="BI88" i="33" s="1"/>
  <c r="G131" i="19" s="1"/>
  <c r="DQ138" i="33"/>
  <c r="DD138" i="33"/>
  <c r="DT138" i="33"/>
  <c r="AQ75" i="33"/>
  <c r="AQ86" i="33" s="1"/>
  <c r="AQ97" i="33" s="1"/>
  <c r="AQ108" i="33" s="1"/>
  <c r="AQ119" i="33" s="1"/>
  <c r="AQ130" i="33" s="1"/>
  <c r="AQ141" i="33" s="1"/>
  <c r="AQ143" i="33" s="1"/>
  <c r="DG132" i="33"/>
  <c r="CM132" i="33"/>
  <c r="DU132" i="33"/>
  <c r="DU122" i="33" s="1"/>
  <c r="BB5" i="33" s="1"/>
  <c r="BH95" i="33" s="1"/>
  <c r="BI95" i="33" s="1"/>
  <c r="G138" i="19" s="1"/>
  <c r="CY132" i="33"/>
  <c r="CY122" i="33" s="1"/>
  <c r="AF5" i="33" s="1"/>
  <c r="BH73" i="33" s="1"/>
  <c r="BI73" i="33" s="1"/>
  <c r="G116" i="19" s="1"/>
  <c r="DV138" i="33"/>
  <c r="DO138" i="33"/>
  <c r="DU138" i="33"/>
  <c r="DS138" i="33"/>
  <c r="DS122" i="33" s="1"/>
  <c r="AZ5" i="33" s="1"/>
  <c r="BH93" i="33" s="1"/>
  <c r="BI93" i="33" s="1"/>
  <c r="G136" i="19" s="1"/>
  <c r="DQ132" i="33"/>
  <c r="DT132" i="33"/>
  <c r="DT122" i="33" s="1"/>
  <c r="BA5" i="33" s="1"/>
  <c r="BH94" i="33" s="1"/>
  <c r="BI94" i="33" s="1"/>
  <c r="G137" i="19" s="1"/>
  <c r="CZ132" i="33"/>
  <c r="CW132" i="33"/>
  <c r="DH132" i="33"/>
  <c r="DM132" i="33"/>
  <c r="BC75" i="33"/>
  <c r="BC86" i="33" s="1"/>
  <c r="BC97" i="33" s="1"/>
  <c r="BC108" i="33" s="1"/>
  <c r="BC119" i="33" s="1"/>
  <c r="BC130" i="33" s="1"/>
  <c r="BC141" i="33" s="1"/>
  <c r="BC143" i="33" s="1"/>
  <c r="CS138" i="33"/>
  <c r="DI138" i="33"/>
  <c r="CM138" i="33"/>
  <c r="DP138" i="33"/>
  <c r="DP122" i="33" s="1"/>
  <c r="AW5" i="33" s="1"/>
  <c r="BH90" i="33" s="1"/>
  <c r="BI90" i="33" s="1"/>
  <c r="G133" i="19" s="1"/>
  <c r="DO132" i="33"/>
  <c r="DO122" i="33" s="1"/>
  <c r="AV5" i="33" s="1"/>
  <c r="BH89" i="33" s="1"/>
  <c r="BI89" i="33" s="1"/>
  <c r="G132" i="19" s="1"/>
  <c r="DR132" i="33"/>
  <c r="DV132" i="33"/>
  <c r="CN132" i="33"/>
  <c r="CN122" i="33" s="1"/>
  <c r="U5" i="33" s="1"/>
  <c r="BH62" i="33" s="1"/>
  <c r="BI62" i="33" s="1"/>
  <c r="G105" i="19" s="1"/>
  <c r="CY138" i="33"/>
  <c r="DB138" i="33"/>
  <c r="CP138" i="33"/>
  <c r="DG138" i="33"/>
  <c r="DC132" i="33"/>
  <c r="DC122" i="33" s="1"/>
  <c r="AJ5" i="33" s="1"/>
  <c r="BH77" i="33" s="1"/>
  <c r="BI77" i="33" s="1"/>
  <c r="G120" i="19" s="1"/>
  <c r="CR132" i="33"/>
  <c r="CR122" i="33" s="1"/>
  <c r="Y5" i="33" s="1"/>
  <c r="BH66" i="33" s="1"/>
  <c r="BI66" i="33" s="1"/>
  <c r="G109" i="19" s="1"/>
  <c r="CQ132" i="33"/>
  <c r="CQ122" i="33" s="1"/>
  <c r="X5" i="33" s="1"/>
  <c r="BH65" i="33" s="1"/>
  <c r="BI65" i="33" s="1"/>
  <c r="G108" i="19" s="1"/>
  <c r="CU132" i="33"/>
  <c r="CS132" i="33"/>
  <c r="CS122" i="33" s="1"/>
  <c r="Z5" i="33" s="1"/>
  <c r="BH67" i="33" s="1"/>
  <c r="BI67" i="33" s="1"/>
  <c r="G110" i="19" s="1"/>
  <c r="CU138" i="33"/>
  <c r="DE138" i="33"/>
  <c r="CZ138" i="33"/>
  <c r="CX138" i="33"/>
  <c r="AF75" i="33"/>
  <c r="AF86" i="33" s="1"/>
  <c r="AF97" i="33" s="1"/>
  <c r="AF108" i="33" s="1"/>
  <c r="AF119" i="33" s="1"/>
  <c r="AF130" i="33" s="1"/>
  <c r="AF141" i="33" s="1"/>
  <c r="AF143" i="33" s="1"/>
  <c r="J13" i="36"/>
  <c r="J9" i="36"/>
  <c r="J11" i="36"/>
  <c r="J17" i="36"/>
  <c r="J10" i="36"/>
  <c r="J18" i="36"/>
  <c r="J14" i="36"/>
  <c r="J15" i="36"/>
  <c r="AO13" i="36" s="1"/>
  <c r="J12" i="36"/>
  <c r="AF55" i="19"/>
  <c r="AG60" i="19"/>
  <c r="AF47" i="19"/>
  <c r="AG49" i="19"/>
  <c r="AF60" i="19"/>
  <c r="AF59" i="19"/>
  <c r="AF57" i="19"/>
  <c r="AF53" i="19"/>
  <c r="AF61" i="19"/>
  <c r="AG54" i="19"/>
  <c r="AG61" i="19"/>
  <c r="AF51" i="19"/>
  <c r="AF49" i="19"/>
  <c r="AG47" i="19"/>
  <c r="AF50" i="19"/>
  <c r="AG57" i="19"/>
  <c r="AG55" i="19"/>
  <c r="AG58" i="19"/>
  <c r="AF58" i="19"/>
  <c r="AG53" i="19"/>
  <c r="AG59" i="19"/>
  <c r="AG56" i="19"/>
  <c r="AF56" i="19"/>
  <c r="AF54" i="19"/>
  <c r="AG52" i="19"/>
  <c r="AG51" i="19"/>
  <c r="AG50" i="19"/>
  <c r="AG48" i="19"/>
  <c r="AF48" i="19"/>
  <c r="AF52" i="19"/>
  <c r="F56" i="19" l="1"/>
  <c r="T56" i="19" s="1"/>
  <c r="T74" i="19" s="1"/>
  <c r="M153" i="36"/>
  <c r="F47" i="19"/>
  <c r="X47" i="19" s="1"/>
  <c r="X65" i="19" s="1"/>
  <c r="F52" i="19"/>
  <c r="I52" i="19" s="1"/>
  <c r="I70" i="19" s="1"/>
  <c r="F58" i="19"/>
  <c r="Y58" i="19" s="1"/>
  <c r="Y76" i="19" s="1"/>
  <c r="F60" i="19"/>
  <c r="I60" i="19" s="1"/>
  <c r="I78" i="19" s="1"/>
  <c r="F53" i="19"/>
  <c r="O53" i="19" s="1"/>
  <c r="O71" i="19" s="1"/>
  <c r="F55" i="19"/>
  <c r="I55" i="19" s="1"/>
  <c r="I73" i="19" s="1"/>
  <c r="F49" i="19"/>
  <c r="M49" i="19" s="1"/>
  <c r="M67" i="19" s="1"/>
  <c r="F48" i="19"/>
  <c r="R48" i="19" s="1"/>
  <c r="R66" i="19" s="1"/>
  <c r="AH51" i="19"/>
  <c r="AK51" i="19" s="1"/>
  <c r="DE122" i="33"/>
  <c r="AL5" i="33" s="1"/>
  <c r="BH79" i="33" s="1"/>
  <c r="BI79" i="33" s="1"/>
  <c r="G122" i="19" s="1"/>
  <c r="CU122" i="33"/>
  <c r="AB5" i="33" s="1"/>
  <c r="BH69" i="33" s="1"/>
  <c r="BI69" i="33" s="1"/>
  <c r="G112" i="19" s="1"/>
  <c r="DI122" i="33"/>
  <c r="AP5" i="33" s="1"/>
  <c r="BH83" i="33" s="1"/>
  <c r="BI83" i="33" s="1"/>
  <c r="G126" i="19" s="1"/>
  <c r="DM122" i="33"/>
  <c r="AT5" i="33" s="1"/>
  <c r="BH87" i="33" s="1"/>
  <c r="BI87" i="33" s="1"/>
  <c r="G130" i="19" s="1"/>
  <c r="CW122" i="33"/>
  <c r="AD5" i="33" s="1"/>
  <c r="BH71" i="33" s="1"/>
  <c r="BI71" i="33" s="1"/>
  <c r="G114" i="19" s="1"/>
  <c r="DV122" i="33"/>
  <c r="BC5" i="33" s="1"/>
  <c r="BH96" i="33" s="1"/>
  <c r="BI96" i="33" s="1"/>
  <c r="G139" i="19" s="1"/>
  <c r="L14" i="36"/>
  <c r="D10" i="36"/>
  <c r="L18" i="36"/>
  <c r="L12" i="36"/>
  <c r="L17" i="36"/>
  <c r="L15" i="36"/>
  <c r="AQ13" i="36" s="1"/>
  <c r="H96" i="36" s="1"/>
  <c r="L9" i="36"/>
  <c r="L13" i="36"/>
  <c r="L10" i="36"/>
  <c r="L11" i="36"/>
  <c r="N197" i="36"/>
  <c r="F51" i="19"/>
  <c r="U51" i="19" s="1"/>
  <c r="U69" i="19" s="1"/>
  <c r="N14" i="36"/>
  <c r="N12" i="36"/>
  <c r="N13" i="36"/>
  <c r="N18" i="36"/>
  <c r="N9" i="36"/>
  <c r="AS10" i="36" s="1"/>
  <c r="P103" i="36" s="1"/>
  <c r="N11" i="36"/>
  <c r="N15" i="36"/>
  <c r="N17" i="36"/>
  <c r="N16" i="36"/>
  <c r="AH50" i="19"/>
  <c r="AK50" i="19" s="1"/>
  <c r="D13" i="36"/>
  <c r="D15" i="36"/>
  <c r="AI13" i="36" s="1"/>
  <c r="D14" i="36"/>
  <c r="D17" i="36"/>
  <c r="D18" i="36"/>
  <c r="D11" i="36"/>
  <c r="D12" i="36"/>
  <c r="D9" i="36"/>
  <c r="AH52" i="19"/>
  <c r="AK52" i="19" s="1"/>
  <c r="AD10" i="36"/>
  <c r="AD17" i="36"/>
  <c r="H15" i="36"/>
  <c r="H11" i="36"/>
  <c r="AM11" i="36" s="1"/>
  <c r="N74" i="36" s="1"/>
  <c r="H10" i="36"/>
  <c r="H9" i="36"/>
  <c r="BC14" i="36"/>
  <c r="L157" i="36" s="1"/>
  <c r="H18" i="36"/>
  <c r="H13" i="36"/>
  <c r="BK11" i="36"/>
  <c r="W194" i="36" s="1"/>
  <c r="H17" i="36"/>
  <c r="H16" i="36"/>
  <c r="H14" i="36"/>
  <c r="AH49" i="19"/>
  <c r="AK49" i="19" s="1"/>
  <c r="AH60" i="19"/>
  <c r="AK60" i="19" s="1"/>
  <c r="AD12" i="36"/>
  <c r="AD11" i="36"/>
  <c r="AD13" i="36"/>
  <c r="AD14" i="36"/>
  <c r="AD15" i="36"/>
  <c r="BI13" i="36" s="1"/>
  <c r="O186" i="36" s="1"/>
  <c r="AD9" i="36"/>
  <c r="AD18" i="36"/>
  <c r="T16" i="36"/>
  <c r="T14" i="36"/>
  <c r="T18" i="36"/>
  <c r="T12" i="36"/>
  <c r="AH47" i="19"/>
  <c r="AK47" i="19" s="1"/>
  <c r="T11" i="36"/>
  <c r="T10" i="36"/>
  <c r="AY10" i="36" s="1"/>
  <c r="K133" i="36" s="1"/>
  <c r="T13" i="36"/>
  <c r="T17" i="36"/>
  <c r="F57" i="19"/>
  <c r="I57" i="19" s="1"/>
  <c r="I75" i="19" s="1"/>
  <c r="T15" i="36"/>
  <c r="BK10" i="36"/>
  <c r="E193" i="36" s="1"/>
  <c r="R14" i="36"/>
  <c r="R15" i="36"/>
  <c r="AH55" i="19"/>
  <c r="AK55" i="19" s="1"/>
  <c r="R16" i="36"/>
  <c r="R10" i="36"/>
  <c r="R9" i="36"/>
  <c r="BK12" i="36"/>
  <c r="K195" i="36" s="1"/>
  <c r="R13" i="36"/>
  <c r="R11" i="36"/>
  <c r="R18" i="36"/>
  <c r="AW14" i="36" s="1"/>
  <c r="R127" i="36" s="1"/>
  <c r="F61" i="19"/>
  <c r="AB61" i="19" s="1"/>
  <c r="AB79" i="19" s="1"/>
  <c r="R12" i="36"/>
  <c r="AH54" i="19"/>
  <c r="AK54" i="19" s="1"/>
  <c r="BC12" i="36"/>
  <c r="H155" i="36" s="1"/>
  <c r="BK13" i="36"/>
  <c r="V196" i="36" s="1"/>
  <c r="BC13" i="36"/>
  <c r="O156" i="36" s="1"/>
  <c r="BC11" i="36"/>
  <c r="V154" i="36" s="1"/>
  <c r="F54" i="19"/>
  <c r="AA54" i="19" s="1"/>
  <c r="AA72" i="19" s="1"/>
  <c r="AH58" i="19"/>
  <c r="AK58" i="19" s="1"/>
  <c r="AH61" i="19"/>
  <c r="AK61" i="19" s="1"/>
  <c r="AH57" i="19"/>
  <c r="AK57" i="19" s="1"/>
  <c r="AB9" i="36"/>
  <c r="CZ122" i="33"/>
  <c r="AG5" i="33" s="1"/>
  <c r="BH74" i="33" s="1"/>
  <c r="BI74" i="33" s="1"/>
  <c r="G117" i="19" s="1"/>
  <c r="DJ122" i="33"/>
  <c r="AQ5" i="33" s="1"/>
  <c r="BH84" i="33" s="1"/>
  <c r="BI84" i="33" s="1"/>
  <c r="G127" i="19" s="1"/>
  <c r="DQ122" i="33"/>
  <c r="AX5" i="33" s="1"/>
  <c r="BH91" i="33" s="1"/>
  <c r="BI91" i="33" s="1"/>
  <c r="G134" i="19" s="1"/>
  <c r="DL122" i="33"/>
  <c r="AS5" i="33" s="1"/>
  <c r="BH86" i="33" s="1"/>
  <c r="BI86" i="33" s="1"/>
  <c r="G129" i="19" s="1"/>
  <c r="DD122" i="33"/>
  <c r="AK5" i="33" s="1"/>
  <c r="BH78" i="33" s="1"/>
  <c r="BI78" i="33" s="1"/>
  <c r="G121" i="19" s="1"/>
  <c r="CM122" i="33"/>
  <c r="T5" i="33" s="1"/>
  <c r="BH61" i="33" s="1"/>
  <c r="BI61" i="33" s="1"/>
  <c r="G104" i="19" s="1"/>
  <c r="AC104" i="19" s="1"/>
  <c r="DC13" i="33"/>
  <c r="I25" i="33" s="1"/>
  <c r="G3" i="34" s="1"/>
  <c r="DH122" i="33"/>
  <c r="AO5" i="33" s="1"/>
  <c r="BH82" i="33" s="1"/>
  <c r="BI82" i="33" s="1"/>
  <c r="G125" i="19" s="1"/>
  <c r="P17" i="36"/>
  <c r="P16" i="36"/>
  <c r="F12" i="36"/>
  <c r="P15" i="36"/>
  <c r="F10" i="36"/>
  <c r="AK10" i="36" s="1"/>
  <c r="G63" i="36" s="1"/>
  <c r="P18" i="36"/>
  <c r="F13" i="36"/>
  <c r="F15" i="36"/>
  <c r="F17" i="36"/>
  <c r="F11" i="36"/>
  <c r="F18" i="36"/>
  <c r="F16" i="36"/>
  <c r="F14" i="36"/>
  <c r="AB17" i="36"/>
  <c r="AB18" i="36"/>
  <c r="AB14" i="36"/>
  <c r="AB16" i="36"/>
  <c r="AB13" i="36"/>
  <c r="AB11" i="36"/>
  <c r="BG11" i="36" s="1"/>
  <c r="F174" i="36" s="1"/>
  <c r="AB10" i="36"/>
  <c r="AB15" i="36"/>
  <c r="AH53" i="19"/>
  <c r="AK53" i="19" s="1"/>
  <c r="P10" i="36"/>
  <c r="Z10" i="36"/>
  <c r="Z11" i="36"/>
  <c r="Z9" i="36"/>
  <c r="Z13" i="36"/>
  <c r="Z17" i="36"/>
  <c r="Z16" i="36"/>
  <c r="BE13" i="36" s="1"/>
  <c r="D166" i="36" s="1"/>
  <c r="Z18" i="36"/>
  <c r="Z12" i="36"/>
  <c r="Z14" i="36"/>
  <c r="P11" i="36"/>
  <c r="P9" i="36"/>
  <c r="P12" i="36"/>
  <c r="P13" i="36"/>
  <c r="AU12" i="36" s="1"/>
  <c r="J115" i="36" s="1"/>
  <c r="V18" i="36"/>
  <c r="V10" i="36"/>
  <c r="V11" i="36"/>
  <c r="BA11" i="36" s="1"/>
  <c r="O144" i="36" s="1"/>
  <c r="V17" i="36"/>
  <c r="V14" i="36"/>
  <c r="V16" i="36"/>
  <c r="AH48" i="19"/>
  <c r="AL48" i="19" s="1"/>
  <c r="V13" i="36"/>
  <c r="V9" i="36"/>
  <c r="V15" i="36"/>
  <c r="AH56" i="19"/>
  <c r="AK56" i="19" s="1"/>
  <c r="AH59" i="19"/>
  <c r="AK59" i="19" s="1"/>
  <c r="N59" i="19"/>
  <c r="N77" i="19" s="1"/>
  <c r="P59" i="19"/>
  <c r="P77" i="19" s="1"/>
  <c r="K59" i="19"/>
  <c r="K77" i="19" s="1"/>
  <c r="H59" i="19"/>
  <c r="H77" i="19" s="1"/>
  <c r="Q59" i="19"/>
  <c r="Q77" i="19" s="1"/>
  <c r="O59" i="19"/>
  <c r="O77" i="19" s="1"/>
  <c r="W59" i="19"/>
  <c r="W77" i="19" s="1"/>
  <c r="AB59" i="19"/>
  <c r="AB77" i="19" s="1"/>
  <c r="I59" i="19"/>
  <c r="I77" i="19" s="1"/>
  <c r="M59" i="19"/>
  <c r="M77" i="19" s="1"/>
  <c r="Y59" i="19"/>
  <c r="Y77" i="19" s="1"/>
  <c r="T59" i="19"/>
  <c r="T77" i="19" s="1"/>
  <c r="U59" i="19"/>
  <c r="U77" i="19" s="1"/>
  <c r="Z59" i="19"/>
  <c r="Z77" i="19" s="1"/>
  <c r="X59" i="19"/>
  <c r="X77" i="19" s="1"/>
  <c r="AA59" i="19"/>
  <c r="AA77" i="19" s="1"/>
  <c r="J59" i="19"/>
  <c r="J77" i="19" s="1"/>
  <c r="R59" i="19"/>
  <c r="R77" i="19" s="1"/>
  <c r="S59" i="19"/>
  <c r="S77" i="19" s="1"/>
  <c r="L59" i="19"/>
  <c r="L77" i="19" s="1"/>
  <c r="O137" i="19"/>
  <c r="AC137" i="19"/>
  <c r="D137" i="19"/>
  <c r="I137" i="19" s="1"/>
  <c r="O104" i="19"/>
  <c r="D104" i="19"/>
  <c r="I104" i="19" s="1"/>
  <c r="O123" i="19"/>
  <c r="D123" i="19"/>
  <c r="I123" i="19" s="1"/>
  <c r="AC123" i="19"/>
  <c r="AC113" i="19"/>
  <c r="O113" i="19"/>
  <c r="D113" i="19"/>
  <c r="I113" i="19" s="1"/>
  <c r="AC134" i="19"/>
  <c r="O134" i="19"/>
  <c r="D134" i="19"/>
  <c r="I134" i="19" s="1"/>
  <c r="O136" i="19"/>
  <c r="AC136" i="19"/>
  <c r="D136" i="19"/>
  <c r="I136" i="19" s="1"/>
  <c r="AC121" i="19"/>
  <c r="D121" i="19"/>
  <c r="I121" i="19" s="1"/>
  <c r="O121" i="19"/>
  <c r="AC122" i="19"/>
  <c r="O122" i="19"/>
  <c r="D122" i="19"/>
  <c r="I122" i="19" s="1"/>
  <c r="D110" i="19"/>
  <c r="I110" i="19" s="1"/>
  <c r="O110" i="19"/>
  <c r="AC110" i="19"/>
  <c r="D112" i="19"/>
  <c r="I112" i="19" s="1"/>
  <c r="O112" i="19"/>
  <c r="AC112" i="19"/>
  <c r="AC139" i="19"/>
  <c r="D139" i="19"/>
  <c r="I139" i="19" s="1"/>
  <c r="O139" i="19"/>
  <c r="O130" i="19"/>
  <c r="AC130" i="19"/>
  <c r="D130" i="19"/>
  <c r="I130" i="19" s="1"/>
  <c r="AC118" i="19"/>
  <c r="O118" i="19"/>
  <c r="D118" i="19"/>
  <c r="I118" i="19" s="1"/>
  <c r="O109" i="19"/>
  <c r="AC109" i="19"/>
  <c r="D109" i="19"/>
  <c r="I109" i="19" s="1"/>
  <c r="AC125" i="19"/>
  <c r="O125" i="19"/>
  <c r="D125" i="19"/>
  <c r="I125" i="19" s="1"/>
  <c r="O111" i="19"/>
  <c r="AC111" i="19"/>
  <c r="D111" i="19"/>
  <c r="I111" i="19" s="1"/>
  <c r="O132" i="19"/>
  <c r="AC132" i="19"/>
  <c r="D132" i="19"/>
  <c r="I132" i="19" s="1"/>
  <c r="AC116" i="19"/>
  <c r="D116" i="19"/>
  <c r="I116" i="19" s="1"/>
  <c r="O116" i="19"/>
  <c r="O131" i="19"/>
  <c r="AC131" i="19"/>
  <c r="D131" i="19"/>
  <c r="I131" i="19" s="1"/>
  <c r="D120" i="19"/>
  <c r="I120" i="19" s="1"/>
  <c r="AC120" i="19"/>
  <c r="O120" i="19"/>
  <c r="O133" i="19"/>
  <c r="AC133" i="19"/>
  <c r="D133" i="19"/>
  <c r="I133" i="19" s="1"/>
  <c r="AC117" i="19"/>
  <c r="D117" i="19"/>
  <c r="I117" i="19" s="1"/>
  <c r="O117" i="19"/>
  <c r="O127" i="19"/>
  <c r="AC127" i="19"/>
  <c r="D127" i="19"/>
  <c r="I127" i="19" s="1"/>
  <c r="O126" i="19"/>
  <c r="AC126" i="19"/>
  <c r="D126" i="19"/>
  <c r="I126" i="19" s="1"/>
  <c r="DG122" i="33"/>
  <c r="AN5" i="33" s="1"/>
  <c r="BH81" i="33" s="1"/>
  <c r="BI81" i="33" s="1"/>
  <c r="G124" i="19" s="1"/>
  <c r="DB122" i="33"/>
  <c r="AI5" i="33" s="1"/>
  <c r="BH76" i="33" s="1"/>
  <c r="BI76" i="33" s="1"/>
  <c r="G119" i="19" s="1"/>
  <c r="O129" i="19"/>
  <c r="AC129" i="19"/>
  <c r="D129" i="19"/>
  <c r="I129" i="19" s="1"/>
  <c r="CX122" i="33"/>
  <c r="AE5" i="33" s="1"/>
  <c r="BH72" i="33" s="1"/>
  <c r="BI72" i="33" s="1"/>
  <c r="G115" i="19" s="1"/>
  <c r="DK122" i="33"/>
  <c r="AR5" i="33" s="1"/>
  <c r="BH85" i="33" s="1"/>
  <c r="BI85" i="33" s="1"/>
  <c r="G128" i="19" s="1"/>
  <c r="AC105" i="19"/>
  <c r="O105" i="19"/>
  <c r="D105" i="19"/>
  <c r="I105" i="19" s="1"/>
  <c r="O108" i="19"/>
  <c r="AC108" i="19"/>
  <c r="D108" i="19"/>
  <c r="I108" i="19" s="1"/>
  <c r="DR122" i="33"/>
  <c r="AY5" i="33" s="1"/>
  <c r="BH92" i="33" s="1"/>
  <c r="BI92" i="33" s="1"/>
  <c r="G135" i="19" s="1"/>
  <c r="O114" i="19"/>
  <c r="D114" i="19"/>
  <c r="I114" i="19" s="1"/>
  <c r="AC114" i="19"/>
  <c r="AC138" i="19"/>
  <c r="O138" i="19"/>
  <c r="D138" i="19"/>
  <c r="I138" i="19" s="1"/>
  <c r="CP122" i="33"/>
  <c r="W5" i="33" s="1"/>
  <c r="BH64" i="33" s="1"/>
  <c r="BI64" i="33" s="1"/>
  <c r="G107" i="19" s="1"/>
  <c r="O106" i="19"/>
  <c r="AC106" i="19"/>
  <c r="D106" i="19"/>
  <c r="I106" i="19" s="1"/>
  <c r="N50" i="19"/>
  <c r="N68" i="19" s="1"/>
  <c r="J53" i="19"/>
  <c r="J71" i="19" s="1"/>
  <c r="X53" i="19"/>
  <c r="X71" i="19" s="1"/>
  <c r="Z53" i="19"/>
  <c r="Z71" i="19" s="1"/>
  <c r="L50" i="19"/>
  <c r="L68" i="19" s="1"/>
  <c r="AB50" i="19"/>
  <c r="AB68" i="19" s="1"/>
  <c r="P50" i="19"/>
  <c r="P68" i="19" s="1"/>
  <c r="H50" i="19"/>
  <c r="H68" i="19" s="1"/>
  <c r="S53" i="19"/>
  <c r="S71" i="19" s="1"/>
  <c r="U53" i="19"/>
  <c r="U71" i="19" s="1"/>
  <c r="Z50" i="19"/>
  <c r="Z68" i="19" s="1"/>
  <c r="T50" i="19"/>
  <c r="T68" i="19" s="1"/>
  <c r="V50" i="19"/>
  <c r="V68" i="19" s="1"/>
  <c r="W50" i="19"/>
  <c r="W68" i="19" s="1"/>
  <c r="AA50" i="19"/>
  <c r="AA68" i="19" s="1"/>
  <c r="Q50" i="19"/>
  <c r="Q68" i="19" s="1"/>
  <c r="I50" i="19"/>
  <c r="I68" i="19" s="1"/>
  <c r="O50" i="19"/>
  <c r="O68" i="19" s="1"/>
  <c r="U50" i="19"/>
  <c r="U68" i="19" s="1"/>
  <c r="J50" i="19"/>
  <c r="J68" i="19" s="1"/>
  <c r="K53" i="19"/>
  <c r="K71" i="19" s="1"/>
  <c r="L56" i="19"/>
  <c r="L74" i="19" s="1"/>
  <c r="X50" i="19"/>
  <c r="X68" i="19" s="1"/>
  <c r="S50" i="19"/>
  <c r="S68" i="19" s="1"/>
  <c r="R50" i="19"/>
  <c r="R68" i="19" s="1"/>
  <c r="M50" i="19"/>
  <c r="M68" i="19" s="1"/>
  <c r="Y50" i="19"/>
  <c r="Y68" i="19" s="1"/>
  <c r="U55" i="19"/>
  <c r="U73" i="19" s="1"/>
  <c r="N55" i="19"/>
  <c r="N73" i="19" s="1"/>
  <c r="T55" i="19"/>
  <c r="T73" i="19" s="1"/>
  <c r="V47" i="19"/>
  <c r="V65" i="19" s="1"/>
  <c r="M47" i="19"/>
  <c r="M65" i="19" s="1"/>
  <c r="P47" i="19"/>
  <c r="P65" i="19" s="1"/>
  <c r="U47" i="19"/>
  <c r="U65" i="19" s="1"/>
  <c r="AO11" i="36"/>
  <c r="I84" i="36" s="1"/>
  <c r="AO12" i="36"/>
  <c r="P85" i="36" s="1"/>
  <c r="AO10" i="36"/>
  <c r="C83" i="36" s="1"/>
  <c r="AO14" i="36"/>
  <c r="M87" i="36" s="1"/>
  <c r="J153" i="36"/>
  <c r="U153" i="36"/>
  <c r="S153" i="36"/>
  <c r="I153" i="36"/>
  <c r="Q153" i="36"/>
  <c r="V153" i="36"/>
  <c r="F153" i="36"/>
  <c r="N153" i="36"/>
  <c r="W153" i="36"/>
  <c r="K153" i="36"/>
  <c r="L153" i="36"/>
  <c r="G153" i="36"/>
  <c r="C153" i="36"/>
  <c r="R153" i="36"/>
  <c r="E153" i="36"/>
  <c r="D153" i="36"/>
  <c r="H153" i="36"/>
  <c r="P153" i="36"/>
  <c r="O153" i="36"/>
  <c r="T153" i="36"/>
  <c r="M197" i="36"/>
  <c r="P197" i="36"/>
  <c r="O197" i="36"/>
  <c r="L197" i="36"/>
  <c r="E197" i="36"/>
  <c r="J197" i="36"/>
  <c r="V197" i="36"/>
  <c r="K197" i="36"/>
  <c r="U197" i="36"/>
  <c r="I197" i="36"/>
  <c r="G197" i="36"/>
  <c r="W197" i="36"/>
  <c r="T197" i="36"/>
  <c r="Q197" i="36"/>
  <c r="C197" i="36"/>
  <c r="S197" i="36"/>
  <c r="R197" i="36"/>
  <c r="F197" i="36"/>
  <c r="H197" i="36"/>
  <c r="D197" i="36"/>
  <c r="K86" i="36"/>
  <c r="F86" i="36"/>
  <c r="E86" i="36"/>
  <c r="C86" i="36"/>
  <c r="D86" i="36"/>
  <c r="H86" i="36"/>
  <c r="T86" i="36"/>
  <c r="U86" i="36"/>
  <c r="M86" i="36"/>
  <c r="W86" i="36"/>
  <c r="G86" i="36"/>
  <c r="L86" i="36"/>
  <c r="P86" i="36"/>
  <c r="R86" i="36"/>
  <c r="J86" i="36"/>
  <c r="V86" i="36"/>
  <c r="S86" i="36"/>
  <c r="Q86" i="36"/>
  <c r="I86" i="36"/>
  <c r="O86" i="36"/>
  <c r="N86" i="36"/>
  <c r="H53" i="19" l="1"/>
  <c r="H71" i="19" s="1"/>
  <c r="K55" i="19"/>
  <c r="K73" i="19" s="1"/>
  <c r="I47" i="19"/>
  <c r="I65" i="19" s="1"/>
  <c r="R55" i="19"/>
  <c r="R73" i="19" s="1"/>
  <c r="J55" i="19"/>
  <c r="J73" i="19" s="1"/>
  <c r="L47" i="19"/>
  <c r="L65" i="19" s="1"/>
  <c r="P55" i="19"/>
  <c r="P73" i="19" s="1"/>
  <c r="N53" i="19"/>
  <c r="N71" i="19" s="1"/>
  <c r="Y53" i="19"/>
  <c r="Y71" i="19" s="1"/>
  <c r="P53" i="19"/>
  <c r="P71" i="19" s="1"/>
  <c r="K47" i="19"/>
  <c r="K65" i="19" s="1"/>
  <c r="R47" i="19"/>
  <c r="R65" i="19" s="1"/>
  <c r="O47" i="19"/>
  <c r="O65" i="19" s="1"/>
  <c r="I53" i="19"/>
  <c r="I71" i="19" s="1"/>
  <c r="AA53" i="19"/>
  <c r="AA71" i="19" s="1"/>
  <c r="Z47" i="19"/>
  <c r="Z65" i="19" s="1"/>
  <c r="T53" i="19"/>
  <c r="T71" i="19" s="1"/>
  <c r="AB47" i="19"/>
  <c r="AB65" i="19" s="1"/>
  <c r="V55" i="19"/>
  <c r="V73" i="19" s="1"/>
  <c r="U49" i="19"/>
  <c r="U67" i="19" s="1"/>
  <c r="X55" i="19"/>
  <c r="X73" i="19" s="1"/>
  <c r="Q55" i="19"/>
  <c r="Q73" i="19" s="1"/>
  <c r="S47" i="19"/>
  <c r="S65" i="19" s="1"/>
  <c r="AA55" i="19"/>
  <c r="AA73" i="19" s="1"/>
  <c r="T47" i="19"/>
  <c r="T65" i="19" s="1"/>
  <c r="H55" i="19"/>
  <c r="H73" i="19" s="1"/>
  <c r="O52" i="19"/>
  <c r="O70" i="19" s="1"/>
  <c r="Q56" i="19"/>
  <c r="Q74" i="19" s="1"/>
  <c r="V53" i="19"/>
  <c r="V71" i="19" s="1"/>
  <c r="J47" i="19"/>
  <c r="J65" i="19" s="1"/>
  <c r="J52" i="19"/>
  <c r="J70" i="19" s="1"/>
  <c r="H47" i="19"/>
  <c r="H65" i="19" s="1"/>
  <c r="W47" i="19"/>
  <c r="W65" i="19" s="1"/>
  <c r="L60" i="19"/>
  <c r="L78" i="19" s="1"/>
  <c r="O55" i="19"/>
  <c r="O73" i="19" s="1"/>
  <c r="M60" i="19"/>
  <c r="M78" i="19" s="1"/>
  <c r="AB49" i="19"/>
  <c r="AB67" i="19" s="1"/>
  <c r="AA49" i="19"/>
  <c r="AA67" i="19" s="1"/>
  <c r="AA56" i="19"/>
  <c r="AA74" i="19" s="1"/>
  <c r="W56" i="19"/>
  <c r="W74" i="19" s="1"/>
  <c r="U56" i="19"/>
  <c r="U74" i="19" s="1"/>
  <c r="S56" i="19"/>
  <c r="S74" i="19" s="1"/>
  <c r="K56" i="19"/>
  <c r="K74" i="19" s="1"/>
  <c r="I56" i="19"/>
  <c r="I74" i="19" s="1"/>
  <c r="J56" i="19"/>
  <c r="J74" i="19" s="1"/>
  <c r="M56" i="19"/>
  <c r="M74" i="19" s="1"/>
  <c r="V56" i="19"/>
  <c r="V74" i="19" s="1"/>
  <c r="AB56" i="19"/>
  <c r="AB74" i="19" s="1"/>
  <c r="R56" i="19"/>
  <c r="R74" i="19" s="1"/>
  <c r="Z56" i="19"/>
  <c r="Z74" i="19" s="1"/>
  <c r="H56" i="19"/>
  <c r="H74" i="19" s="1"/>
  <c r="X56" i="19"/>
  <c r="X74" i="19" s="1"/>
  <c r="P56" i="19"/>
  <c r="P74" i="19" s="1"/>
  <c r="Y56" i="19"/>
  <c r="Y74" i="19" s="1"/>
  <c r="O56" i="19"/>
  <c r="O74" i="19" s="1"/>
  <c r="N56" i="19"/>
  <c r="N74" i="19" s="1"/>
  <c r="V49" i="19"/>
  <c r="V67" i="19" s="1"/>
  <c r="I49" i="19"/>
  <c r="I67" i="19" s="1"/>
  <c r="N49" i="19"/>
  <c r="N67" i="19" s="1"/>
  <c r="S49" i="19"/>
  <c r="S67" i="19" s="1"/>
  <c r="K49" i="19"/>
  <c r="K67" i="19" s="1"/>
  <c r="R49" i="19"/>
  <c r="R67" i="19" s="1"/>
  <c r="Q49" i="19"/>
  <c r="Q67" i="19" s="1"/>
  <c r="W49" i="19"/>
  <c r="W67" i="19" s="1"/>
  <c r="X49" i="19"/>
  <c r="X67" i="19" s="1"/>
  <c r="Z49" i="19"/>
  <c r="Z67" i="19" s="1"/>
  <c r="Y49" i="19"/>
  <c r="Y67" i="19" s="1"/>
  <c r="O49" i="19"/>
  <c r="O67" i="19" s="1"/>
  <c r="T49" i="19"/>
  <c r="T67" i="19" s="1"/>
  <c r="H49" i="19"/>
  <c r="H67" i="19" s="1"/>
  <c r="L49" i="19"/>
  <c r="L67" i="19" s="1"/>
  <c r="I58" i="19"/>
  <c r="I76" i="19" s="1"/>
  <c r="S58" i="19"/>
  <c r="S76" i="19" s="1"/>
  <c r="Q58" i="19"/>
  <c r="Q76" i="19" s="1"/>
  <c r="O58" i="19"/>
  <c r="O76" i="19" s="1"/>
  <c r="T60" i="19"/>
  <c r="T78" i="19" s="1"/>
  <c r="P58" i="19"/>
  <c r="P76" i="19" s="1"/>
  <c r="Q47" i="19"/>
  <c r="Q65" i="19" s="1"/>
  <c r="AA47" i="19"/>
  <c r="AA65" i="19" s="1"/>
  <c r="N47" i="19"/>
  <c r="N65" i="19" s="1"/>
  <c r="Y47" i="19"/>
  <c r="Y65" i="19" s="1"/>
  <c r="Z55" i="19"/>
  <c r="Z73" i="19" s="1"/>
  <c r="AB55" i="19"/>
  <c r="AB73" i="19" s="1"/>
  <c r="Y55" i="19"/>
  <c r="Y73" i="19" s="1"/>
  <c r="M55" i="19"/>
  <c r="M73" i="19" s="1"/>
  <c r="L55" i="19"/>
  <c r="L73" i="19" s="1"/>
  <c r="W55" i="19"/>
  <c r="W73" i="19" s="1"/>
  <c r="S55" i="19"/>
  <c r="S73" i="19" s="1"/>
  <c r="J60" i="19"/>
  <c r="J78" i="19" s="1"/>
  <c r="L58" i="19"/>
  <c r="L76" i="19" s="1"/>
  <c r="V52" i="19"/>
  <c r="V70" i="19" s="1"/>
  <c r="S60" i="19"/>
  <c r="S78" i="19" s="1"/>
  <c r="R52" i="19"/>
  <c r="R70" i="19" s="1"/>
  <c r="O60" i="19"/>
  <c r="O78" i="19" s="1"/>
  <c r="X52" i="19"/>
  <c r="X70" i="19" s="1"/>
  <c r="AB52" i="19"/>
  <c r="AB70" i="19" s="1"/>
  <c r="Z52" i="19"/>
  <c r="Z70" i="19" s="1"/>
  <c r="L52" i="19"/>
  <c r="L70" i="19" s="1"/>
  <c r="Y52" i="19"/>
  <c r="Y70" i="19" s="1"/>
  <c r="S52" i="19"/>
  <c r="S70" i="19" s="1"/>
  <c r="U52" i="19"/>
  <c r="U70" i="19" s="1"/>
  <c r="T52" i="19"/>
  <c r="T70" i="19" s="1"/>
  <c r="H58" i="19"/>
  <c r="H76" i="19" s="1"/>
  <c r="X58" i="19"/>
  <c r="X76" i="19" s="1"/>
  <c r="AA60" i="19"/>
  <c r="AA78" i="19" s="1"/>
  <c r="Q60" i="19"/>
  <c r="Q78" i="19" s="1"/>
  <c r="Z58" i="19"/>
  <c r="Z76" i="19" s="1"/>
  <c r="W58" i="19"/>
  <c r="W76" i="19" s="1"/>
  <c r="R60" i="19"/>
  <c r="R78" i="19" s="1"/>
  <c r="AB53" i="19"/>
  <c r="AB71" i="19" s="1"/>
  <c r="W53" i="19"/>
  <c r="W71" i="19" s="1"/>
  <c r="W60" i="19"/>
  <c r="W78" i="19" s="1"/>
  <c r="R53" i="19"/>
  <c r="R71" i="19" s="1"/>
  <c r="X60" i="19"/>
  <c r="X78" i="19" s="1"/>
  <c r="R58" i="19"/>
  <c r="R76" i="19" s="1"/>
  <c r="V58" i="19"/>
  <c r="V76" i="19" s="1"/>
  <c r="AB58" i="19"/>
  <c r="AB76" i="19" s="1"/>
  <c r="M58" i="19"/>
  <c r="M76" i="19" s="1"/>
  <c r="W52" i="19"/>
  <c r="W70" i="19" s="1"/>
  <c r="U58" i="19"/>
  <c r="U76" i="19" s="1"/>
  <c r="K58" i="19"/>
  <c r="K76" i="19" s="1"/>
  <c r="K52" i="19"/>
  <c r="K70" i="19" s="1"/>
  <c r="Q52" i="19"/>
  <c r="Q70" i="19" s="1"/>
  <c r="M53" i="19"/>
  <c r="M71" i="19" s="1"/>
  <c r="L53" i="19"/>
  <c r="L71" i="19" s="1"/>
  <c r="Q53" i="19"/>
  <c r="Q71" i="19" s="1"/>
  <c r="K60" i="19"/>
  <c r="K78" i="19" s="1"/>
  <c r="J58" i="19"/>
  <c r="J76" i="19" s="1"/>
  <c r="P52" i="19"/>
  <c r="P70" i="19" s="1"/>
  <c r="T58" i="19"/>
  <c r="T76" i="19" s="1"/>
  <c r="AA52" i="19"/>
  <c r="AA70" i="19" s="1"/>
  <c r="M52" i="19"/>
  <c r="M70" i="19" s="1"/>
  <c r="N58" i="19"/>
  <c r="N76" i="19" s="1"/>
  <c r="AA58" i="19"/>
  <c r="AA76" i="19" s="1"/>
  <c r="H52" i="19"/>
  <c r="H70" i="19" s="1"/>
  <c r="N52" i="19"/>
  <c r="N70" i="19" s="1"/>
  <c r="H48" i="19"/>
  <c r="H66" i="19" s="1"/>
  <c r="P60" i="19"/>
  <c r="P78" i="19" s="1"/>
  <c r="U60" i="19"/>
  <c r="U78" i="19" s="1"/>
  <c r="H60" i="19"/>
  <c r="H78" i="19" s="1"/>
  <c r="Z60" i="19"/>
  <c r="Z78" i="19" s="1"/>
  <c r="N60" i="19"/>
  <c r="N78" i="19" s="1"/>
  <c r="Y60" i="19"/>
  <c r="Y78" i="19" s="1"/>
  <c r="N48" i="19"/>
  <c r="N66" i="19" s="1"/>
  <c r="Z48" i="19"/>
  <c r="Z66" i="19" s="1"/>
  <c r="P49" i="19"/>
  <c r="P67" i="19" s="1"/>
  <c r="J49" i="19"/>
  <c r="J67" i="19" s="1"/>
  <c r="AB60" i="19"/>
  <c r="AB78" i="19" s="1"/>
  <c r="V60" i="19"/>
  <c r="V78" i="19" s="1"/>
  <c r="Q48" i="19"/>
  <c r="Q66" i="19" s="1"/>
  <c r="U48" i="19"/>
  <c r="U66" i="19" s="1"/>
  <c r="L48" i="19"/>
  <c r="L66" i="19" s="1"/>
  <c r="AA48" i="19"/>
  <c r="AA66" i="19" s="1"/>
  <c r="T48" i="19"/>
  <c r="T66" i="19" s="1"/>
  <c r="P48" i="19"/>
  <c r="P66" i="19" s="1"/>
  <c r="AB48" i="19"/>
  <c r="AB66" i="19" s="1"/>
  <c r="I48" i="19"/>
  <c r="I66" i="19" s="1"/>
  <c r="O48" i="19"/>
  <c r="O66" i="19" s="1"/>
  <c r="W48" i="19"/>
  <c r="W66" i="19" s="1"/>
  <c r="Y48" i="19"/>
  <c r="Y66" i="19" s="1"/>
  <c r="V48" i="19"/>
  <c r="V66" i="19" s="1"/>
  <c r="K48" i="19"/>
  <c r="K66" i="19" s="1"/>
  <c r="X48" i="19"/>
  <c r="X66" i="19" s="1"/>
  <c r="J48" i="19"/>
  <c r="J66" i="19" s="1"/>
  <c r="M48" i="19"/>
  <c r="M66" i="19" s="1"/>
  <c r="S48" i="19"/>
  <c r="S66" i="19" s="1"/>
  <c r="AQ12" i="36"/>
  <c r="T95" i="36" s="1"/>
  <c r="AQ10" i="36"/>
  <c r="G93" i="36" s="1"/>
  <c r="AQ14" i="36"/>
  <c r="L97" i="36" s="1"/>
  <c r="AQ11" i="36"/>
  <c r="N94" i="36" s="1"/>
  <c r="AI10" i="36"/>
  <c r="F53" i="36" s="1"/>
  <c r="M103" i="36"/>
  <c r="Y51" i="19"/>
  <c r="Y69" i="19" s="1"/>
  <c r="P51" i="19"/>
  <c r="P69" i="19" s="1"/>
  <c r="V51" i="19"/>
  <c r="V69" i="19" s="1"/>
  <c r="AS12" i="36"/>
  <c r="P105" i="36" s="1"/>
  <c r="H103" i="36"/>
  <c r="S103" i="36"/>
  <c r="AI12" i="36"/>
  <c r="U55" i="36" s="1"/>
  <c r="I103" i="36"/>
  <c r="F103" i="36"/>
  <c r="O103" i="36"/>
  <c r="C103" i="36"/>
  <c r="U103" i="36"/>
  <c r="T103" i="36"/>
  <c r="Q103" i="36"/>
  <c r="E103" i="36"/>
  <c r="R103" i="36"/>
  <c r="L103" i="36"/>
  <c r="G103" i="36"/>
  <c r="J103" i="36"/>
  <c r="N103" i="36"/>
  <c r="W103" i="36"/>
  <c r="D103" i="36"/>
  <c r="V103" i="36"/>
  <c r="K103" i="36"/>
  <c r="H51" i="19"/>
  <c r="H69" i="19" s="1"/>
  <c r="X51" i="19"/>
  <c r="X69" i="19" s="1"/>
  <c r="S51" i="19"/>
  <c r="S69" i="19" s="1"/>
  <c r="T51" i="19"/>
  <c r="T69" i="19" s="1"/>
  <c r="R51" i="19"/>
  <c r="R69" i="19" s="1"/>
  <c r="Z51" i="19"/>
  <c r="Z69" i="19" s="1"/>
  <c r="I51" i="19"/>
  <c r="I69" i="19" s="1"/>
  <c r="L51" i="19"/>
  <c r="L69" i="19" s="1"/>
  <c r="W51" i="19"/>
  <c r="W69" i="19" s="1"/>
  <c r="K51" i="19"/>
  <c r="K69" i="19" s="1"/>
  <c r="Q51" i="19"/>
  <c r="Q69" i="19" s="1"/>
  <c r="M51" i="19"/>
  <c r="M69" i="19" s="1"/>
  <c r="O51" i="19"/>
  <c r="O69" i="19" s="1"/>
  <c r="AB51" i="19"/>
  <c r="AB69" i="19" s="1"/>
  <c r="J51" i="19"/>
  <c r="J69" i="19" s="1"/>
  <c r="AA51" i="19"/>
  <c r="AA69" i="19" s="1"/>
  <c r="N51" i="19"/>
  <c r="N69" i="19" s="1"/>
  <c r="AS14" i="36"/>
  <c r="M107" i="36" s="1"/>
  <c r="K74" i="36"/>
  <c r="AS11" i="36"/>
  <c r="Q104" i="36" s="1"/>
  <c r="BI10" i="36"/>
  <c r="Q183" i="36" s="1"/>
  <c r="AS13" i="36"/>
  <c r="W106" i="36" s="1"/>
  <c r="C74" i="36"/>
  <c r="AI14" i="36"/>
  <c r="J57" i="36" s="1"/>
  <c r="P127" i="36"/>
  <c r="W74" i="36"/>
  <c r="S74" i="36"/>
  <c r="D74" i="36"/>
  <c r="P74" i="36"/>
  <c r="E74" i="36"/>
  <c r="V74" i="36"/>
  <c r="F74" i="36"/>
  <c r="U74" i="36"/>
  <c r="R74" i="36"/>
  <c r="T74" i="36"/>
  <c r="J74" i="36"/>
  <c r="Q74" i="36"/>
  <c r="O74" i="36"/>
  <c r="H74" i="36"/>
  <c r="L74" i="36"/>
  <c r="G74" i="36"/>
  <c r="I74" i="36"/>
  <c r="M74" i="36"/>
  <c r="AI11" i="36"/>
  <c r="K54" i="36" s="1"/>
  <c r="K157" i="36"/>
  <c r="O133" i="36"/>
  <c r="Q63" i="36"/>
  <c r="L61" i="19"/>
  <c r="L79" i="19" s="1"/>
  <c r="T61" i="19"/>
  <c r="T79" i="19" s="1"/>
  <c r="BI14" i="36"/>
  <c r="V187" i="36" s="1"/>
  <c r="S133" i="36"/>
  <c r="T157" i="36"/>
  <c r="R157" i="36"/>
  <c r="G157" i="36"/>
  <c r="Q157" i="36"/>
  <c r="J157" i="36"/>
  <c r="C157" i="36"/>
  <c r="W157" i="36"/>
  <c r="P157" i="36"/>
  <c r="I157" i="36"/>
  <c r="H157" i="36"/>
  <c r="M157" i="36"/>
  <c r="O157" i="36"/>
  <c r="D157" i="36"/>
  <c r="N157" i="36"/>
  <c r="AB57" i="19"/>
  <c r="AB75" i="19" s="1"/>
  <c r="Q57" i="19"/>
  <c r="Q75" i="19" s="1"/>
  <c r="AM12" i="36"/>
  <c r="F75" i="36" s="1"/>
  <c r="O196" i="36"/>
  <c r="AA57" i="19"/>
  <c r="AA75" i="19" s="1"/>
  <c r="X57" i="19"/>
  <c r="X75" i="19" s="1"/>
  <c r="R57" i="19"/>
  <c r="R75" i="19" s="1"/>
  <c r="M57" i="19"/>
  <c r="M75" i="19" s="1"/>
  <c r="O57" i="19"/>
  <c r="O75" i="19" s="1"/>
  <c r="BI11" i="36"/>
  <c r="P184" i="36" s="1"/>
  <c r="W57" i="19"/>
  <c r="W75" i="19" s="1"/>
  <c r="Y57" i="19"/>
  <c r="Y75" i="19" s="1"/>
  <c r="T57" i="19"/>
  <c r="T75" i="19" s="1"/>
  <c r="S57" i="19"/>
  <c r="S75" i="19" s="1"/>
  <c r="U57" i="19"/>
  <c r="U75" i="19" s="1"/>
  <c r="N57" i="19"/>
  <c r="N75" i="19" s="1"/>
  <c r="L57" i="19"/>
  <c r="L75" i="19" s="1"/>
  <c r="K57" i="19"/>
  <c r="K75" i="19" s="1"/>
  <c r="Z57" i="19"/>
  <c r="Z75" i="19" s="1"/>
  <c r="J57" i="19"/>
  <c r="J75" i="19" s="1"/>
  <c r="V57" i="19"/>
  <c r="V75" i="19" s="1"/>
  <c r="P57" i="19"/>
  <c r="P75" i="19" s="1"/>
  <c r="AY12" i="36"/>
  <c r="P135" i="36" s="1"/>
  <c r="L196" i="36"/>
  <c r="AM10" i="36"/>
  <c r="N73" i="36" s="1"/>
  <c r="E195" i="36"/>
  <c r="C195" i="36"/>
  <c r="AM13" i="36"/>
  <c r="F76" i="36" s="1"/>
  <c r="Q195" i="36"/>
  <c r="S194" i="36"/>
  <c r="T195" i="36"/>
  <c r="G195" i="36"/>
  <c r="Q196" i="36"/>
  <c r="U195" i="36"/>
  <c r="E196" i="36"/>
  <c r="V195" i="36"/>
  <c r="P196" i="36"/>
  <c r="S195" i="36"/>
  <c r="T196" i="36"/>
  <c r="O195" i="36"/>
  <c r="G194" i="36"/>
  <c r="AM14" i="36"/>
  <c r="J77" i="36" s="1"/>
  <c r="E194" i="36"/>
  <c r="U193" i="36"/>
  <c r="S157" i="36"/>
  <c r="U157" i="36"/>
  <c r="E157" i="36"/>
  <c r="F157" i="36"/>
  <c r="V157" i="36"/>
  <c r="L193" i="36"/>
  <c r="T194" i="36"/>
  <c r="M194" i="36"/>
  <c r="H193" i="36"/>
  <c r="L194" i="36"/>
  <c r="O194" i="36"/>
  <c r="C194" i="36"/>
  <c r="P194" i="36"/>
  <c r="BI12" i="36"/>
  <c r="P185" i="36" s="1"/>
  <c r="N194" i="36"/>
  <c r="R194" i="36"/>
  <c r="Q154" i="36"/>
  <c r="Q194" i="36"/>
  <c r="J194" i="36"/>
  <c r="K154" i="36"/>
  <c r="K194" i="36"/>
  <c r="I194" i="36"/>
  <c r="T193" i="36"/>
  <c r="C154" i="36"/>
  <c r="F194" i="36"/>
  <c r="V194" i="36"/>
  <c r="D194" i="36"/>
  <c r="L154" i="36"/>
  <c r="U194" i="36"/>
  <c r="H194" i="36"/>
  <c r="AY11" i="36"/>
  <c r="M134" i="36" s="1"/>
  <c r="AB54" i="19"/>
  <c r="AB72" i="19" s="1"/>
  <c r="M127" i="36"/>
  <c r="AW13" i="36"/>
  <c r="U126" i="36" s="1"/>
  <c r="G127" i="36"/>
  <c r="D127" i="36"/>
  <c r="M54" i="19"/>
  <c r="M72" i="19" s="1"/>
  <c r="O127" i="36"/>
  <c r="C127" i="36"/>
  <c r="N127" i="36"/>
  <c r="Q127" i="36"/>
  <c r="AY13" i="36"/>
  <c r="U136" i="36" s="1"/>
  <c r="J127" i="36"/>
  <c r="Q186" i="36"/>
  <c r="E127" i="36"/>
  <c r="M63" i="36"/>
  <c r="F127" i="36"/>
  <c r="P133" i="36"/>
  <c r="R54" i="19"/>
  <c r="R72" i="19" s="1"/>
  <c r="U127" i="36"/>
  <c r="U186" i="36"/>
  <c r="O61" i="19"/>
  <c r="O79" i="19" s="1"/>
  <c r="AW12" i="36"/>
  <c r="I125" i="36" s="1"/>
  <c r="O193" i="36"/>
  <c r="J154" i="36"/>
  <c r="F186" i="36"/>
  <c r="J186" i="36"/>
  <c r="N186" i="36"/>
  <c r="S186" i="36"/>
  <c r="T186" i="36"/>
  <c r="I63" i="36"/>
  <c r="T156" i="36"/>
  <c r="G133" i="36"/>
  <c r="J133" i="36"/>
  <c r="L63" i="36"/>
  <c r="X54" i="19"/>
  <c r="X72" i="19" s="1"/>
  <c r="P61" i="19"/>
  <c r="P79" i="19" s="1"/>
  <c r="S61" i="19"/>
  <c r="S79" i="19" s="1"/>
  <c r="U61" i="19"/>
  <c r="U79" i="19" s="1"/>
  <c r="K54" i="19"/>
  <c r="K72" i="19" s="1"/>
  <c r="W133" i="36"/>
  <c r="L127" i="36"/>
  <c r="H127" i="36"/>
  <c r="E133" i="36"/>
  <c r="P63" i="36"/>
  <c r="Q133" i="36"/>
  <c r="N154" i="36"/>
  <c r="L186" i="36"/>
  <c r="K186" i="36"/>
  <c r="C186" i="36"/>
  <c r="I186" i="36"/>
  <c r="C133" i="36"/>
  <c r="R133" i="36"/>
  <c r="U133" i="36"/>
  <c r="I54" i="19"/>
  <c r="I72" i="19" s="1"/>
  <c r="K61" i="19"/>
  <c r="K79" i="19" s="1"/>
  <c r="J61" i="19"/>
  <c r="J79" i="19" s="1"/>
  <c r="I61" i="19"/>
  <c r="I79" i="19" s="1"/>
  <c r="Q54" i="19"/>
  <c r="Q72" i="19" s="1"/>
  <c r="M61" i="19"/>
  <c r="M79" i="19" s="1"/>
  <c r="I127" i="36"/>
  <c r="S127" i="36"/>
  <c r="R63" i="36"/>
  <c r="T154" i="36"/>
  <c r="T127" i="36"/>
  <c r="M186" i="36"/>
  <c r="AA61" i="19"/>
  <c r="AA79" i="19" s="1"/>
  <c r="J193" i="36"/>
  <c r="M154" i="36"/>
  <c r="P186" i="36"/>
  <c r="H186" i="36"/>
  <c r="E156" i="36"/>
  <c r="E63" i="36"/>
  <c r="F133" i="36"/>
  <c r="D133" i="36"/>
  <c r="U54" i="19"/>
  <c r="U72" i="19" s="1"/>
  <c r="Y61" i="19"/>
  <c r="Y79" i="19" s="1"/>
  <c r="N61" i="19"/>
  <c r="N79" i="19" s="1"/>
  <c r="R61" i="19"/>
  <c r="R79" i="19" s="1"/>
  <c r="N54" i="19"/>
  <c r="N72" i="19" s="1"/>
  <c r="T133" i="36"/>
  <c r="I133" i="36"/>
  <c r="H61" i="19"/>
  <c r="H79" i="19" s="1"/>
  <c r="W61" i="19"/>
  <c r="W79" i="19" s="1"/>
  <c r="K127" i="36"/>
  <c r="W127" i="36"/>
  <c r="V127" i="36"/>
  <c r="N133" i="36"/>
  <c r="V61" i="19"/>
  <c r="V79" i="19" s="1"/>
  <c r="V186" i="36"/>
  <c r="D186" i="36"/>
  <c r="L133" i="36"/>
  <c r="V133" i="36"/>
  <c r="W193" i="36"/>
  <c r="W186" i="36"/>
  <c r="E186" i="36"/>
  <c r="R193" i="36"/>
  <c r="S154" i="36"/>
  <c r="G186" i="36"/>
  <c r="O63" i="36"/>
  <c r="M133" i="36"/>
  <c r="R186" i="36"/>
  <c r="H133" i="36"/>
  <c r="O54" i="19"/>
  <c r="O72" i="19" s="1"/>
  <c r="Z61" i="19"/>
  <c r="Z79" i="19" s="1"/>
  <c r="Q61" i="19"/>
  <c r="Q79" i="19" s="1"/>
  <c r="X61" i="19"/>
  <c r="X79" i="19" s="1"/>
  <c r="H54" i="19"/>
  <c r="H72" i="19" s="1"/>
  <c r="AY14" i="36"/>
  <c r="C137" i="36" s="1"/>
  <c r="D196" i="36"/>
  <c r="J196" i="36"/>
  <c r="M195" i="36"/>
  <c r="P195" i="36"/>
  <c r="S196" i="36"/>
  <c r="M196" i="36"/>
  <c r="F195" i="36"/>
  <c r="I195" i="36"/>
  <c r="U196" i="36"/>
  <c r="R196" i="36"/>
  <c r="N195" i="36"/>
  <c r="I196" i="36"/>
  <c r="C196" i="36"/>
  <c r="R195" i="36"/>
  <c r="W195" i="36"/>
  <c r="F196" i="36"/>
  <c r="H196" i="36"/>
  <c r="H57" i="19"/>
  <c r="H75" i="19" s="1"/>
  <c r="V193" i="36"/>
  <c r="H195" i="36"/>
  <c r="L195" i="36"/>
  <c r="K193" i="36"/>
  <c r="G193" i="36"/>
  <c r="S193" i="36"/>
  <c r="K196" i="36"/>
  <c r="N196" i="36"/>
  <c r="G196" i="36"/>
  <c r="J54" i="19"/>
  <c r="J72" i="19" s="1"/>
  <c r="P54" i="19"/>
  <c r="P72" i="19" s="1"/>
  <c r="Y54" i="19"/>
  <c r="Y72" i="19" s="1"/>
  <c r="P193" i="36"/>
  <c r="D193" i="36"/>
  <c r="M193" i="36"/>
  <c r="Q193" i="36"/>
  <c r="W54" i="19"/>
  <c r="W72" i="19" s="1"/>
  <c r="T54" i="19"/>
  <c r="T72" i="19" s="1"/>
  <c r="C193" i="36"/>
  <c r="F193" i="36"/>
  <c r="N193" i="36"/>
  <c r="D195" i="36"/>
  <c r="J195" i="36"/>
  <c r="I193" i="36"/>
  <c r="W196" i="36"/>
  <c r="V54" i="19"/>
  <c r="V72" i="19" s="1"/>
  <c r="S54" i="19"/>
  <c r="S72" i="19" s="1"/>
  <c r="L54" i="19"/>
  <c r="L72" i="19" s="1"/>
  <c r="Z54" i="19"/>
  <c r="Z72" i="19" s="1"/>
  <c r="AW10" i="36"/>
  <c r="H123" i="36" s="1"/>
  <c r="K155" i="36"/>
  <c r="I155" i="36"/>
  <c r="M155" i="36"/>
  <c r="O155" i="36"/>
  <c r="S155" i="36"/>
  <c r="D155" i="36"/>
  <c r="V155" i="36"/>
  <c r="L155" i="36"/>
  <c r="F155" i="36"/>
  <c r="G155" i="36"/>
  <c r="R155" i="36"/>
  <c r="AW11" i="36"/>
  <c r="W124" i="36" s="1"/>
  <c r="U155" i="36"/>
  <c r="J155" i="36"/>
  <c r="E155" i="36"/>
  <c r="W155" i="36"/>
  <c r="N155" i="36"/>
  <c r="C155" i="36"/>
  <c r="Q155" i="36"/>
  <c r="P155" i="36"/>
  <c r="T155" i="36"/>
  <c r="L156" i="36"/>
  <c r="S156" i="36"/>
  <c r="K156" i="36"/>
  <c r="M156" i="36"/>
  <c r="N156" i="36"/>
  <c r="P156" i="36"/>
  <c r="H156" i="36"/>
  <c r="R156" i="36"/>
  <c r="J156" i="36"/>
  <c r="F156" i="36"/>
  <c r="G156" i="36"/>
  <c r="C156" i="36"/>
  <c r="D156" i="36"/>
  <c r="I156" i="36"/>
  <c r="V156" i="36"/>
  <c r="Q156" i="36"/>
  <c r="W156" i="36"/>
  <c r="U156" i="36"/>
  <c r="W154" i="36"/>
  <c r="R154" i="36"/>
  <c r="P154" i="36"/>
  <c r="F154" i="36"/>
  <c r="D154" i="36"/>
  <c r="O154" i="36"/>
  <c r="H154" i="36"/>
  <c r="G154" i="36"/>
  <c r="E154" i="36"/>
  <c r="U154" i="36"/>
  <c r="I154" i="36"/>
  <c r="AU13" i="36"/>
  <c r="V116" i="36" s="1"/>
  <c r="BE10" i="36"/>
  <c r="M163" i="36" s="1"/>
  <c r="AK11" i="36"/>
  <c r="W64" i="36" s="1"/>
  <c r="D174" i="36"/>
  <c r="BG12" i="36"/>
  <c r="H175" i="36" s="1"/>
  <c r="O174" i="36"/>
  <c r="AK13" i="36"/>
  <c r="I66" i="36" s="1"/>
  <c r="D63" i="36"/>
  <c r="W63" i="36"/>
  <c r="S63" i="36"/>
  <c r="F63" i="36"/>
  <c r="H63" i="36"/>
  <c r="U63" i="36"/>
  <c r="N63" i="36"/>
  <c r="V63" i="36"/>
  <c r="J63" i="36"/>
  <c r="T63" i="36"/>
  <c r="K63" i="36"/>
  <c r="C63" i="36"/>
  <c r="BG10" i="36"/>
  <c r="I173" i="36" s="1"/>
  <c r="BK48" i="23"/>
  <c r="BK91" i="23" s="1"/>
  <c r="BI48" i="23"/>
  <c r="BI92" i="23" s="1"/>
  <c r="AU10" i="36"/>
  <c r="V113" i="36" s="1"/>
  <c r="AU14" i="36"/>
  <c r="O117" i="36" s="1"/>
  <c r="BE11" i="36"/>
  <c r="P164" i="36" s="1"/>
  <c r="BG14" i="36"/>
  <c r="H177" i="36" s="1"/>
  <c r="AK12" i="36"/>
  <c r="P65" i="36" s="1"/>
  <c r="M144" i="36"/>
  <c r="AK14" i="36"/>
  <c r="W67" i="36" s="1"/>
  <c r="F144" i="36"/>
  <c r="W174" i="36"/>
  <c r="I174" i="36"/>
  <c r="G174" i="36"/>
  <c r="M174" i="36"/>
  <c r="Q174" i="36"/>
  <c r="K174" i="36"/>
  <c r="R174" i="36"/>
  <c r="P174" i="36"/>
  <c r="S174" i="36"/>
  <c r="U174" i="36"/>
  <c r="N174" i="36"/>
  <c r="L174" i="36"/>
  <c r="C174" i="36"/>
  <c r="E174" i="36"/>
  <c r="T174" i="36"/>
  <c r="BG13" i="36"/>
  <c r="V176" i="36" s="1"/>
  <c r="V174" i="36"/>
  <c r="J174" i="36"/>
  <c r="H174" i="36"/>
  <c r="BE12" i="36"/>
  <c r="D165" i="36" s="1"/>
  <c r="BA13" i="36"/>
  <c r="T146" i="36" s="1"/>
  <c r="BE14" i="36"/>
  <c r="M167" i="36" s="1"/>
  <c r="AU11" i="36"/>
  <c r="E114" i="36" s="1"/>
  <c r="BA14" i="36"/>
  <c r="U147" i="36" s="1"/>
  <c r="BA10" i="36"/>
  <c r="T143" i="36" s="1"/>
  <c r="BA12" i="36"/>
  <c r="U145" i="36" s="1"/>
  <c r="I144" i="36"/>
  <c r="L144" i="36"/>
  <c r="R144" i="36"/>
  <c r="Q144" i="36"/>
  <c r="C144" i="36"/>
  <c r="W144" i="36"/>
  <c r="D144" i="36"/>
  <c r="J144" i="36"/>
  <c r="G144" i="36"/>
  <c r="T144" i="36"/>
  <c r="V144" i="36"/>
  <c r="N144" i="36"/>
  <c r="U144" i="36"/>
  <c r="P144" i="36"/>
  <c r="E144" i="36"/>
  <c r="K144" i="36"/>
  <c r="H144" i="36"/>
  <c r="S144" i="36"/>
  <c r="BK87" i="23"/>
  <c r="BK88" i="23"/>
  <c r="BK80" i="23"/>
  <c r="BK73" i="23"/>
  <c r="BK89" i="23"/>
  <c r="BK90" i="23"/>
  <c r="BK83" i="23"/>
  <c r="BK79" i="23"/>
  <c r="BK74" i="23"/>
  <c r="BK49" i="23"/>
  <c r="BK86" i="23"/>
  <c r="BK46" i="23"/>
  <c r="BK55" i="23" s="1"/>
  <c r="BK82" i="23"/>
  <c r="BK76" i="23"/>
  <c r="BK84" i="23"/>
  <c r="BK92" i="23"/>
  <c r="BK85" i="23"/>
  <c r="BK78" i="23"/>
  <c r="BK81" i="23"/>
  <c r="BK75" i="23"/>
  <c r="AK108" i="19"/>
  <c r="AE108" i="19"/>
  <c r="AK129" i="19"/>
  <c r="AE129" i="19"/>
  <c r="AK127" i="19"/>
  <c r="AE127" i="19"/>
  <c r="AK116" i="19"/>
  <c r="AE116" i="19"/>
  <c r="BJ48" i="23"/>
  <c r="AK125" i="19"/>
  <c r="AE125" i="19"/>
  <c r="AK110" i="19"/>
  <c r="AE110" i="19"/>
  <c r="AK121" i="19"/>
  <c r="AE121" i="19"/>
  <c r="AK138" i="19"/>
  <c r="AE138" i="19"/>
  <c r="O119" i="19"/>
  <c r="AC119" i="19"/>
  <c r="D119" i="19"/>
  <c r="I119" i="19" s="1"/>
  <c r="AK132" i="19"/>
  <c r="AE132" i="19"/>
  <c r="AK113" i="19"/>
  <c r="AE113" i="19"/>
  <c r="AK120" i="19"/>
  <c r="AE120" i="19"/>
  <c r="AK130" i="19"/>
  <c r="AE130" i="19"/>
  <c r="AK114" i="19"/>
  <c r="AE114" i="19"/>
  <c r="AC124" i="19"/>
  <c r="D124" i="19"/>
  <c r="I124" i="19" s="1"/>
  <c r="O124" i="19"/>
  <c r="AK109" i="19"/>
  <c r="AE109" i="19"/>
  <c r="AK136" i="19"/>
  <c r="AE136" i="19"/>
  <c r="AK123" i="19"/>
  <c r="AE123" i="19"/>
  <c r="AK104" i="19"/>
  <c r="AE104" i="19"/>
  <c r="BI87" i="23"/>
  <c r="BI88" i="23"/>
  <c r="BI80" i="23"/>
  <c r="AK105" i="19"/>
  <c r="AE105" i="19"/>
  <c r="AK117" i="19"/>
  <c r="AE117" i="19"/>
  <c r="AK131" i="19"/>
  <c r="AE131" i="19"/>
  <c r="AK106" i="19"/>
  <c r="AE106" i="19"/>
  <c r="D128" i="19"/>
  <c r="I128" i="19" s="1"/>
  <c r="O128" i="19"/>
  <c r="AC128" i="19"/>
  <c r="AK126" i="19"/>
  <c r="AE126" i="19"/>
  <c r="AK111" i="19"/>
  <c r="AE111" i="19"/>
  <c r="AK139" i="19"/>
  <c r="AK103" i="19" s="1"/>
  <c r="AE139" i="19"/>
  <c r="AE103" i="19" s="1"/>
  <c r="AC135" i="19"/>
  <c r="O135" i="19"/>
  <c r="D135" i="19"/>
  <c r="I135" i="19" s="1"/>
  <c r="O115" i="19"/>
  <c r="D115" i="19"/>
  <c r="I115" i="19" s="1"/>
  <c r="AC115" i="19"/>
  <c r="AK133" i="19"/>
  <c r="AE133" i="19"/>
  <c r="AK112" i="19"/>
  <c r="AE112" i="19"/>
  <c r="AK122" i="19"/>
  <c r="AE122" i="19"/>
  <c r="AK137" i="19"/>
  <c r="AE137" i="19"/>
  <c r="AC107" i="19"/>
  <c r="O107" i="19"/>
  <c r="D107" i="19"/>
  <c r="I107" i="19" s="1"/>
  <c r="AK118" i="19"/>
  <c r="AE118" i="19"/>
  <c r="AE134" i="19"/>
  <c r="AK134" i="19"/>
  <c r="BL48" i="23"/>
  <c r="O115" i="36"/>
  <c r="P115" i="36"/>
  <c r="I115" i="36"/>
  <c r="V115" i="36"/>
  <c r="L115" i="36"/>
  <c r="D115" i="36"/>
  <c r="R115" i="36"/>
  <c r="Q115" i="36"/>
  <c r="M115" i="36"/>
  <c r="H115" i="36"/>
  <c r="E115" i="36"/>
  <c r="K115" i="36"/>
  <c r="U115" i="36"/>
  <c r="G115" i="36"/>
  <c r="T115" i="36"/>
  <c r="C115" i="36"/>
  <c r="N115" i="36"/>
  <c r="W115" i="36"/>
  <c r="F115" i="36"/>
  <c r="S115" i="36"/>
  <c r="V87" i="36"/>
  <c r="I87" i="36"/>
  <c r="D87" i="36"/>
  <c r="H84" i="36"/>
  <c r="C84" i="36"/>
  <c r="V85" i="36"/>
  <c r="O85" i="36"/>
  <c r="L83" i="36"/>
  <c r="G83" i="36"/>
  <c r="K83" i="36"/>
  <c r="E83" i="36"/>
  <c r="I83" i="36"/>
  <c r="Q83" i="36"/>
  <c r="V83" i="36"/>
  <c r="D83" i="36"/>
  <c r="U83" i="36"/>
  <c r="F83" i="36"/>
  <c r="H83" i="36"/>
  <c r="E84" i="36"/>
  <c r="S85" i="36"/>
  <c r="F85" i="36"/>
  <c r="L85" i="36"/>
  <c r="K85" i="36"/>
  <c r="H85" i="36"/>
  <c r="Q85" i="36"/>
  <c r="M85" i="36"/>
  <c r="R85" i="36"/>
  <c r="G85" i="36"/>
  <c r="J85" i="36"/>
  <c r="N85" i="36"/>
  <c r="W85" i="36"/>
  <c r="I85" i="36"/>
  <c r="T85" i="36"/>
  <c r="E85" i="36"/>
  <c r="D85" i="36"/>
  <c r="U85" i="36"/>
  <c r="C85" i="36"/>
  <c r="O84" i="36"/>
  <c r="F84" i="36"/>
  <c r="K84" i="36"/>
  <c r="T84" i="36"/>
  <c r="V84" i="36"/>
  <c r="S84" i="36"/>
  <c r="W84" i="36"/>
  <c r="G84" i="36"/>
  <c r="N84" i="36"/>
  <c r="L84" i="36"/>
  <c r="D84" i="36"/>
  <c r="U84" i="36"/>
  <c r="P84" i="36"/>
  <c r="J84" i="36"/>
  <c r="Q84" i="36"/>
  <c r="M84" i="36"/>
  <c r="R84" i="36"/>
  <c r="N83" i="36"/>
  <c r="S83" i="36"/>
  <c r="J83" i="36"/>
  <c r="O83" i="36"/>
  <c r="T83" i="36"/>
  <c r="M83" i="36"/>
  <c r="R83" i="36"/>
  <c r="P83" i="36"/>
  <c r="T87" i="36"/>
  <c r="K87" i="36"/>
  <c r="G87" i="36"/>
  <c r="J87" i="36"/>
  <c r="E87" i="36"/>
  <c r="F87" i="36"/>
  <c r="L87" i="36"/>
  <c r="P87" i="36"/>
  <c r="R87" i="36"/>
  <c r="H87" i="36"/>
  <c r="Q87" i="36"/>
  <c r="C87" i="36"/>
  <c r="W83" i="36"/>
  <c r="W87" i="36"/>
  <c r="O87" i="36"/>
  <c r="S87" i="36"/>
  <c r="U87" i="36"/>
  <c r="N87" i="36"/>
  <c r="S96" i="36"/>
  <c r="Q96" i="36"/>
  <c r="N96" i="36"/>
  <c r="J96" i="36"/>
  <c r="G96" i="36"/>
  <c r="V96" i="36"/>
  <c r="T96" i="36"/>
  <c r="F96" i="36"/>
  <c r="K96" i="36"/>
  <c r="M96" i="36"/>
  <c r="I96" i="36"/>
  <c r="L96" i="36"/>
  <c r="U96" i="36"/>
  <c r="P96" i="36"/>
  <c r="E96" i="36"/>
  <c r="W96" i="36"/>
  <c r="O96" i="36"/>
  <c r="C96" i="36"/>
  <c r="D96" i="36"/>
  <c r="R96" i="36"/>
  <c r="J166" i="36"/>
  <c r="U166" i="36"/>
  <c r="R166" i="36"/>
  <c r="F166" i="36"/>
  <c r="P166" i="36"/>
  <c r="Q166" i="36"/>
  <c r="G166" i="36"/>
  <c r="V166" i="36"/>
  <c r="I166" i="36"/>
  <c r="T166" i="36"/>
  <c r="C166" i="36"/>
  <c r="S166" i="36"/>
  <c r="K166" i="36"/>
  <c r="E166" i="36"/>
  <c r="O166" i="36"/>
  <c r="M166" i="36"/>
  <c r="N166" i="36"/>
  <c r="W166" i="36"/>
  <c r="L166" i="36"/>
  <c r="H166" i="36"/>
  <c r="R56" i="36"/>
  <c r="E56" i="36"/>
  <c r="S56" i="36"/>
  <c r="K56" i="36"/>
  <c r="U56" i="36"/>
  <c r="F56" i="36"/>
  <c r="L56" i="36"/>
  <c r="P56" i="36"/>
  <c r="N56" i="36"/>
  <c r="Q56" i="36"/>
  <c r="H56" i="36"/>
  <c r="V56" i="36"/>
  <c r="J56" i="36"/>
  <c r="I56" i="36"/>
  <c r="O56" i="36"/>
  <c r="T56" i="36"/>
  <c r="D56" i="36"/>
  <c r="W56" i="36"/>
  <c r="C56" i="36"/>
  <c r="M56" i="36"/>
  <c r="G56" i="36"/>
  <c r="S93" i="36" l="1"/>
  <c r="H95" i="36"/>
  <c r="L105" i="36"/>
  <c r="E93" i="36"/>
  <c r="U93" i="36"/>
  <c r="D93" i="36"/>
  <c r="V93" i="36"/>
  <c r="I93" i="36"/>
  <c r="C93" i="36"/>
  <c r="P93" i="36"/>
  <c r="K93" i="36"/>
  <c r="H93" i="36"/>
  <c r="O93" i="36"/>
  <c r="R93" i="36"/>
  <c r="T93" i="36"/>
  <c r="L93" i="36"/>
  <c r="Q93" i="36"/>
  <c r="J93" i="36"/>
  <c r="D97" i="36"/>
  <c r="C95" i="36"/>
  <c r="S95" i="36"/>
  <c r="D95" i="36"/>
  <c r="I95" i="36"/>
  <c r="F95" i="36"/>
  <c r="K53" i="36"/>
  <c r="R53" i="36"/>
  <c r="I53" i="36"/>
  <c r="M53" i="36"/>
  <c r="O53" i="36"/>
  <c r="W53" i="36"/>
  <c r="D53" i="36"/>
  <c r="H53" i="36"/>
  <c r="C53" i="36"/>
  <c r="J94" i="36"/>
  <c r="V53" i="36"/>
  <c r="V94" i="36"/>
  <c r="E53" i="36"/>
  <c r="S53" i="36"/>
  <c r="T53" i="36"/>
  <c r="Q53" i="36"/>
  <c r="I94" i="36"/>
  <c r="L53" i="36"/>
  <c r="J53" i="36"/>
  <c r="U94" i="36"/>
  <c r="N53" i="36"/>
  <c r="P53" i="36"/>
  <c r="G53" i="36"/>
  <c r="U53" i="36"/>
  <c r="G94" i="36"/>
  <c r="S94" i="36"/>
  <c r="R94" i="36"/>
  <c r="O94" i="36"/>
  <c r="Q94" i="36"/>
  <c r="AK48" i="19"/>
  <c r="H94" i="36"/>
  <c r="E94" i="36"/>
  <c r="D94" i="36"/>
  <c r="F94" i="36"/>
  <c r="W94" i="36"/>
  <c r="C94" i="36"/>
  <c r="L94" i="36"/>
  <c r="M94" i="36"/>
  <c r="S97" i="36"/>
  <c r="T94" i="36"/>
  <c r="P94" i="36"/>
  <c r="K94" i="36"/>
  <c r="G95" i="36"/>
  <c r="U95" i="36"/>
  <c r="M95" i="36"/>
  <c r="W95" i="36"/>
  <c r="N95" i="36"/>
  <c r="E95" i="36"/>
  <c r="J95" i="36"/>
  <c r="M183" i="36"/>
  <c r="F93" i="36"/>
  <c r="M93" i="36"/>
  <c r="W93" i="36"/>
  <c r="N93" i="36"/>
  <c r="I105" i="36"/>
  <c r="Q95" i="36"/>
  <c r="K95" i="36"/>
  <c r="V95" i="36"/>
  <c r="O95" i="36"/>
  <c r="P95" i="36"/>
  <c r="L95" i="36"/>
  <c r="R95" i="36"/>
  <c r="N97" i="36"/>
  <c r="T97" i="36"/>
  <c r="U97" i="36"/>
  <c r="C97" i="36"/>
  <c r="Q97" i="36"/>
  <c r="G97" i="36"/>
  <c r="R97" i="36"/>
  <c r="I97" i="36"/>
  <c r="H97" i="36"/>
  <c r="E97" i="36"/>
  <c r="K97" i="36"/>
  <c r="O97" i="36"/>
  <c r="P97" i="36"/>
  <c r="F97" i="36"/>
  <c r="M97" i="36"/>
  <c r="V97" i="36"/>
  <c r="W97" i="36"/>
  <c r="J97" i="36"/>
  <c r="C105" i="36"/>
  <c r="U105" i="36"/>
  <c r="T105" i="36"/>
  <c r="K105" i="36"/>
  <c r="M105" i="36"/>
  <c r="R105" i="36"/>
  <c r="O105" i="36"/>
  <c r="W105" i="36"/>
  <c r="J105" i="36"/>
  <c r="G105" i="36"/>
  <c r="E105" i="36"/>
  <c r="BI91" i="23"/>
  <c r="BI83" i="23"/>
  <c r="BI90" i="23"/>
  <c r="BI79" i="23"/>
  <c r="BI74" i="23"/>
  <c r="BI86" i="23"/>
  <c r="BI73" i="23"/>
  <c r="BI89" i="23"/>
  <c r="BI84" i="23"/>
  <c r="BI77" i="23"/>
  <c r="BI85" i="23"/>
  <c r="BK77" i="23"/>
  <c r="BI76" i="23"/>
  <c r="BI78" i="23"/>
  <c r="BI75" i="23"/>
  <c r="BI82" i="23"/>
  <c r="BI81" i="23"/>
  <c r="BI49" i="23"/>
  <c r="BI46" i="23"/>
  <c r="BI64" i="23" s="1"/>
  <c r="Q55" i="36"/>
  <c r="K55" i="36"/>
  <c r="V105" i="36"/>
  <c r="Q105" i="36"/>
  <c r="F105" i="36"/>
  <c r="S105" i="36"/>
  <c r="N105" i="36"/>
  <c r="K183" i="36"/>
  <c r="D105" i="36"/>
  <c r="I183" i="36"/>
  <c r="H105" i="36"/>
  <c r="P106" i="36"/>
  <c r="K106" i="36"/>
  <c r="L106" i="36"/>
  <c r="J55" i="36"/>
  <c r="O55" i="36"/>
  <c r="L55" i="36"/>
  <c r="P55" i="36"/>
  <c r="G55" i="36"/>
  <c r="M55" i="36"/>
  <c r="V55" i="36"/>
  <c r="E55" i="36"/>
  <c r="T55" i="36"/>
  <c r="N55" i="36"/>
  <c r="R55" i="36"/>
  <c r="W55" i="36"/>
  <c r="D55" i="36"/>
  <c r="I55" i="36"/>
  <c r="H55" i="36"/>
  <c r="S55" i="36"/>
  <c r="F55" i="36"/>
  <c r="C55" i="36"/>
  <c r="S107" i="36"/>
  <c r="V107" i="36"/>
  <c r="N107" i="36"/>
  <c r="R107" i="36"/>
  <c r="T107" i="36"/>
  <c r="C107" i="36"/>
  <c r="H183" i="36"/>
  <c r="N183" i="36"/>
  <c r="G183" i="36"/>
  <c r="Q107" i="36"/>
  <c r="K107" i="36"/>
  <c r="F107" i="36"/>
  <c r="D107" i="36"/>
  <c r="L107" i="36"/>
  <c r="O107" i="36"/>
  <c r="J107" i="36"/>
  <c r="I107" i="36"/>
  <c r="U107" i="36"/>
  <c r="E107" i="36"/>
  <c r="P107" i="36"/>
  <c r="G107" i="36"/>
  <c r="W107" i="36"/>
  <c r="H107" i="36"/>
  <c r="W104" i="36"/>
  <c r="D104" i="36"/>
  <c r="T104" i="36"/>
  <c r="W183" i="36"/>
  <c r="R183" i="36"/>
  <c r="E104" i="36"/>
  <c r="L104" i="36"/>
  <c r="C104" i="36"/>
  <c r="T183" i="36"/>
  <c r="P104" i="36"/>
  <c r="U183" i="36"/>
  <c r="O183" i="36"/>
  <c r="J104" i="36"/>
  <c r="K104" i="36"/>
  <c r="H104" i="36"/>
  <c r="E183" i="36"/>
  <c r="P183" i="36"/>
  <c r="D183" i="36"/>
  <c r="R104" i="36"/>
  <c r="O104" i="36"/>
  <c r="N104" i="36"/>
  <c r="L183" i="36"/>
  <c r="G104" i="36"/>
  <c r="C183" i="36"/>
  <c r="F183" i="36"/>
  <c r="V183" i="36"/>
  <c r="T76" i="36"/>
  <c r="I104" i="36"/>
  <c r="V104" i="36"/>
  <c r="S104" i="36"/>
  <c r="M104" i="36"/>
  <c r="J183" i="36"/>
  <c r="S183" i="36"/>
  <c r="F104" i="36"/>
  <c r="U104" i="36"/>
  <c r="R106" i="36"/>
  <c r="S106" i="36"/>
  <c r="V106" i="36"/>
  <c r="O106" i="36"/>
  <c r="M106" i="36"/>
  <c r="T106" i="36"/>
  <c r="G106" i="36"/>
  <c r="D106" i="36"/>
  <c r="H106" i="36"/>
  <c r="Q106" i="36"/>
  <c r="I106" i="36"/>
  <c r="J106" i="36"/>
  <c r="C106" i="36"/>
  <c r="F106" i="36"/>
  <c r="N106" i="36"/>
  <c r="E106" i="36"/>
  <c r="U106" i="36"/>
  <c r="N57" i="36"/>
  <c r="H57" i="36"/>
  <c r="R126" i="36"/>
  <c r="U137" i="36"/>
  <c r="V57" i="36"/>
  <c r="W57" i="36"/>
  <c r="P57" i="36"/>
  <c r="U57" i="36"/>
  <c r="L126" i="36"/>
  <c r="V126" i="36"/>
  <c r="C136" i="36"/>
  <c r="U175" i="36"/>
  <c r="T198" i="36"/>
  <c r="T229" i="36" s="1"/>
  <c r="P114" i="36"/>
  <c r="D57" i="36"/>
  <c r="R57" i="36"/>
  <c r="Q135" i="36"/>
  <c r="M135" i="36"/>
  <c r="J135" i="36"/>
  <c r="L57" i="36"/>
  <c r="L135" i="36"/>
  <c r="S135" i="36"/>
  <c r="G57" i="36"/>
  <c r="O57" i="36"/>
  <c r="C57" i="36"/>
  <c r="F57" i="36"/>
  <c r="M57" i="36"/>
  <c r="K57" i="36"/>
  <c r="T57" i="36"/>
  <c r="Q57" i="36"/>
  <c r="G135" i="36"/>
  <c r="S57" i="36"/>
  <c r="I57" i="36"/>
  <c r="E57" i="36"/>
  <c r="G187" i="36"/>
  <c r="M187" i="36"/>
  <c r="Q187" i="36"/>
  <c r="F187" i="36"/>
  <c r="N187" i="36"/>
  <c r="P76" i="36"/>
  <c r="Q198" i="36"/>
  <c r="Q199" i="36" s="1"/>
  <c r="H54" i="36"/>
  <c r="U54" i="36"/>
  <c r="L54" i="36"/>
  <c r="P54" i="36"/>
  <c r="G54" i="36"/>
  <c r="C54" i="36"/>
  <c r="R54" i="36"/>
  <c r="Q54" i="36"/>
  <c r="E54" i="36"/>
  <c r="W54" i="36"/>
  <c r="F54" i="36"/>
  <c r="T54" i="36"/>
  <c r="I54" i="36"/>
  <c r="S54" i="36"/>
  <c r="V54" i="36"/>
  <c r="J54" i="36"/>
  <c r="D54" i="36"/>
  <c r="O54" i="36"/>
  <c r="N54" i="36"/>
  <c r="M54" i="36"/>
  <c r="P126" i="36"/>
  <c r="O126" i="36"/>
  <c r="I136" i="36"/>
  <c r="F126" i="36"/>
  <c r="K126" i="36"/>
  <c r="H136" i="36"/>
  <c r="S126" i="36"/>
  <c r="N126" i="36"/>
  <c r="D136" i="36"/>
  <c r="G126" i="36"/>
  <c r="M126" i="36"/>
  <c r="H126" i="36"/>
  <c r="N136" i="36"/>
  <c r="E136" i="36"/>
  <c r="C126" i="36"/>
  <c r="J126" i="36"/>
  <c r="W136" i="36"/>
  <c r="G136" i="36"/>
  <c r="W126" i="36"/>
  <c r="Q126" i="36"/>
  <c r="O136" i="36"/>
  <c r="T126" i="36"/>
  <c r="I126" i="36"/>
  <c r="D126" i="36"/>
  <c r="E126" i="36"/>
  <c r="S136" i="36"/>
  <c r="E187" i="36"/>
  <c r="C187" i="36"/>
  <c r="Q73" i="36"/>
  <c r="V73" i="36"/>
  <c r="W187" i="36"/>
  <c r="K187" i="36"/>
  <c r="S187" i="36"/>
  <c r="R187" i="36"/>
  <c r="H187" i="36"/>
  <c r="O187" i="36"/>
  <c r="J187" i="36"/>
  <c r="D187" i="36"/>
  <c r="I187" i="36"/>
  <c r="P187" i="36"/>
  <c r="U187" i="36"/>
  <c r="L187" i="36"/>
  <c r="C73" i="36"/>
  <c r="T187" i="36"/>
  <c r="R73" i="36"/>
  <c r="F73" i="36"/>
  <c r="O75" i="36"/>
  <c r="H75" i="36"/>
  <c r="T163" i="36"/>
  <c r="L75" i="36"/>
  <c r="D75" i="36"/>
  <c r="K75" i="36"/>
  <c r="W75" i="36"/>
  <c r="G75" i="36"/>
  <c r="V75" i="36"/>
  <c r="R75" i="36"/>
  <c r="U75" i="36"/>
  <c r="P75" i="36"/>
  <c r="S75" i="36"/>
  <c r="I75" i="36"/>
  <c r="Q75" i="36"/>
  <c r="M75" i="36"/>
  <c r="N75" i="36"/>
  <c r="J75" i="36"/>
  <c r="C75" i="36"/>
  <c r="T75" i="36"/>
  <c r="E75" i="36"/>
  <c r="D76" i="36"/>
  <c r="V76" i="36"/>
  <c r="Q76" i="36"/>
  <c r="N76" i="36"/>
  <c r="I76" i="36"/>
  <c r="O76" i="36"/>
  <c r="K76" i="36"/>
  <c r="U76" i="36"/>
  <c r="C76" i="36"/>
  <c r="R76" i="36"/>
  <c r="H76" i="36"/>
  <c r="W76" i="36"/>
  <c r="M76" i="36"/>
  <c r="L76" i="36"/>
  <c r="J76" i="36"/>
  <c r="E76" i="36"/>
  <c r="G76" i="36"/>
  <c r="S76" i="36"/>
  <c r="P77" i="36"/>
  <c r="D123" i="36"/>
  <c r="D135" i="36"/>
  <c r="F135" i="36"/>
  <c r="E135" i="36"/>
  <c r="O135" i="36"/>
  <c r="I135" i="36"/>
  <c r="H135" i="36"/>
  <c r="N135" i="36"/>
  <c r="W135" i="36"/>
  <c r="T135" i="36"/>
  <c r="V135" i="36"/>
  <c r="K135" i="36"/>
  <c r="U135" i="36"/>
  <c r="C135" i="36"/>
  <c r="R135" i="36"/>
  <c r="W184" i="36"/>
  <c r="E77" i="36"/>
  <c r="R184" i="36"/>
  <c r="O184" i="36"/>
  <c r="C77" i="36"/>
  <c r="I164" i="36"/>
  <c r="S73" i="36"/>
  <c r="M73" i="36"/>
  <c r="L73" i="36"/>
  <c r="H73" i="36"/>
  <c r="D77" i="36"/>
  <c r="I184" i="36"/>
  <c r="M184" i="36"/>
  <c r="D73" i="36"/>
  <c r="F77" i="36"/>
  <c r="S185" i="36"/>
  <c r="O73" i="36"/>
  <c r="W77" i="36"/>
  <c r="R77" i="36"/>
  <c r="G73" i="36"/>
  <c r="G184" i="36"/>
  <c r="H184" i="36"/>
  <c r="O77" i="36"/>
  <c r="T73" i="36"/>
  <c r="K77" i="36"/>
  <c r="S77" i="36"/>
  <c r="K184" i="36"/>
  <c r="T184" i="36"/>
  <c r="E73" i="36"/>
  <c r="T77" i="36"/>
  <c r="N77" i="36"/>
  <c r="I77" i="36"/>
  <c r="F184" i="36"/>
  <c r="U184" i="36"/>
  <c r="S184" i="36"/>
  <c r="U77" i="36"/>
  <c r="H77" i="36"/>
  <c r="V184" i="36"/>
  <c r="Q184" i="36"/>
  <c r="U73" i="36"/>
  <c r="P73" i="36"/>
  <c r="K73" i="36"/>
  <c r="I73" i="36"/>
  <c r="L77" i="36"/>
  <c r="L184" i="36"/>
  <c r="C184" i="36"/>
  <c r="D184" i="36"/>
  <c r="L198" i="36"/>
  <c r="L229" i="36" s="1"/>
  <c r="Q77" i="36"/>
  <c r="J73" i="36"/>
  <c r="W73" i="36"/>
  <c r="M77" i="36"/>
  <c r="V77" i="36"/>
  <c r="N184" i="36"/>
  <c r="J184" i="36"/>
  <c r="E184" i="36"/>
  <c r="G77" i="36"/>
  <c r="V134" i="36"/>
  <c r="E198" i="36"/>
  <c r="E229" i="36" s="1"/>
  <c r="S163" i="36"/>
  <c r="Q134" i="36"/>
  <c r="M124" i="36"/>
  <c r="Q163" i="36"/>
  <c r="S124" i="36"/>
  <c r="R163" i="36"/>
  <c r="O134" i="36"/>
  <c r="U163" i="36"/>
  <c r="G163" i="36"/>
  <c r="V124" i="36"/>
  <c r="K124" i="36"/>
  <c r="P134" i="36"/>
  <c r="W163" i="36"/>
  <c r="P124" i="36"/>
  <c r="S134" i="36"/>
  <c r="L163" i="36"/>
  <c r="J124" i="36"/>
  <c r="W134" i="36"/>
  <c r="N163" i="36"/>
  <c r="F163" i="36"/>
  <c r="N124" i="36"/>
  <c r="T134" i="36"/>
  <c r="J134" i="36"/>
  <c r="K134" i="36"/>
  <c r="V198" i="36"/>
  <c r="V199" i="36" s="1"/>
  <c r="D163" i="36"/>
  <c r="T124" i="36"/>
  <c r="H124" i="36"/>
  <c r="E134" i="36"/>
  <c r="C134" i="36"/>
  <c r="P163" i="36"/>
  <c r="I163" i="36"/>
  <c r="E163" i="36"/>
  <c r="H163" i="36"/>
  <c r="I124" i="36"/>
  <c r="Q124" i="36"/>
  <c r="G134" i="36"/>
  <c r="I134" i="36"/>
  <c r="J163" i="36"/>
  <c r="K163" i="36"/>
  <c r="O163" i="36"/>
  <c r="O124" i="36"/>
  <c r="U124" i="36"/>
  <c r="G124" i="36"/>
  <c r="R134" i="36"/>
  <c r="U134" i="36"/>
  <c r="S198" i="36"/>
  <c r="S199" i="36" s="1"/>
  <c r="F124" i="36"/>
  <c r="C124" i="36"/>
  <c r="H134" i="36"/>
  <c r="N134" i="36"/>
  <c r="E124" i="36"/>
  <c r="C163" i="36"/>
  <c r="V163" i="36"/>
  <c r="L124" i="36"/>
  <c r="R124" i="36"/>
  <c r="D124" i="36"/>
  <c r="D134" i="36"/>
  <c r="L134" i="36"/>
  <c r="F134" i="36"/>
  <c r="C198" i="36"/>
  <c r="C229" i="36" s="1"/>
  <c r="O198" i="36"/>
  <c r="O199" i="36" s="1"/>
  <c r="N185" i="36"/>
  <c r="W185" i="36"/>
  <c r="V185" i="36"/>
  <c r="L185" i="36"/>
  <c r="M116" i="36"/>
  <c r="R185" i="36"/>
  <c r="I185" i="36"/>
  <c r="G185" i="36"/>
  <c r="G173" i="36"/>
  <c r="C185" i="36"/>
  <c r="O164" i="36"/>
  <c r="U116" i="36"/>
  <c r="K185" i="36"/>
  <c r="U185" i="36"/>
  <c r="H185" i="36"/>
  <c r="J185" i="36"/>
  <c r="G167" i="36"/>
  <c r="M185" i="36"/>
  <c r="E185" i="36"/>
  <c r="F185" i="36"/>
  <c r="O185" i="36"/>
  <c r="D185" i="36"/>
  <c r="T185" i="36"/>
  <c r="Q185" i="36"/>
  <c r="W137" i="36"/>
  <c r="T137" i="36"/>
  <c r="D137" i="36"/>
  <c r="H137" i="36"/>
  <c r="M137" i="36"/>
  <c r="P198" i="36"/>
  <c r="P229" i="36" s="1"/>
  <c r="O158" i="36"/>
  <c r="O225" i="36" s="1"/>
  <c r="D164" i="36"/>
  <c r="I116" i="36"/>
  <c r="G116" i="36"/>
  <c r="O116" i="36"/>
  <c r="M158" i="36"/>
  <c r="M159" i="36" s="1"/>
  <c r="U198" i="36"/>
  <c r="U199" i="36" s="1"/>
  <c r="S164" i="36"/>
  <c r="W116" i="36"/>
  <c r="K116" i="36"/>
  <c r="J116" i="36"/>
  <c r="I158" i="36"/>
  <c r="I159" i="36" s="1"/>
  <c r="F164" i="36"/>
  <c r="S116" i="36"/>
  <c r="E116" i="36"/>
  <c r="C116" i="36"/>
  <c r="G198" i="36"/>
  <c r="G229" i="36" s="1"/>
  <c r="P116" i="36"/>
  <c r="P158" i="36"/>
  <c r="P159" i="36" s="1"/>
  <c r="G164" i="36"/>
  <c r="C164" i="36"/>
  <c r="M164" i="36"/>
  <c r="L116" i="36"/>
  <c r="Q116" i="36"/>
  <c r="H158" i="36"/>
  <c r="H159" i="36" s="1"/>
  <c r="N116" i="36"/>
  <c r="V164" i="36"/>
  <c r="T116" i="36"/>
  <c r="T158" i="36"/>
  <c r="T159" i="36" s="1"/>
  <c r="L164" i="36"/>
  <c r="R116" i="36"/>
  <c r="R164" i="36"/>
  <c r="F116" i="36"/>
  <c r="N164" i="36"/>
  <c r="W164" i="36"/>
  <c r="D116" i="36"/>
  <c r="H116" i="36"/>
  <c r="M125" i="36"/>
  <c r="U125" i="36"/>
  <c r="S158" i="36"/>
  <c r="S225" i="36" s="1"/>
  <c r="N198" i="36"/>
  <c r="N199" i="36" s="1"/>
  <c r="J158" i="36"/>
  <c r="J159" i="36" s="1"/>
  <c r="W167" i="36"/>
  <c r="H167" i="36"/>
  <c r="D158" i="36"/>
  <c r="D225" i="36" s="1"/>
  <c r="F158" i="36"/>
  <c r="F159" i="36" s="1"/>
  <c r="M198" i="36"/>
  <c r="M229" i="36" s="1"/>
  <c r="H198" i="36"/>
  <c r="H229" i="36" s="1"/>
  <c r="D198" i="36"/>
  <c r="D199" i="36" s="1"/>
  <c r="F173" i="36"/>
  <c r="V158" i="36"/>
  <c r="V159" i="36" s="1"/>
  <c r="S114" i="36"/>
  <c r="K136" i="36"/>
  <c r="L136" i="36"/>
  <c r="J136" i="36"/>
  <c r="M136" i="36"/>
  <c r="M175" i="36"/>
  <c r="Q173" i="36"/>
  <c r="T136" i="36"/>
  <c r="V136" i="36"/>
  <c r="S117" i="36"/>
  <c r="C175" i="36"/>
  <c r="R136" i="36"/>
  <c r="F136" i="36"/>
  <c r="P136" i="36"/>
  <c r="R198" i="36"/>
  <c r="R229" i="36" s="1"/>
  <c r="W198" i="36"/>
  <c r="W199" i="36" s="1"/>
  <c r="Q136" i="36"/>
  <c r="W158" i="36"/>
  <c r="W159" i="36" s="1"/>
  <c r="L158" i="36"/>
  <c r="L159" i="36" s="1"/>
  <c r="F198" i="36"/>
  <c r="F199" i="36" s="1"/>
  <c r="E117" i="36"/>
  <c r="L137" i="36"/>
  <c r="P117" i="36"/>
  <c r="W113" i="36"/>
  <c r="E125" i="36"/>
  <c r="J137" i="36"/>
  <c r="N137" i="36"/>
  <c r="G137" i="36"/>
  <c r="M117" i="36"/>
  <c r="L125" i="36"/>
  <c r="W125" i="36"/>
  <c r="F137" i="36"/>
  <c r="F125" i="36"/>
  <c r="S175" i="36"/>
  <c r="J123" i="36"/>
  <c r="P66" i="36"/>
  <c r="Q137" i="36"/>
  <c r="S137" i="36"/>
  <c r="E137" i="36"/>
  <c r="J198" i="36"/>
  <c r="J229" i="36" s="1"/>
  <c r="P125" i="36"/>
  <c r="K158" i="36"/>
  <c r="K159" i="36" s="1"/>
  <c r="V125" i="36"/>
  <c r="Q125" i="36"/>
  <c r="C117" i="36"/>
  <c r="S125" i="36"/>
  <c r="J125" i="36"/>
  <c r="K125" i="36"/>
  <c r="R125" i="36"/>
  <c r="I175" i="36"/>
  <c r="K137" i="36"/>
  <c r="O137" i="36"/>
  <c r="V137" i="36"/>
  <c r="O125" i="36"/>
  <c r="N125" i="36"/>
  <c r="C158" i="36"/>
  <c r="C159" i="36" s="1"/>
  <c r="N117" i="36"/>
  <c r="I198" i="36"/>
  <c r="I229" i="36" s="1"/>
  <c r="T125" i="36"/>
  <c r="V123" i="36"/>
  <c r="G117" i="36"/>
  <c r="C125" i="36"/>
  <c r="D125" i="36"/>
  <c r="G125" i="36"/>
  <c r="H125" i="36"/>
  <c r="R175" i="36"/>
  <c r="R123" i="36"/>
  <c r="I137" i="36"/>
  <c r="R137" i="36"/>
  <c r="P137" i="36"/>
  <c r="D67" i="36"/>
  <c r="J175" i="36"/>
  <c r="P175" i="36"/>
  <c r="N175" i="36"/>
  <c r="V67" i="36"/>
  <c r="E175" i="36"/>
  <c r="F175" i="36"/>
  <c r="T175" i="36"/>
  <c r="K175" i="36"/>
  <c r="O175" i="36"/>
  <c r="L175" i="36"/>
  <c r="V175" i="36"/>
  <c r="N67" i="36"/>
  <c r="G175" i="36"/>
  <c r="D175" i="36"/>
  <c r="Q175" i="36"/>
  <c r="T67" i="36"/>
  <c r="U67" i="36"/>
  <c r="W175" i="36"/>
  <c r="M67" i="36"/>
  <c r="E158" i="36"/>
  <c r="E159" i="36" s="1"/>
  <c r="G158" i="36"/>
  <c r="G159" i="36" s="1"/>
  <c r="N123" i="36"/>
  <c r="E123" i="36"/>
  <c r="C123" i="36"/>
  <c r="G123" i="36"/>
  <c r="U64" i="36"/>
  <c r="S123" i="36"/>
  <c r="P123" i="36"/>
  <c r="I123" i="36"/>
  <c r="U158" i="36"/>
  <c r="U159" i="36" s="1"/>
  <c r="N158" i="36"/>
  <c r="N225" i="36" s="1"/>
  <c r="K198" i="36"/>
  <c r="K229" i="36" s="1"/>
  <c r="J113" i="36"/>
  <c r="T66" i="36"/>
  <c r="D113" i="36"/>
  <c r="S113" i="36"/>
  <c r="U113" i="36"/>
  <c r="N113" i="36"/>
  <c r="E66" i="36"/>
  <c r="G66" i="36"/>
  <c r="D66" i="36"/>
  <c r="M66" i="36"/>
  <c r="R66" i="36"/>
  <c r="T113" i="36"/>
  <c r="P113" i="36"/>
  <c r="T123" i="36"/>
  <c r="L123" i="36"/>
  <c r="O66" i="36"/>
  <c r="F123" i="36"/>
  <c r="D143" i="36"/>
  <c r="R113" i="36"/>
  <c r="L113" i="36"/>
  <c r="U123" i="36"/>
  <c r="O123" i="36"/>
  <c r="W123" i="36"/>
  <c r="L66" i="36"/>
  <c r="H66" i="36"/>
  <c r="N66" i="36"/>
  <c r="S66" i="36"/>
  <c r="J143" i="36"/>
  <c r="O113" i="36"/>
  <c r="C113" i="36"/>
  <c r="Q113" i="36"/>
  <c r="J66" i="36"/>
  <c r="Q66" i="36"/>
  <c r="M123" i="36"/>
  <c r="E113" i="36"/>
  <c r="H113" i="36"/>
  <c r="G113" i="36"/>
  <c r="I113" i="36"/>
  <c r="K113" i="36"/>
  <c r="U66" i="36"/>
  <c r="C66" i="36"/>
  <c r="V66" i="36"/>
  <c r="M113" i="36"/>
  <c r="F113" i="36"/>
  <c r="Q123" i="36"/>
  <c r="K123" i="36"/>
  <c r="W66" i="36"/>
  <c r="K66" i="36"/>
  <c r="F66" i="36"/>
  <c r="Q158" i="36"/>
  <c r="Q159" i="36" s="1"/>
  <c r="L143" i="36"/>
  <c r="G143" i="36"/>
  <c r="S143" i="36"/>
  <c r="R158" i="36"/>
  <c r="R159" i="36" s="1"/>
  <c r="F64" i="36"/>
  <c r="G64" i="36"/>
  <c r="C65" i="36"/>
  <c r="M64" i="36"/>
  <c r="D64" i="36"/>
  <c r="Q64" i="36"/>
  <c r="R64" i="36"/>
  <c r="I64" i="36"/>
  <c r="E64" i="36"/>
  <c r="G65" i="36"/>
  <c r="P64" i="36"/>
  <c r="S64" i="36"/>
  <c r="P146" i="36"/>
  <c r="N64" i="36"/>
  <c r="H65" i="36"/>
  <c r="J64" i="36"/>
  <c r="H64" i="36"/>
  <c r="C64" i="36"/>
  <c r="V64" i="36"/>
  <c r="L64" i="36"/>
  <c r="T64" i="36"/>
  <c r="K64" i="36"/>
  <c r="O64" i="36"/>
  <c r="R167" i="36"/>
  <c r="S167" i="36"/>
  <c r="U167" i="36"/>
  <c r="W173" i="36"/>
  <c r="M173" i="36"/>
  <c r="H173" i="36"/>
  <c r="I167" i="36"/>
  <c r="C167" i="36"/>
  <c r="T167" i="36"/>
  <c r="P173" i="36"/>
  <c r="E173" i="36"/>
  <c r="T173" i="36"/>
  <c r="L167" i="36"/>
  <c r="Q167" i="36"/>
  <c r="F167" i="36"/>
  <c r="K173" i="36"/>
  <c r="C173" i="36"/>
  <c r="N167" i="36"/>
  <c r="O167" i="36"/>
  <c r="N173" i="36"/>
  <c r="V173" i="36"/>
  <c r="K167" i="36"/>
  <c r="V167" i="36"/>
  <c r="R173" i="36"/>
  <c r="L173" i="36"/>
  <c r="D167" i="36"/>
  <c r="E167" i="36"/>
  <c r="J173" i="36"/>
  <c r="U173" i="36"/>
  <c r="O173" i="36"/>
  <c r="J167" i="36"/>
  <c r="P167" i="36"/>
  <c r="D173" i="36"/>
  <c r="S173" i="36"/>
  <c r="W117" i="36"/>
  <c r="R117" i="36"/>
  <c r="L117" i="36"/>
  <c r="Q117" i="36"/>
  <c r="U117" i="36"/>
  <c r="K117" i="36"/>
  <c r="T117" i="36"/>
  <c r="H117" i="36"/>
  <c r="V117" i="36"/>
  <c r="F117" i="36"/>
  <c r="D117" i="36"/>
  <c r="I117" i="36"/>
  <c r="J117" i="36"/>
  <c r="H164" i="36"/>
  <c r="U164" i="36"/>
  <c r="E164" i="36"/>
  <c r="J164" i="36"/>
  <c r="Q164" i="36"/>
  <c r="T164" i="36"/>
  <c r="K164" i="36"/>
  <c r="Q143" i="36"/>
  <c r="V145" i="36"/>
  <c r="H145" i="36"/>
  <c r="L65" i="36"/>
  <c r="R65" i="36"/>
  <c r="V65" i="36"/>
  <c r="K65" i="36"/>
  <c r="T65" i="36"/>
  <c r="Q65" i="36"/>
  <c r="D65" i="36"/>
  <c r="I65" i="36"/>
  <c r="F65" i="36"/>
  <c r="S65" i="36"/>
  <c r="U65" i="36"/>
  <c r="N65" i="36"/>
  <c r="W65" i="36"/>
  <c r="J65" i="36"/>
  <c r="E65" i="36"/>
  <c r="Q177" i="36"/>
  <c r="P143" i="36"/>
  <c r="W177" i="36"/>
  <c r="F177" i="36"/>
  <c r="I143" i="36"/>
  <c r="M65" i="36"/>
  <c r="O65" i="36"/>
  <c r="N146" i="36"/>
  <c r="Q114" i="36"/>
  <c r="J176" i="36"/>
  <c r="C67" i="36"/>
  <c r="Q67" i="36"/>
  <c r="W147" i="36"/>
  <c r="L176" i="36"/>
  <c r="F67" i="36"/>
  <c r="R67" i="36"/>
  <c r="K176" i="36"/>
  <c r="H67" i="36"/>
  <c r="G67" i="36"/>
  <c r="I67" i="36"/>
  <c r="J67" i="36"/>
  <c r="O67" i="36"/>
  <c r="S67" i="36"/>
  <c r="E67" i="36"/>
  <c r="O114" i="36"/>
  <c r="L67" i="36"/>
  <c r="P67" i="36"/>
  <c r="R177" i="36"/>
  <c r="V177" i="36"/>
  <c r="N177" i="36"/>
  <c r="Q165" i="36"/>
  <c r="O177" i="36"/>
  <c r="D177" i="36"/>
  <c r="J165" i="36"/>
  <c r="P177" i="36"/>
  <c r="E177" i="36"/>
  <c r="J177" i="36"/>
  <c r="C177" i="36"/>
  <c r="K177" i="36"/>
  <c r="G177" i="36"/>
  <c r="K165" i="36"/>
  <c r="P165" i="36"/>
  <c r="M177" i="36"/>
  <c r="S177" i="36"/>
  <c r="I177" i="36"/>
  <c r="T165" i="36"/>
  <c r="L177" i="36"/>
  <c r="T177" i="36"/>
  <c r="U177" i="36"/>
  <c r="BI61" i="23"/>
  <c r="CA61" i="23" s="1"/>
  <c r="H176" i="36"/>
  <c r="E176" i="36"/>
  <c r="R176" i="36"/>
  <c r="E147" i="36"/>
  <c r="U176" i="36"/>
  <c r="O176" i="36"/>
  <c r="K147" i="36"/>
  <c r="F176" i="36"/>
  <c r="P147" i="36"/>
  <c r="D147" i="36"/>
  <c r="F147" i="36"/>
  <c r="C176" i="36"/>
  <c r="T176" i="36"/>
  <c r="G147" i="36"/>
  <c r="J147" i="36"/>
  <c r="V147" i="36"/>
  <c r="S147" i="36"/>
  <c r="M147" i="36"/>
  <c r="N147" i="36"/>
  <c r="S176" i="36"/>
  <c r="I176" i="36"/>
  <c r="D176" i="36"/>
  <c r="C147" i="36"/>
  <c r="H147" i="36"/>
  <c r="P176" i="36"/>
  <c r="M176" i="36"/>
  <c r="W176" i="36"/>
  <c r="L147" i="36"/>
  <c r="O147" i="36"/>
  <c r="Q147" i="36"/>
  <c r="G176" i="36"/>
  <c r="N176" i="36"/>
  <c r="Q176" i="36"/>
  <c r="R147" i="36"/>
  <c r="I147" i="36"/>
  <c r="K67" i="36"/>
  <c r="I145" i="36"/>
  <c r="W145" i="36"/>
  <c r="S145" i="36"/>
  <c r="M145" i="36"/>
  <c r="E145" i="36"/>
  <c r="J145" i="36"/>
  <c r="G165" i="36"/>
  <c r="U165" i="36"/>
  <c r="R165" i="36"/>
  <c r="F146" i="36"/>
  <c r="C146" i="36"/>
  <c r="O146" i="36"/>
  <c r="V146" i="36"/>
  <c r="H165" i="36"/>
  <c r="L165" i="36"/>
  <c r="F165" i="36"/>
  <c r="J146" i="36"/>
  <c r="R146" i="36"/>
  <c r="H146" i="36"/>
  <c r="E146" i="36"/>
  <c r="I146" i="36"/>
  <c r="M146" i="36"/>
  <c r="W146" i="36"/>
  <c r="S146" i="36"/>
  <c r="V165" i="36"/>
  <c r="I165" i="36"/>
  <c r="W165" i="36"/>
  <c r="L146" i="36"/>
  <c r="D146" i="36"/>
  <c r="N165" i="36"/>
  <c r="O165" i="36"/>
  <c r="S165" i="36"/>
  <c r="U146" i="36"/>
  <c r="Q146" i="36"/>
  <c r="K146" i="36"/>
  <c r="C165" i="36"/>
  <c r="E165" i="36"/>
  <c r="M165" i="36"/>
  <c r="G146" i="36"/>
  <c r="V114" i="36"/>
  <c r="H114" i="36"/>
  <c r="C114" i="36"/>
  <c r="U114" i="36"/>
  <c r="T114" i="36"/>
  <c r="R114" i="36"/>
  <c r="N114" i="36"/>
  <c r="J114" i="36"/>
  <c r="G114" i="36"/>
  <c r="D114" i="36"/>
  <c r="F114" i="36"/>
  <c r="M114" i="36"/>
  <c r="I114" i="36"/>
  <c r="L114" i="36"/>
  <c r="W114" i="36"/>
  <c r="K114" i="36"/>
  <c r="T147" i="36"/>
  <c r="T145" i="36"/>
  <c r="F145" i="36"/>
  <c r="Q145" i="36"/>
  <c r="D145" i="36"/>
  <c r="N145" i="36"/>
  <c r="L145" i="36"/>
  <c r="P145" i="36"/>
  <c r="K145" i="36"/>
  <c r="R145" i="36"/>
  <c r="G145" i="36"/>
  <c r="O145" i="36"/>
  <c r="C145" i="36"/>
  <c r="W143" i="36"/>
  <c r="H143" i="36"/>
  <c r="C143" i="36"/>
  <c r="F143" i="36"/>
  <c r="O143" i="36"/>
  <c r="E143" i="36"/>
  <c r="R143" i="36"/>
  <c r="K143" i="36"/>
  <c r="N143" i="36"/>
  <c r="U143" i="36"/>
  <c r="M143" i="36"/>
  <c r="V143" i="36"/>
  <c r="CC55" i="23"/>
  <c r="BK68" i="23"/>
  <c r="CC68" i="23" s="1"/>
  <c r="BK67" i="23"/>
  <c r="CC67" i="23" s="1"/>
  <c r="BI70" i="23"/>
  <c r="CA70" i="23" s="1"/>
  <c r="BI57" i="23"/>
  <c r="CA57" i="23" s="1"/>
  <c r="BK61" i="23"/>
  <c r="CC61" i="23" s="1"/>
  <c r="BI54" i="23"/>
  <c r="CA54" i="23" s="1"/>
  <c r="BI55" i="23"/>
  <c r="CA55" i="23" s="1"/>
  <c r="BI62" i="23"/>
  <c r="CA62" i="23" s="1"/>
  <c r="BK69" i="23"/>
  <c r="CC69" i="23" s="1"/>
  <c r="BK51" i="23"/>
  <c r="CC51" i="23" s="1"/>
  <c r="BI59" i="23"/>
  <c r="CA59" i="23" s="1"/>
  <c r="BI51" i="23"/>
  <c r="CA51" i="23" s="1"/>
  <c r="BK63" i="23"/>
  <c r="CC63" i="23" s="1"/>
  <c r="BI52" i="23"/>
  <c r="CA52" i="23" s="1"/>
  <c r="BI67" i="23"/>
  <c r="CA67" i="23" s="1"/>
  <c r="BK70" i="23"/>
  <c r="CC70" i="23" s="1"/>
  <c r="BI63" i="23"/>
  <c r="CA63" i="23" s="1"/>
  <c r="BI66" i="23"/>
  <c r="CA66" i="23" s="1"/>
  <c r="BK53" i="23"/>
  <c r="CC53" i="23" s="1"/>
  <c r="BI68" i="23"/>
  <c r="CA68" i="23" s="1"/>
  <c r="BI65" i="23"/>
  <c r="CA65" i="23" s="1"/>
  <c r="BK64" i="23"/>
  <c r="CC64" i="23" s="1"/>
  <c r="BK56" i="23"/>
  <c r="CC56" i="23" s="1"/>
  <c r="BI58" i="23"/>
  <c r="CA58" i="23" s="1"/>
  <c r="BI56" i="23"/>
  <c r="CA56" i="23" s="1"/>
  <c r="BK66" i="23"/>
  <c r="CC66" i="23" s="1"/>
  <c r="BK60" i="23"/>
  <c r="CC60" i="23" s="1"/>
  <c r="AK124" i="19"/>
  <c r="AE124" i="19"/>
  <c r="AK128" i="19"/>
  <c r="AE128" i="19"/>
  <c r="AK135" i="19"/>
  <c r="AE135" i="19"/>
  <c r="CA64" i="23"/>
  <c r="AK119" i="19"/>
  <c r="AE119" i="19"/>
  <c r="BK59" i="23"/>
  <c r="CC59" i="23" s="1"/>
  <c r="BK58" i="23"/>
  <c r="CC58" i="23" s="1"/>
  <c r="AK107" i="19"/>
  <c r="AE107" i="19"/>
  <c r="BI69" i="23"/>
  <c r="CA69" i="23" s="1"/>
  <c r="BI60" i="23"/>
  <c r="CA60" i="23" s="1"/>
  <c r="BI53" i="23"/>
  <c r="CA53" i="23" s="1"/>
  <c r="BK62" i="23"/>
  <c r="CC62" i="23" s="1"/>
  <c r="BK54" i="23"/>
  <c r="CC54" i="23" s="1"/>
  <c r="BL88" i="23"/>
  <c r="BL80" i="23"/>
  <c r="BL87" i="23"/>
  <c r="BL46" i="23"/>
  <c r="BL54" i="23" s="1"/>
  <c r="BL73" i="23"/>
  <c r="BL74" i="23"/>
  <c r="BL90" i="23"/>
  <c r="BL84" i="23"/>
  <c r="BL83" i="23"/>
  <c r="BL49" i="23"/>
  <c r="BL81" i="23"/>
  <c r="BL75" i="23"/>
  <c r="BL79" i="23"/>
  <c r="BL86" i="23"/>
  <c r="BL78" i="23"/>
  <c r="BL82" i="23"/>
  <c r="BL89" i="23"/>
  <c r="BL85" i="23"/>
  <c r="BL92" i="23"/>
  <c r="BL91" i="23"/>
  <c r="BL77" i="23"/>
  <c r="BL76" i="23"/>
  <c r="AK115" i="19"/>
  <c r="AE115" i="19"/>
  <c r="BJ89" i="23"/>
  <c r="BJ76" i="23"/>
  <c r="BJ82" i="23"/>
  <c r="BJ85" i="23"/>
  <c r="BJ91" i="23"/>
  <c r="BJ88" i="23"/>
  <c r="BJ77" i="23"/>
  <c r="BJ86" i="23"/>
  <c r="BJ83" i="23"/>
  <c r="BJ49" i="23"/>
  <c r="BJ90" i="23"/>
  <c r="BJ74" i="23"/>
  <c r="BJ87" i="23"/>
  <c r="BJ81" i="23"/>
  <c r="BJ84" i="23"/>
  <c r="BJ75" i="23"/>
  <c r="BJ46" i="23"/>
  <c r="BJ60" i="23" s="1"/>
  <c r="BJ80" i="23"/>
  <c r="BJ92" i="23"/>
  <c r="BJ73" i="23"/>
  <c r="BJ78" i="23"/>
  <c r="BJ79" i="23"/>
  <c r="BK52" i="23"/>
  <c r="CC52" i="23" s="1"/>
  <c r="BK65" i="23"/>
  <c r="CC65" i="23" s="1"/>
  <c r="BK57" i="23"/>
  <c r="CC57" i="23" s="1"/>
  <c r="V88" i="36"/>
  <c r="V89" i="36" s="1"/>
  <c r="I88" i="36"/>
  <c r="I218" i="36" s="1"/>
  <c r="C88" i="36"/>
  <c r="C89" i="36" s="1"/>
  <c r="N88" i="36"/>
  <c r="N89" i="36" s="1"/>
  <c r="H88" i="36"/>
  <c r="H89" i="36" s="1"/>
  <c r="D88" i="36"/>
  <c r="D89" i="36" s="1"/>
  <c r="L88" i="36"/>
  <c r="L218" i="36" s="1"/>
  <c r="K88" i="36"/>
  <c r="K89" i="36" s="1"/>
  <c r="E88" i="36"/>
  <c r="E218" i="36" s="1"/>
  <c r="Q88" i="36"/>
  <c r="Q89" i="36" s="1"/>
  <c r="R88" i="36"/>
  <c r="R89" i="36" s="1"/>
  <c r="F88" i="36"/>
  <c r="F218" i="36" s="1"/>
  <c r="J88" i="36"/>
  <c r="J218" i="36" s="1"/>
  <c r="G88" i="36"/>
  <c r="G89" i="36" s="1"/>
  <c r="U88" i="36"/>
  <c r="U89" i="36" s="1"/>
  <c r="M88" i="36"/>
  <c r="M89" i="36" s="1"/>
  <c r="S88" i="36"/>
  <c r="S89" i="36" s="1"/>
  <c r="O88" i="36"/>
  <c r="O218" i="36" s="1"/>
  <c r="P88" i="36"/>
  <c r="P89" i="36" s="1"/>
  <c r="T88" i="36"/>
  <c r="T89" i="36" s="1"/>
  <c r="W88" i="36"/>
  <c r="W218" i="36" s="1"/>
  <c r="L98" i="36" l="1"/>
  <c r="L219" i="36" s="1"/>
  <c r="T98" i="36"/>
  <c r="T219" i="36" s="1"/>
  <c r="D98" i="36"/>
  <c r="D99" i="36" s="1"/>
  <c r="H98" i="36"/>
  <c r="H219" i="36" s="1"/>
  <c r="I98" i="36"/>
  <c r="I219" i="36" s="1"/>
  <c r="S98" i="36"/>
  <c r="S99" i="36" s="1"/>
  <c r="P98" i="36"/>
  <c r="P219" i="36" s="1"/>
  <c r="N98" i="36"/>
  <c r="N219" i="36" s="1"/>
  <c r="R98" i="36"/>
  <c r="R99" i="36" s="1"/>
  <c r="J98" i="36"/>
  <c r="J99" i="36" s="1"/>
  <c r="C98" i="36"/>
  <c r="C99" i="36" s="1"/>
  <c r="E98" i="36"/>
  <c r="E219" i="36" s="1"/>
  <c r="U98" i="36"/>
  <c r="U99" i="36" s="1"/>
  <c r="W98" i="36"/>
  <c r="W219" i="36" s="1"/>
  <c r="M98" i="36"/>
  <c r="M219" i="36" s="1"/>
  <c r="O98" i="36"/>
  <c r="O99" i="36" s="1"/>
  <c r="G98" i="36"/>
  <c r="G219" i="36" s="1"/>
  <c r="K98" i="36"/>
  <c r="K99" i="36" s="1"/>
  <c r="F98" i="36"/>
  <c r="F99" i="36" s="1"/>
  <c r="V98" i="36"/>
  <c r="V219" i="36" s="1"/>
  <c r="Q98" i="36"/>
  <c r="Q219" i="36" s="1"/>
  <c r="K58" i="36"/>
  <c r="K59" i="36" s="1"/>
  <c r="U108" i="36"/>
  <c r="U109" i="36" s="1"/>
  <c r="J58" i="36"/>
  <c r="J215" i="36" s="1"/>
  <c r="L58" i="36"/>
  <c r="L215" i="36" s="1"/>
  <c r="H58" i="36"/>
  <c r="H59" i="36" s="1"/>
  <c r="U128" i="36"/>
  <c r="U129" i="36" s="1"/>
  <c r="T58" i="36"/>
  <c r="T59" i="36" s="1"/>
  <c r="P108" i="36"/>
  <c r="P109" i="36" s="1"/>
  <c r="E58" i="36"/>
  <c r="E59" i="36" s="1"/>
  <c r="L108" i="36"/>
  <c r="L109" i="36" s="1"/>
  <c r="S108" i="36"/>
  <c r="S109" i="36" s="1"/>
  <c r="R108" i="36"/>
  <c r="R109" i="36" s="1"/>
  <c r="K108" i="36"/>
  <c r="K220" i="36" s="1"/>
  <c r="N58" i="36"/>
  <c r="N59" i="36" s="1"/>
  <c r="C108" i="36"/>
  <c r="C109" i="36" s="1"/>
  <c r="R58" i="36"/>
  <c r="R215" i="36" s="1"/>
  <c r="F58" i="36"/>
  <c r="F59" i="36" s="1"/>
  <c r="E199" i="36"/>
  <c r="W108" i="36"/>
  <c r="W109" i="36" s="1"/>
  <c r="O108" i="36"/>
  <c r="O109" i="36" s="1"/>
  <c r="H108" i="36"/>
  <c r="H109" i="36" s="1"/>
  <c r="V108" i="36"/>
  <c r="V109" i="36" s="1"/>
  <c r="Q108" i="36"/>
  <c r="Q109" i="36" s="1"/>
  <c r="L188" i="36"/>
  <c r="L228" i="36" s="1"/>
  <c r="N108" i="36"/>
  <c r="N109" i="36" s="1"/>
  <c r="G108" i="36"/>
  <c r="G109" i="36" s="1"/>
  <c r="F108" i="36"/>
  <c r="F220" i="36" s="1"/>
  <c r="D108" i="36"/>
  <c r="D220" i="36" s="1"/>
  <c r="I108" i="36"/>
  <c r="I109" i="36" s="1"/>
  <c r="T108" i="36"/>
  <c r="T109" i="36" s="1"/>
  <c r="P188" i="36"/>
  <c r="P189" i="36" s="1"/>
  <c r="J108" i="36"/>
  <c r="J220" i="36" s="1"/>
  <c r="G68" i="36"/>
  <c r="G216" i="36" s="1"/>
  <c r="E108" i="36"/>
  <c r="E109" i="36" s="1"/>
  <c r="Q229" i="36"/>
  <c r="M108" i="36"/>
  <c r="M220" i="36" s="1"/>
  <c r="P58" i="36"/>
  <c r="P215" i="36" s="1"/>
  <c r="I128" i="36"/>
  <c r="I129" i="36" s="1"/>
  <c r="M58" i="36"/>
  <c r="M215" i="36" s="1"/>
  <c r="V58" i="36"/>
  <c r="V215" i="36" s="1"/>
  <c r="W58" i="36"/>
  <c r="W59" i="36" s="1"/>
  <c r="U58" i="36"/>
  <c r="U215" i="36" s="1"/>
  <c r="T188" i="36"/>
  <c r="T189" i="36" s="1"/>
  <c r="I188" i="36"/>
  <c r="I189" i="36" s="1"/>
  <c r="G58" i="36"/>
  <c r="G215" i="36" s="1"/>
  <c r="Q58" i="36"/>
  <c r="Q215" i="36" s="1"/>
  <c r="T199" i="36"/>
  <c r="K188" i="36"/>
  <c r="K228" i="36" s="1"/>
  <c r="O58" i="36"/>
  <c r="O59" i="36" s="1"/>
  <c r="N78" i="36"/>
  <c r="N217" i="36" s="1"/>
  <c r="F188" i="36"/>
  <c r="F189" i="36" s="1"/>
  <c r="H188" i="36"/>
  <c r="H189" i="36" s="1"/>
  <c r="F78" i="36"/>
  <c r="F217" i="36" s="1"/>
  <c r="I58" i="36"/>
  <c r="I59" i="36" s="1"/>
  <c r="D58" i="36"/>
  <c r="D59" i="36" s="1"/>
  <c r="S58" i="36"/>
  <c r="S59" i="36" s="1"/>
  <c r="C58" i="36"/>
  <c r="C215" i="36" s="1"/>
  <c r="Q128" i="36"/>
  <c r="Q129" i="36" s="1"/>
  <c r="H128" i="36"/>
  <c r="H129" i="36" s="1"/>
  <c r="P199" i="36"/>
  <c r="Q188" i="36"/>
  <c r="Q189" i="36" s="1"/>
  <c r="C138" i="36"/>
  <c r="C139" i="36" s="1"/>
  <c r="M138" i="36"/>
  <c r="M139" i="36" s="1"/>
  <c r="E188" i="36"/>
  <c r="E189" i="36" s="1"/>
  <c r="H138" i="36"/>
  <c r="H139" i="36" s="1"/>
  <c r="N138" i="36"/>
  <c r="N139" i="36" s="1"/>
  <c r="V188" i="36"/>
  <c r="V189" i="36" s="1"/>
  <c r="C188" i="36"/>
  <c r="C228" i="36" s="1"/>
  <c r="N188" i="36"/>
  <c r="N189" i="36" s="1"/>
  <c r="U138" i="36"/>
  <c r="U223" i="36" s="1"/>
  <c r="O188" i="36"/>
  <c r="O189" i="36" s="1"/>
  <c r="W188" i="36"/>
  <c r="W189" i="36" s="1"/>
  <c r="D188" i="36"/>
  <c r="D189" i="36" s="1"/>
  <c r="S188" i="36"/>
  <c r="S189" i="36" s="1"/>
  <c r="J188" i="36"/>
  <c r="J189" i="36" s="1"/>
  <c r="U188" i="36"/>
  <c r="U189" i="36" s="1"/>
  <c r="R188" i="36"/>
  <c r="R189" i="36" s="1"/>
  <c r="G138" i="36"/>
  <c r="G139" i="36" s="1"/>
  <c r="M188" i="36"/>
  <c r="M189" i="36" s="1"/>
  <c r="G128" i="36"/>
  <c r="G129" i="36" s="1"/>
  <c r="W138" i="36"/>
  <c r="W223" i="36" s="1"/>
  <c r="E138" i="36"/>
  <c r="E139" i="36" s="1"/>
  <c r="G188" i="36"/>
  <c r="G189" i="36" s="1"/>
  <c r="Q78" i="36"/>
  <c r="Q217" i="36" s="1"/>
  <c r="V78" i="36"/>
  <c r="V217" i="36" s="1"/>
  <c r="W78" i="36"/>
  <c r="W217" i="36" s="1"/>
  <c r="R78" i="36"/>
  <c r="R217" i="36" s="1"/>
  <c r="J78" i="36"/>
  <c r="J79" i="36" s="1"/>
  <c r="C78" i="36"/>
  <c r="C217" i="36" s="1"/>
  <c r="G78" i="36"/>
  <c r="G217" i="36" s="1"/>
  <c r="P78" i="36"/>
  <c r="P79" i="36" s="1"/>
  <c r="H78" i="36"/>
  <c r="H79" i="36" s="1"/>
  <c r="E78" i="36"/>
  <c r="E79" i="36" s="1"/>
  <c r="S78" i="36"/>
  <c r="S217" i="36" s="1"/>
  <c r="D78" i="36"/>
  <c r="D79" i="36" s="1"/>
  <c r="U78" i="36"/>
  <c r="U217" i="36" s="1"/>
  <c r="I78" i="36"/>
  <c r="I79" i="36" s="1"/>
  <c r="K78" i="36"/>
  <c r="K79" i="36" s="1"/>
  <c r="O78" i="36"/>
  <c r="O217" i="36" s="1"/>
  <c r="L78" i="36"/>
  <c r="L217" i="36" s="1"/>
  <c r="F229" i="36"/>
  <c r="T78" i="36"/>
  <c r="T217" i="36" s="1"/>
  <c r="M78" i="36"/>
  <c r="M217" i="36" s="1"/>
  <c r="C199" i="36"/>
  <c r="O159" i="36"/>
  <c r="H225" i="36"/>
  <c r="L199" i="36"/>
  <c r="G199" i="36"/>
  <c r="G168" i="36"/>
  <c r="G169" i="36" s="1"/>
  <c r="I225" i="36"/>
  <c r="Q225" i="36"/>
  <c r="O229" i="36"/>
  <c r="J225" i="36"/>
  <c r="I138" i="36"/>
  <c r="I139" i="36" s="1"/>
  <c r="T138" i="36"/>
  <c r="T139" i="36" s="1"/>
  <c r="P225" i="36"/>
  <c r="L128" i="36"/>
  <c r="L129" i="36" s="1"/>
  <c r="S138" i="36"/>
  <c r="S139" i="36" s="1"/>
  <c r="V138" i="36"/>
  <c r="V223" i="36" s="1"/>
  <c r="S229" i="36"/>
  <c r="O138" i="36"/>
  <c r="O139" i="36" s="1"/>
  <c r="V168" i="36"/>
  <c r="V169" i="36" s="1"/>
  <c r="K138" i="36"/>
  <c r="K139" i="36" s="1"/>
  <c r="D138" i="36"/>
  <c r="D223" i="36" s="1"/>
  <c r="V229" i="36"/>
  <c r="I199" i="36"/>
  <c r="D159" i="36"/>
  <c r="D128" i="36"/>
  <c r="D129" i="36" s="1"/>
  <c r="T225" i="36"/>
  <c r="D168" i="36"/>
  <c r="D226" i="36" s="1"/>
  <c r="O128" i="36"/>
  <c r="O129" i="36" s="1"/>
  <c r="S159" i="36"/>
  <c r="H199" i="36"/>
  <c r="P128" i="36"/>
  <c r="P129" i="36" s="1"/>
  <c r="R128" i="36"/>
  <c r="R222" i="36" s="1"/>
  <c r="M68" i="36"/>
  <c r="M216" i="36" s="1"/>
  <c r="M225" i="36"/>
  <c r="L225" i="36"/>
  <c r="Q138" i="36"/>
  <c r="Q139" i="36" s="1"/>
  <c r="N68" i="36"/>
  <c r="N69" i="36" s="1"/>
  <c r="F225" i="36"/>
  <c r="M199" i="36"/>
  <c r="L168" i="36"/>
  <c r="L169" i="36" s="1"/>
  <c r="M128" i="36"/>
  <c r="M222" i="36" s="1"/>
  <c r="M168" i="36"/>
  <c r="M226" i="36" s="1"/>
  <c r="U229" i="36"/>
  <c r="R138" i="36"/>
  <c r="R139" i="36" s="1"/>
  <c r="V128" i="36"/>
  <c r="V222" i="36" s="1"/>
  <c r="C128" i="36"/>
  <c r="C129" i="36" s="1"/>
  <c r="L138" i="36"/>
  <c r="L139" i="36" s="1"/>
  <c r="N229" i="36"/>
  <c r="W225" i="36"/>
  <c r="D118" i="36"/>
  <c r="D119" i="36" s="1"/>
  <c r="S118" i="36"/>
  <c r="S221" i="36" s="1"/>
  <c r="D229" i="36"/>
  <c r="R225" i="36"/>
  <c r="J128" i="36"/>
  <c r="J222" i="36" s="1"/>
  <c r="V225" i="36"/>
  <c r="W168" i="36"/>
  <c r="W169" i="36" s="1"/>
  <c r="P138" i="36"/>
  <c r="P139" i="36" s="1"/>
  <c r="N128" i="36"/>
  <c r="N222" i="36" s="1"/>
  <c r="K128" i="36"/>
  <c r="K222" i="36" s="1"/>
  <c r="F138" i="36"/>
  <c r="F223" i="36" s="1"/>
  <c r="P118" i="36"/>
  <c r="P119" i="36" s="1"/>
  <c r="U225" i="36"/>
  <c r="R199" i="36"/>
  <c r="R168" i="36"/>
  <c r="R169" i="36" s="1"/>
  <c r="T128" i="36"/>
  <c r="T129" i="36" s="1"/>
  <c r="J199" i="36"/>
  <c r="C118" i="36"/>
  <c r="C221" i="36" s="1"/>
  <c r="K199" i="36"/>
  <c r="W229" i="36"/>
  <c r="T168" i="36"/>
  <c r="T169" i="36" s="1"/>
  <c r="T68" i="36"/>
  <c r="T69" i="36" s="1"/>
  <c r="K168" i="36"/>
  <c r="K169" i="36" s="1"/>
  <c r="E118" i="36"/>
  <c r="E119" i="36" s="1"/>
  <c r="S128" i="36"/>
  <c r="S129" i="36" s="1"/>
  <c r="J138" i="36"/>
  <c r="J139" i="36" s="1"/>
  <c r="C225" i="36"/>
  <c r="W128" i="36"/>
  <c r="W129" i="36" s="1"/>
  <c r="F128" i="36"/>
  <c r="F129" i="36" s="1"/>
  <c r="E128" i="36"/>
  <c r="E129" i="36" s="1"/>
  <c r="K225" i="36"/>
  <c r="N118" i="36"/>
  <c r="N119" i="36" s="1"/>
  <c r="V68" i="36"/>
  <c r="V69" i="36" s="1"/>
  <c r="K68" i="36"/>
  <c r="K69" i="36" s="1"/>
  <c r="L118" i="36"/>
  <c r="L221" i="36" s="1"/>
  <c r="H178" i="36"/>
  <c r="H179" i="36" s="1"/>
  <c r="G225" i="36"/>
  <c r="I118" i="36"/>
  <c r="I119" i="36" s="1"/>
  <c r="Q118" i="36"/>
  <c r="Q119" i="36" s="1"/>
  <c r="E225" i="36"/>
  <c r="M118" i="36"/>
  <c r="M119" i="36" s="1"/>
  <c r="O178" i="36"/>
  <c r="O179" i="36" s="1"/>
  <c r="D68" i="36"/>
  <c r="D69" i="36" s="1"/>
  <c r="N159" i="36"/>
  <c r="G118" i="36"/>
  <c r="G221" i="36" s="1"/>
  <c r="V178" i="36"/>
  <c r="V227" i="36" s="1"/>
  <c r="O118" i="36"/>
  <c r="O119" i="36" s="1"/>
  <c r="T118" i="36"/>
  <c r="T119" i="36" s="1"/>
  <c r="E68" i="36"/>
  <c r="E69" i="36" s="1"/>
  <c r="W68" i="36"/>
  <c r="W216" i="36" s="1"/>
  <c r="S168" i="36"/>
  <c r="S226" i="36" s="1"/>
  <c r="N168" i="36"/>
  <c r="N169" i="36" s="1"/>
  <c r="U68" i="36"/>
  <c r="U216" i="36" s="1"/>
  <c r="P178" i="36"/>
  <c r="P227" i="36" s="1"/>
  <c r="C68" i="36"/>
  <c r="C216" i="36" s="1"/>
  <c r="F118" i="36"/>
  <c r="F221" i="36" s="1"/>
  <c r="R118" i="36"/>
  <c r="R119" i="36" s="1"/>
  <c r="Q168" i="36"/>
  <c r="Q169" i="36" s="1"/>
  <c r="P68" i="36"/>
  <c r="P216" i="36" s="1"/>
  <c r="S178" i="36"/>
  <c r="S227" i="36" s="1"/>
  <c r="C168" i="36"/>
  <c r="C169" i="36" s="1"/>
  <c r="P168" i="36"/>
  <c r="P226" i="36" s="1"/>
  <c r="H68" i="36"/>
  <c r="H69" i="36" s="1"/>
  <c r="G178" i="36"/>
  <c r="G179" i="36" s="1"/>
  <c r="J68" i="36"/>
  <c r="J216" i="36" s="1"/>
  <c r="V118" i="36"/>
  <c r="V221" i="36" s="1"/>
  <c r="U168" i="36"/>
  <c r="U169" i="36" s="1"/>
  <c r="K118" i="36"/>
  <c r="K221" i="36" s="1"/>
  <c r="O168" i="36"/>
  <c r="O226" i="36" s="1"/>
  <c r="W118" i="36"/>
  <c r="W119" i="36" s="1"/>
  <c r="H168" i="36"/>
  <c r="H169" i="36" s="1"/>
  <c r="E178" i="36"/>
  <c r="E179" i="36" s="1"/>
  <c r="I168" i="36"/>
  <c r="I226" i="36" s="1"/>
  <c r="F168" i="36"/>
  <c r="F226" i="36" s="1"/>
  <c r="J118" i="36"/>
  <c r="J119" i="36" s="1"/>
  <c r="M178" i="36"/>
  <c r="M179" i="36" s="1"/>
  <c r="W178" i="36"/>
  <c r="W227" i="36" s="1"/>
  <c r="R68" i="36"/>
  <c r="R216" i="36" s="1"/>
  <c r="J178" i="36"/>
  <c r="J227" i="36" s="1"/>
  <c r="U118" i="36"/>
  <c r="U221" i="36" s="1"/>
  <c r="L68" i="36"/>
  <c r="L69" i="36" s="1"/>
  <c r="I178" i="36"/>
  <c r="I179" i="36" s="1"/>
  <c r="S68" i="36"/>
  <c r="S216" i="36" s="1"/>
  <c r="J168" i="36"/>
  <c r="J169" i="36" s="1"/>
  <c r="H118" i="36"/>
  <c r="H119" i="36" s="1"/>
  <c r="F68" i="36"/>
  <c r="F216" i="36" s="1"/>
  <c r="Q68" i="36"/>
  <c r="Q216" i="36" s="1"/>
  <c r="P148" i="36"/>
  <c r="P149" i="36" s="1"/>
  <c r="E168" i="36"/>
  <c r="E169" i="36" s="1"/>
  <c r="C178" i="36"/>
  <c r="C179" i="36" s="1"/>
  <c r="R178" i="36"/>
  <c r="R179" i="36" s="1"/>
  <c r="I68" i="36"/>
  <c r="I69" i="36" s="1"/>
  <c r="D178" i="36"/>
  <c r="D227" i="36" s="1"/>
  <c r="U178" i="36"/>
  <c r="U227" i="36" s="1"/>
  <c r="K178" i="36"/>
  <c r="K179" i="36" s="1"/>
  <c r="O68" i="36"/>
  <c r="O216" i="36" s="1"/>
  <c r="Q178" i="36"/>
  <c r="Q179" i="36" s="1"/>
  <c r="F178" i="36"/>
  <c r="F227" i="36" s="1"/>
  <c r="S148" i="36"/>
  <c r="S224" i="36" s="1"/>
  <c r="T178" i="36"/>
  <c r="T179" i="36" s="1"/>
  <c r="N148" i="36"/>
  <c r="N149" i="36" s="1"/>
  <c r="L178" i="36"/>
  <c r="L179" i="36" s="1"/>
  <c r="U148" i="36"/>
  <c r="U149" i="36" s="1"/>
  <c r="J148" i="36"/>
  <c r="J149" i="36" s="1"/>
  <c r="I148" i="36"/>
  <c r="I149" i="36" s="1"/>
  <c r="N178" i="36"/>
  <c r="N179" i="36" s="1"/>
  <c r="T148" i="36"/>
  <c r="T149" i="36" s="1"/>
  <c r="R148" i="36"/>
  <c r="R149" i="36" s="1"/>
  <c r="Q148" i="36"/>
  <c r="Q149" i="36" s="1"/>
  <c r="BJ61" i="23"/>
  <c r="CB61" i="23" s="1"/>
  <c r="BJ63" i="23"/>
  <c r="CB63" i="23" s="1"/>
  <c r="E148" i="36"/>
  <c r="E149" i="36" s="1"/>
  <c r="C148" i="36"/>
  <c r="C149" i="36" s="1"/>
  <c r="H148" i="36"/>
  <c r="H224" i="36" s="1"/>
  <c r="L148" i="36"/>
  <c r="L149" i="36" s="1"/>
  <c r="G148" i="36"/>
  <c r="G224" i="36" s="1"/>
  <c r="W148" i="36"/>
  <c r="W149" i="36" s="1"/>
  <c r="D148" i="36"/>
  <c r="D149" i="36" s="1"/>
  <c r="V148" i="36"/>
  <c r="V149" i="36" s="1"/>
  <c r="M148" i="36"/>
  <c r="M224" i="36" s="1"/>
  <c r="F148" i="36"/>
  <c r="F224" i="36" s="1"/>
  <c r="K148" i="36"/>
  <c r="K149" i="36" s="1"/>
  <c r="O148" i="36"/>
  <c r="O149" i="36" s="1"/>
  <c r="BJ70" i="23"/>
  <c r="CB70" i="23" s="1"/>
  <c r="BJ66" i="23"/>
  <c r="CB66" i="23" s="1"/>
  <c r="BJ51" i="23"/>
  <c r="CB51" i="23" s="1"/>
  <c r="BJ56" i="23"/>
  <c r="CB56" i="23" s="1"/>
  <c r="BJ67" i="23"/>
  <c r="CB67" i="23" s="1"/>
  <c r="BL52" i="23"/>
  <c r="CD52" i="23" s="1"/>
  <c r="BJ55" i="23"/>
  <c r="CB55" i="23" s="1"/>
  <c r="BJ68" i="23"/>
  <c r="CB68" i="23" s="1"/>
  <c r="BJ69" i="23"/>
  <c r="CB69" i="23" s="1"/>
  <c r="BJ59" i="23"/>
  <c r="CB59" i="23" s="1"/>
  <c r="BJ65" i="23"/>
  <c r="CB65" i="23" s="1"/>
  <c r="CD54" i="23"/>
  <c r="BJ58" i="23"/>
  <c r="CB58" i="23" s="1"/>
  <c r="BJ57" i="23"/>
  <c r="CB57" i="23" s="1"/>
  <c r="BJ52" i="23"/>
  <c r="CB52" i="23" s="1"/>
  <c r="BJ62" i="23"/>
  <c r="CB62" i="23" s="1"/>
  <c r="BJ53" i="23"/>
  <c r="CB53" i="23" s="1"/>
  <c r="F79" i="36"/>
  <c r="BL51" i="23"/>
  <c r="CD51" i="23" s="1"/>
  <c r="BJ54" i="23"/>
  <c r="CB54" i="23" s="1"/>
  <c r="BJ64" i="23"/>
  <c r="CB64" i="23" s="1"/>
  <c r="BL57" i="23"/>
  <c r="CD57" i="23" s="1"/>
  <c r="BL70" i="23"/>
  <c r="CD70" i="23" s="1"/>
  <c r="BL68" i="23"/>
  <c r="CD68" i="23" s="1"/>
  <c r="BL60" i="23"/>
  <c r="CD60" i="23" s="1"/>
  <c r="BL64" i="23"/>
  <c r="CD64" i="23" s="1"/>
  <c r="BL67" i="23"/>
  <c r="CD67" i="23" s="1"/>
  <c r="BL55" i="23"/>
  <c r="CD55" i="23" s="1"/>
  <c r="CB60" i="23"/>
  <c r="BL62" i="23"/>
  <c r="CD62" i="23" s="1"/>
  <c r="BL69" i="23"/>
  <c r="CD69" i="23" s="1"/>
  <c r="BL56" i="23"/>
  <c r="CD56" i="23" s="1"/>
  <c r="BL61" i="23"/>
  <c r="CD61" i="23" s="1"/>
  <c r="BL59" i="23"/>
  <c r="CD59" i="23" s="1"/>
  <c r="BL63" i="23"/>
  <c r="CD63" i="23" s="1"/>
  <c r="BL58" i="23"/>
  <c r="CD58" i="23" s="1"/>
  <c r="BL66" i="23"/>
  <c r="CD66" i="23" s="1"/>
  <c r="BL65" i="23"/>
  <c r="CD65" i="23" s="1"/>
  <c r="BL53" i="23"/>
  <c r="CD53" i="23" s="1"/>
  <c r="V218" i="36"/>
  <c r="I89" i="36"/>
  <c r="C218" i="36"/>
  <c r="J89" i="36"/>
  <c r="N218" i="36"/>
  <c r="H218" i="36"/>
  <c r="D218" i="36"/>
  <c r="E89" i="36"/>
  <c r="L89" i="36"/>
  <c r="K218" i="36"/>
  <c r="Q218" i="36"/>
  <c r="R218" i="36"/>
  <c r="U218" i="36"/>
  <c r="P218" i="36"/>
  <c r="T218" i="36"/>
  <c r="W89" i="36"/>
  <c r="G218" i="36"/>
  <c r="M218" i="36"/>
  <c r="F89" i="36"/>
  <c r="S218" i="36"/>
  <c r="O89" i="36"/>
  <c r="AI86" i="20" a="1"/>
  <c r="AJ97" i="20" a="1"/>
  <c r="Y95" i="20" a="1"/>
  <c r="AD84" i="20" a="1"/>
  <c r="AJ91" i="20" a="1"/>
  <c r="W83" i="20" a="1"/>
  <c r="Y91" i="20" a="1"/>
  <c r="X86" i="20" a="1"/>
  <c r="Y85" i="20" a="1"/>
  <c r="Y93" i="20" a="1"/>
  <c r="Z96" i="20" a="1"/>
  <c r="Y86" i="20" a="1"/>
  <c r="AH94" i="20" a="1"/>
  <c r="AI96" i="20" a="1"/>
  <c r="Z84" i="20" a="1"/>
  <c r="W97" i="20" a="1"/>
  <c r="AC84" i="20" a="1"/>
  <c r="AD83" i="20" a="1"/>
  <c r="AC83" i="20" a="1"/>
  <c r="AI87" i="20" a="1"/>
  <c r="AJ94" i="20" a="1"/>
  <c r="AA95" i="20" a="1"/>
  <c r="AC92" i="20" a="1"/>
  <c r="AC95" i="20" a="1"/>
  <c r="AD96" i="20" a="1"/>
  <c r="AD94" i="20" a="1"/>
  <c r="AI84" i="20" a="1"/>
  <c r="Y83" i="20" a="1"/>
  <c r="AJ83" i="20" a="1"/>
  <c r="AJ95" i="20" a="1"/>
  <c r="AH92" i="20" a="1"/>
  <c r="AC96" i="20" a="1"/>
  <c r="X88" i="20" a="1"/>
  <c r="X90" i="20" a="1"/>
  <c r="AC93" i="20" a="1"/>
  <c r="AI90" i="20" a="1"/>
  <c r="AB87" i="20" a="1"/>
  <c r="AI94" i="20" a="1"/>
  <c r="Z87" i="20" a="1"/>
  <c r="X87" i="20" a="1"/>
  <c r="Z85" i="20" a="1"/>
  <c r="Z94" i="20" a="1"/>
  <c r="AD95" i="20" a="1"/>
  <c r="W88" i="20" a="1"/>
  <c r="X95" i="20" a="1"/>
  <c r="AI93" i="20" a="1"/>
  <c r="AB95" i="20" a="1"/>
  <c r="AD89" i="20" a="1"/>
  <c r="W86" i="20" a="1"/>
  <c r="Z93" i="20" a="1"/>
  <c r="X85" i="20" a="1"/>
  <c r="Z89" i="20" a="1"/>
  <c r="AJ90" i="20" a="1"/>
  <c r="AD90" i="20" a="1"/>
  <c r="Y94" i="20" a="1"/>
  <c r="AC97" i="20" a="1"/>
  <c r="W95" i="20" a="1"/>
  <c r="Z90" i="20" a="1"/>
  <c r="AH90" i="20" a="1"/>
  <c r="AI95" i="20" a="1"/>
  <c r="W96" i="20" a="1"/>
  <c r="X83" i="20" a="1"/>
  <c r="AG83" i="20" a="1"/>
  <c r="AC87" i="20" a="1"/>
  <c r="Y90" i="20" a="1"/>
  <c r="AD85" i="20" a="1"/>
  <c r="AJ92" i="20" a="1"/>
  <c r="AB85" i="20" a="1"/>
  <c r="AE87" i="20" a="1"/>
  <c r="AJ86" i="20" a="1"/>
  <c r="AC86" i="20" a="1"/>
  <c r="Y96" i="20" a="1"/>
  <c r="W93" i="20" a="1"/>
  <c r="X89" i="20" a="1"/>
  <c r="W87" i="20" a="1"/>
  <c r="AI92" i="20" a="1"/>
  <c r="X84" i="20" a="1"/>
  <c r="Y87" i="20" a="1"/>
  <c r="AF88" i="20" a="1"/>
  <c r="AD87" i="20" a="1"/>
  <c r="Y88" i="20" a="1"/>
  <c r="AD91" i="20" a="1"/>
  <c r="AI89" i="20" a="1"/>
  <c r="W90" i="20" a="1"/>
  <c r="AC90" i="20" a="1"/>
  <c r="AI85" i="20" a="1"/>
  <c r="AF90" i="20" a="1"/>
  <c r="W85" i="20" a="1"/>
  <c r="AI97" i="20" a="1"/>
  <c r="W91" i="20" a="1"/>
  <c r="Y89" i="20" a="1"/>
  <c r="X91" i="20" a="1"/>
  <c r="AJ89" i="20" a="1"/>
  <c r="AD97" i="20" a="1"/>
  <c r="AC88" i="20" a="1"/>
  <c r="Y84" i="20" a="1"/>
  <c r="Z91" i="20" a="1"/>
  <c r="X97" i="20" a="1"/>
  <c r="AI83" i="20" a="1"/>
  <c r="Z97" i="20" a="1"/>
  <c r="AB84" i="20" a="1"/>
  <c r="AJ88" i="20" a="1"/>
  <c r="AD88" i="20" a="1"/>
  <c r="AG94" i="20" a="1"/>
  <c r="W94" i="20" a="1"/>
  <c r="X94" i="20" a="1"/>
  <c r="X93" i="20" a="1"/>
  <c r="Z92" i="20" a="1"/>
  <c r="AC89" i="20" a="1"/>
  <c r="AC85" i="20" a="1"/>
  <c r="AI88" i="20" a="1"/>
  <c r="AG90" i="20" a="1"/>
  <c r="Y92" i="20" a="1"/>
  <c r="AB92" i="20" a="1"/>
  <c r="AF87" i="20" a="1"/>
  <c r="AJ93" i="20" a="1"/>
  <c r="W89" i="20" a="1"/>
  <c r="AJ87" i="20" a="1"/>
  <c r="Y97" i="20" a="1"/>
  <c r="W92" i="20" a="1"/>
  <c r="AA92" i="20" a="1"/>
  <c r="Z88" i="20" a="1"/>
  <c r="AD92" i="20" a="1"/>
  <c r="AJ96" i="20" a="1"/>
  <c r="X96" i="20" a="1"/>
  <c r="AC94" i="20" a="1"/>
  <c r="AD93" i="20" a="1"/>
  <c r="Z95" i="20" a="1"/>
  <c r="AI91" i="20" a="1"/>
  <c r="Z83" i="20" a="1"/>
  <c r="Z86" i="20" a="1"/>
  <c r="X92" i="20" a="1"/>
  <c r="AJ84" i="20" a="1"/>
  <c r="AD86" i="20" a="1"/>
  <c r="AC91" i="20" a="1"/>
  <c r="W84" i="20" a="1"/>
  <c r="AE90" i="20" a="1"/>
  <c r="AJ85" i="20" a="1"/>
  <c r="V99" i="36" l="1"/>
  <c r="T99" i="36"/>
  <c r="L99" i="36"/>
  <c r="D219" i="36"/>
  <c r="R219" i="36"/>
  <c r="J219" i="36"/>
  <c r="H99" i="36"/>
  <c r="I99" i="36"/>
  <c r="C219" i="36"/>
  <c r="M99" i="36"/>
  <c r="N99" i="36"/>
  <c r="U219" i="36"/>
  <c r="H215" i="36"/>
  <c r="W99" i="36"/>
  <c r="P99" i="36"/>
  <c r="S219" i="36"/>
  <c r="E99" i="36"/>
  <c r="K219" i="36"/>
  <c r="Q99" i="36"/>
  <c r="O219" i="36"/>
  <c r="F219" i="36"/>
  <c r="J59" i="36"/>
  <c r="G99" i="36"/>
  <c r="C220" i="36"/>
  <c r="K215" i="36"/>
  <c r="E215" i="36"/>
  <c r="U220" i="36"/>
  <c r="L59" i="36"/>
  <c r="P220" i="36"/>
  <c r="U222" i="36"/>
  <c r="L220" i="36"/>
  <c r="T215" i="36"/>
  <c r="S220" i="36"/>
  <c r="R220" i="36"/>
  <c r="N215" i="36"/>
  <c r="F215" i="36"/>
  <c r="K109" i="36"/>
  <c r="R59" i="36"/>
  <c r="W220" i="36"/>
  <c r="F109" i="36"/>
  <c r="O220" i="36"/>
  <c r="H220" i="36"/>
  <c r="I220" i="36"/>
  <c r="P59" i="36"/>
  <c r="P228" i="36"/>
  <c r="L189" i="36"/>
  <c r="Q220" i="36"/>
  <c r="V220" i="36"/>
  <c r="G69" i="36"/>
  <c r="G220" i="36"/>
  <c r="N220" i="36"/>
  <c r="T220" i="36"/>
  <c r="M109" i="36"/>
  <c r="D109" i="36"/>
  <c r="J109" i="36"/>
  <c r="I222" i="36"/>
  <c r="E220" i="36"/>
  <c r="M59" i="36"/>
  <c r="V59" i="36"/>
  <c r="G59" i="36"/>
  <c r="O215" i="36"/>
  <c r="I228" i="36"/>
  <c r="W215" i="36"/>
  <c r="U59" i="36"/>
  <c r="T228" i="36"/>
  <c r="C59" i="36"/>
  <c r="K189" i="36"/>
  <c r="Q228" i="36"/>
  <c r="R228" i="36"/>
  <c r="V79" i="36"/>
  <c r="N228" i="36"/>
  <c r="Q59" i="36"/>
  <c r="I215" i="36"/>
  <c r="C223" i="36"/>
  <c r="D215" i="36"/>
  <c r="C189" i="36"/>
  <c r="H228" i="36"/>
  <c r="P217" i="36"/>
  <c r="S215" i="36"/>
  <c r="Q222" i="36"/>
  <c r="F228" i="36"/>
  <c r="N223" i="36"/>
  <c r="H222" i="36"/>
  <c r="N79" i="36"/>
  <c r="H217" i="36"/>
  <c r="L79" i="36"/>
  <c r="Q79" i="36"/>
  <c r="U228" i="36"/>
  <c r="U79" i="36"/>
  <c r="E228" i="36"/>
  <c r="U139" i="36"/>
  <c r="W139" i="36"/>
  <c r="W228" i="36"/>
  <c r="H223" i="36"/>
  <c r="G222" i="36"/>
  <c r="J228" i="36"/>
  <c r="V228" i="36"/>
  <c r="G228" i="36"/>
  <c r="O79" i="36"/>
  <c r="M223" i="36"/>
  <c r="D228" i="36"/>
  <c r="O228" i="36"/>
  <c r="S79" i="36"/>
  <c r="G223" i="36"/>
  <c r="S228" i="36"/>
  <c r="M228" i="36"/>
  <c r="R79" i="36"/>
  <c r="W79" i="36"/>
  <c r="G79" i="36"/>
  <c r="K217" i="36"/>
  <c r="E223" i="36"/>
  <c r="I217" i="36"/>
  <c r="C79" i="36"/>
  <c r="J217" i="36"/>
  <c r="E217" i="36"/>
  <c r="G226" i="36"/>
  <c r="D217" i="36"/>
  <c r="S223" i="36"/>
  <c r="W226" i="36"/>
  <c r="M79" i="36"/>
  <c r="K223" i="36"/>
  <c r="L223" i="36"/>
  <c r="T79" i="36"/>
  <c r="P222" i="36"/>
  <c r="R129" i="36"/>
  <c r="L226" i="36"/>
  <c r="I223" i="36"/>
  <c r="T223" i="36"/>
  <c r="D139" i="36"/>
  <c r="T226" i="36"/>
  <c r="L222" i="36"/>
  <c r="U69" i="36"/>
  <c r="C222" i="36"/>
  <c r="F222" i="36"/>
  <c r="D169" i="36"/>
  <c r="D222" i="36"/>
  <c r="M69" i="36"/>
  <c r="V226" i="36"/>
  <c r="O223" i="36"/>
  <c r="N129" i="36"/>
  <c r="E221" i="36"/>
  <c r="M221" i="36"/>
  <c r="T216" i="36"/>
  <c r="V139" i="36"/>
  <c r="P221" i="36"/>
  <c r="O222" i="36"/>
  <c r="N216" i="36"/>
  <c r="S119" i="36"/>
  <c r="F169" i="36"/>
  <c r="Q221" i="36"/>
  <c r="Q223" i="36"/>
  <c r="M169" i="36"/>
  <c r="D221" i="36"/>
  <c r="S222" i="36"/>
  <c r="M129" i="36"/>
  <c r="P223" i="36"/>
  <c r="W222" i="36"/>
  <c r="V129" i="36"/>
  <c r="R223" i="36"/>
  <c r="G119" i="36"/>
  <c r="E222" i="36"/>
  <c r="W179" i="36"/>
  <c r="O169" i="36"/>
  <c r="C226" i="36"/>
  <c r="J129" i="36"/>
  <c r="C119" i="36"/>
  <c r="K129" i="36"/>
  <c r="F139" i="36"/>
  <c r="R226" i="36"/>
  <c r="H226" i="36"/>
  <c r="K226" i="36"/>
  <c r="O221" i="36"/>
  <c r="Q226" i="36"/>
  <c r="C227" i="36"/>
  <c r="V119" i="36"/>
  <c r="D216" i="36"/>
  <c r="V216" i="36"/>
  <c r="N221" i="36"/>
  <c r="L119" i="36"/>
  <c r="H216" i="36"/>
  <c r="K216" i="36"/>
  <c r="O227" i="36"/>
  <c r="T222" i="36"/>
  <c r="J223" i="36"/>
  <c r="I221" i="36"/>
  <c r="P169" i="36"/>
  <c r="H221" i="36"/>
  <c r="F69" i="36"/>
  <c r="H227" i="36"/>
  <c r="R69" i="36"/>
  <c r="U226" i="36"/>
  <c r="V179" i="36"/>
  <c r="W221" i="36"/>
  <c r="W69" i="36"/>
  <c r="P179" i="36"/>
  <c r="U179" i="36"/>
  <c r="I227" i="36"/>
  <c r="I169" i="36"/>
  <c r="L216" i="36"/>
  <c r="M149" i="36"/>
  <c r="T221" i="36"/>
  <c r="J69" i="36"/>
  <c r="E216" i="36"/>
  <c r="E226" i="36"/>
  <c r="U119" i="36"/>
  <c r="R221" i="36"/>
  <c r="C69" i="36"/>
  <c r="Q69" i="36"/>
  <c r="D179" i="36"/>
  <c r="N226" i="36"/>
  <c r="S169" i="36"/>
  <c r="S179" i="36"/>
  <c r="J221" i="36"/>
  <c r="K119" i="36"/>
  <c r="J226" i="36"/>
  <c r="S69" i="36"/>
  <c r="G227" i="36"/>
  <c r="E227" i="36"/>
  <c r="F119" i="36"/>
  <c r="R227" i="36"/>
  <c r="F179" i="36"/>
  <c r="N227" i="36"/>
  <c r="P69" i="36"/>
  <c r="M227" i="36"/>
  <c r="J179" i="36"/>
  <c r="K227" i="36"/>
  <c r="J224" i="36"/>
  <c r="N224" i="36"/>
  <c r="O69" i="36"/>
  <c r="E224" i="36"/>
  <c r="P224" i="36"/>
  <c r="I216" i="36"/>
  <c r="H149" i="36"/>
  <c r="R224" i="36"/>
  <c r="T227" i="36"/>
  <c r="T224" i="36"/>
  <c r="S149" i="36"/>
  <c r="Q227" i="36"/>
  <c r="C224" i="36"/>
  <c r="L227" i="36"/>
  <c r="I224" i="36"/>
  <c r="U224" i="36"/>
  <c r="Q224" i="36"/>
  <c r="L224" i="36"/>
  <c r="W224" i="36"/>
  <c r="D224" i="36"/>
  <c r="V224" i="36"/>
  <c r="G149" i="36"/>
  <c r="O224" i="36"/>
  <c r="F149" i="36"/>
  <c r="K224" i="36"/>
  <c r="AI94" i="20"/>
  <c r="AJ95" i="20"/>
  <c r="AJ91" i="20"/>
  <c r="AJ87" i="20"/>
  <c r="AJ83" i="20"/>
  <c r="AE90" i="20"/>
  <c r="AD93" i="20"/>
  <c r="AD89" i="20"/>
  <c r="AD85" i="20"/>
  <c r="AA92" i="20"/>
  <c r="W96" i="20"/>
  <c r="X83" i="20"/>
  <c r="X84" i="20"/>
  <c r="Y97" i="20"/>
  <c r="Y93" i="20"/>
  <c r="Z88" i="20"/>
  <c r="Z86" i="20"/>
  <c r="Z89" i="20"/>
  <c r="W94" i="20"/>
  <c r="AI96" i="20"/>
  <c r="AJ97" i="20"/>
  <c r="AJ93" i="20"/>
  <c r="AJ89" i="20"/>
  <c r="AJ85" i="20"/>
  <c r="AH90" i="20"/>
  <c r="AD97" i="20"/>
  <c r="AD95" i="20"/>
  <c r="AD91" i="20"/>
  <c r="AD87" i="20"/>
  <c r="AD83" i="20"/>
  <c r="AB85" i="20"/>
  <c r="W90" i="20"/>
  <c r="X93" i="20"/>
  <c r="W86" i="20"/>
  <c r="Y95" i="20"/>
  <c r="Y91" i="20"/>
  <c r="Z84" i="20"/>
  <c r="AI97" i="20"/>
  <c r="AI93" i="20"/>
  <c r="AI89" i="20"/>
  <c r="AI85" i="20"/>
  <c r="AG90" i="20"/>
  <c r="AC97" i="20"/>
  <c r="AC91" i="20"/>
  <c r="AC87" i="20"/>
  <c r="AC83" i="20"/>
  <c r="X97" i="20"/>
  <c r="X89" i="20"/>
  <c r="W93" i="20"/>
  <c r="X85" i="20"/>
  <c r="Z94" i="20"/>
  <c r="Z90" i="20"/>
  <c r="Y88" i="20"/>
  <c r="Y84" i="20"/>
  <c r="X87" i="20"/>
  <c r="AI92" i="20"/>
  <c r="AI95" i="20"/>
  <c r="AI91" i="20"/>
  <c r="AI87" i="20"/>
  <c r="AI83" i="20"/>
  <c r="AF88" i="20"/>
  <c r="AC95" i="20"/>
  <c r="AC93" i="20"/>
  <c r="AC89" i="20"/>
  <c r="AC85" i="20"/>
  <c r="AB87" i="20"/>
  <c r="X95" i="20"/>
  <c r="W83" i="20"/>
  <c r="X92" i="20"/>
  <c r="Z96" i="20"/>
  <c r="Z92" i="20"/>
  <c r="Y86" i="20"/>
  <c r="AI90" i="20"/>
  <c r="AJ94" i="20"/>
  <c r="AJ92" i="20"/>
  <c r="AJ88" i="20"/>
  <c r="AJ84" i="20"/>
  <c r="AH94" i="20"/>
  <c r="AF87" i="20"/>
  <c r="AD96" i="20"/>
  <c r="AD92" i="20"/>
  <c r="AD90" i="20"/>
  <c r="AD86" i="20"/>
  <c r="AD84" i="20"/>
  <c r="AB95" i="20"/>
  <c r="W95" i="20"/>
  <c r="X91" i="20"/>
  <c r="X88" i="20"/>
  <c r="W85" i="20"/>
  <c r="Y96" i="20"/>
  <c r="Y94" i="20"/>
  <c r="Y90" i="20"/>
  <c r="Z87" i="20"/>
  <c r="Z85" i="20"/>
  <c r="Z83" i="20"/>
  <c r="W87" i="20"/>
  <c r="AJ96" i="20"/>
  <c r="AJ90" i="20"/>
  <c r="AJ86" i="20"/>
  <c r="AH92" i="20"/>
  <c r="AD94" i="20"/>
  <c r="AD88" i="20"/>
  <c r="AB84" i="20"/>
  <c r="W97" i="20"/>
  <c r="W89" i="20"/>
  <c r="W92" i="20"/>
  <c r="Y92" i="20"/>
  <c r="AI88" i="20"/>
  <c r="AI86" i="20"/>
  <c r="AI84" i="20"/>
  <c r="AG94" i="20"/>
  <c r="AF90" i="20"/>
  <c r="AE87" i="20"/>
  <c r="AC96" i="20"/>
  <c r="AC94" i="20"/>
  <c r="AC92" i="20"/>
  <c r="AC90" i="20"/>
  <c r="AC88" i="20"/>
  <c r="AC86" i="20"/>
  <c r="AC84" i="20"/>
  <c r="AB92" i="20"/>
  <c r="AA95" i="20"/>
  <c r="X96" i="20"/>
  <c r="X90" i="20"/>
  <c r="W84" i="20"/>
  <c r="W91" i="20"/>
  <c r="W88" i="20"/>
  <c r="X86" i="20"/>
  <c r="Z97" i="20"/>
  <c r="Z95" i="20"/>
  <c r="Z93" i="20"/>
  <c r="Z91" i="20"/>
  <c r="Y89" i="20"/>
  <c r="Y87" i="20"/>
  <c r="Y85" i="20"/>
  <c r="Y83" i="20"/>
  <c r="X94" i="20"/>
  <c r="AG83" i="20"/>
  <c r="AH83" i="20" a="1"/>
  <c r="X111" i="20" l="1"/>
  <c r="I92" i="19" s="1"/>
  <c r="W104" i="20"/>
  <c r="H85" i="19" s="1"/>
  <c r="W116" i="20"/>
  <c r="H97" i="19" s="1"/>
  <c r="W111" i="20"/>
  <c r="H92" i="19" s="1"/>
  <c r="AC103" i="20"/>
  <c r="N84" i="19" s="1"/>
  <c r="AA107" i="20"/>
  <c r="L88" i="19" s="1"/>
  <c r="AC110" i="20"/>
  <c r="N91" i="19" s="1"/>
  <c r="AC114" i="20"/>
  <c r="N95" i="19" s="1"/>
  <c r="W105" i="20"/>
  <c r="H86" i="19" s="1"/>
  <c r="X117" i="20"/>
  <c r="I98" i="19" s="1"/>
  <c r="AA110" i="20"/>
  <c r="L91" i="19" s="1"/>
  <c r="X115" i="20"/>
  <c r="I96" i="19" s="1"/>
  <c r="X107" i="20"/>
  <c r="I88" i="19" s="1"/>
  <c r="W114" i="20"/>
  <c r="H95" i="19" s="1"/>
  <c r="W106" i="20"/>
  <c r="H87" i="19" s="1"/>
  <c r="W108" i="20"/>
  <c r="H89" i="19" s="1"/>
  <c r="Z116" i="20"/>
  <c r="K97" i="19" s="1"/>
  <c r="W109" i="20"/>
  <c r="H90" i="19" s="1"/>
  <c r="AC105" i="20"/>
  <c r="N86" i="19" s="1"/>
  <c r="X112" i="20"/>
  <c r="I93" i="19" s="1"/>
  <c r="Z114" i="20"/>
  <c r="K95" i="19" s="1"/>
  <c r="X109" i="20"/>
  <c r="I90" i="19" s="1"/>
  <c r="Y112" i="20"/>
  <c r="J93" i="19" s="1"/>
  <c r="AC116" i="20"/>
  <c r="N97" i="19" s="1"/>
  <c r="W112" i="20"/>
  <c r="H93" i="19" s="1"/>
  <c r="X104" i="20"/>
  <c r="I85" i="19" s="1"/>
  <c r="AC104" i="20"/>
  <c r="N85" i="19" s="1"/>
  <c r="AC117" i="20"/>
  <c r="N98" i="19" s="1"/>
  <c r="Y115" i="20"/>
  <c r="J96" i="19" s="1"/>
  <c r="X113" i="20"/>
  <c r="I94" i="19" s="1"/>
  <c r="Z109" i="20"/>
  <c r="K90" i="19" s="1"/>
  <c r="X103" i="20"/>
  <c r="I84" i="19" s="1"/>
  <c r="W107" i="20"/>
  <c r="H88" i="19" s="1"/>
  <c r="W117" i="20"/>
  <c r="H98" i="19" s="1"/>
  <c r="AC109" i="20"/>
  <c r="N90" i="19" s="1"/>
  <c r="Z113" i="20"/>
  <c r="K94" i="19" s="1"/>
  <c r="X108" i="20"/>
  <c r="I89" i="19" s="1"/>
  <c r="Z108" i="20"/>
  <c r="K89" i="19" s="1"/>
  <c r="X105" i="20"/>
  <c r="I86" i="19" s="1"/>
  <c r="AB114" i="20"/>
  <c r="M95" i="19" s="1"/>
  <c r="X116" i="20"/>
  <c r="I97" i="19" s="1"/>
  <c r="Z103" i="20"/>
  <c r="K84" i="19" s="1"/>
  <c r="AC113" i="20"/>
  <c r="N94" i="19" s="1"/>
  <c r="W110" i="20"/>
  <c r="H91" i="19" s="1"/>
  <c r="Z104" i="20"/>
  <c r="K85" i="19" s="1"/>
  <c r="AC108" i="20"/>
  <c r="N89" i="19" s="1"/>
  <c r="X110" i="20"/>
  <c r="I91" i="19" s="1"/>
  <c r="Z111" i="20"/>
  <c r="K92" i="19" s="1"/>
  <c r="W103" i="20"/>
  <c r="H84" i="19" s="1"/>
  <c r="AC107" i="20"/>
  <c r="N88" i="19" s="1"/>
  <c r="AC106" i="20"/>
  <c r="N87" i="19" s="1"/>
  <c r="Z106" i="20"/>
  <c r="K87" i="19" s="1"/>
  <c r="AC112" i="20"/>
  <c r="N93" i="19" s="1"/>
  <c r="W115" i="20"/>
  <c r="H96" i="19" s="1"/>
  <c r="X114" i="20"/>
  <c r="I95" i="19" s="1"/>
  <c r="Z115" i="20"/>
  <c r="K96" i="19" s="1"/>
  <c r="AC111" i="20"/>
  <c r="N92" i="19" s="1"/>
  <c r="Z110" i="20"/>
  <c r="K91" i="19" s="1"/>
  <c r="Z117" i="20"/>
  <c r="K98" i="19" s="1"/>
  <c r="AC115" i="20"/>
  <c r="N96" i="19" s="1"/>
  <c r="Z107" i="20"/>
  <c r="K88" i="19" s="1"/>
  <c r="Z112" i="20"/>
  <c r="K93" i="19" s="1"/>
  <c r="W113" i="20"/>
  <c r="H94" i="19" s="1"/>
  <c r="AB110" i="20"/>
  <c r="M91" i="19" s="1"/>
  <c r="X106" i="20"/>
  <c r="I87" i="19" s="1"/>
  <c r="Z105" i="20"/>
  <c r="K86" i="19" s="1"/>
  <c r="AH83" i="20"/>
  <c r="AB103" i="20" s="1"/>
  <c r="M84" i="19" s="1"/>
  <c r="AH91" i="20" a="1"/>
  <c r="AG85" i="20" a="1"/>
  <c r="AH84" i="20" a="1"/>
  <c r="AK87" i="20" a="1"/>
  <c r="AH89" i="20" a="1"/>
  <c r="AG86" i="20" a="1"/>
  <c r="AG84" i="20" a="1"/>
  <c r="AH86" i="20" a="1"/>
  <c r="AG95" i="20" a="1"/>
  <c r="AG97" i="20" a="1"/>
  <c r="AG92" i="20" a="1"/>
  <c r="AG87" i="20" a="1"/>
  <c r="AH93" i="20" a="1"/>
  <c r="AH95" i="20" a="1"/>
  <c r="AG93" i="20" a="1"/>
  <c r="AG96" i="20" a="1"/>
  <c r="AH96" i="20" a="1"/>
  <c r="AG91" i="20" a="1"/>
  <c r="AH97" i="20" a="1"/>
  <c r="AH87" i="20" a="1"/>
  <c r="AH85" i="20" a="1"/>
  <c r="AG89" i="20" a="1"/>
  <c r="AG88" i="20" a="1"/>
  <c r="AH88" i="20" a="1"/>
  <c r="K99" i="19" l="1"/>
  <c r="I99" i="19"/>
  <c r="N99" i="19"/>
  <c r="H107" i="19" s="1"/>
  <c r="F107" i="19" s="1"/>
  <c r="H99" i="19"/>
  <c r="AH87" i="20"/>
  <c r="AG92" i="20"/>
  <c r="AB112" i="20" s="1"/>
  <c r="M93" i="19" s="1"/>
  <c r="AG85" i="20"/>
  <c r="AH85" i="20"/>
  <c r="AG89" i="20"/>
  <c r="AG87" i="20"/>
  <c r="AH89" i="20"/>
  <c r="AG97" i="20"/>
  <c r="AH91" i="20"/>
  <c r="AH88" i="20"/>
  <c r="AH86" i="20"/>
  <c r="AH84" i="20"/>
  <c r="AG93" i="20"/>
  <c r="AH95" i="20"/>
  <c r="AG95" i="20"/>
  <c r="AG96" i="20"/>
  <c r="AH97" i="20"/>
  <c r="AH93" i="20"/>
  <c r="AG91" i="20"/>
  <c r="AG86" i="20"/>
  <c r="AG84" i="20"/>
  <c r="AH96" i="20"/>
  <c r="AG88" i="20"/>
  <c r="AK87" i="20"/>
  <c r="AL87" i="20" a="1"/>
  <c r="H109" i="19" l="1"/>
  <c r="K107" i="19"/>
  <c r="AB107" i="19" s="1"/>
  <c r="M107" i="19"/>
  <c r="H108" i="19"/>
  <c r="AB109" i="20"/>
  <c r="M90" i="19" s="1"/>
  <c r="AB106" i="20"/>
  <c r="M87" i="19" s="1"/>
  <c r="AB113" i="20"/>
  <c r="M94" i="19" s="1"/>
  <c r="AB116" i="20"/>
  <c r="M97" i="19" s="1"/>
  <c r="AB115" i="20"/>
  <c r="M96" i="19" s="1"/>
  <c r="AB104" i="20"/>
  <c r="M85" i="19" s="1"/>
  <c r="AB105" i="20"/>
  <c r="M86" i="19" s="1"/>
  <c r="AX48" i="23"/>
  <c r="BC108" i="19"/>
  <c r="S107" i="19" s="1"/>
  <c r="AB108" i="20"/>
  <c r="M89" i="19" s="1"/>
  <c r="AB117" i="20"/>
  <c r="M98" i="19" s="1"/>
  <c r="AB111" i="20"/>
  <c r="M92" i="19" s="1"/>
  <c r="AB107" i="20"/>
  <c r="M88" i="19" s="1"/>
  <c r="AL87" i="20"/>
  <c r="AD107" i="20" s="1"/>
  <c r="O88" i="19" s="1"/>
  <c r="AW87" i="20" a="1"/>
  <c r="AL89" i="20" a="1"/>
  <c r="AX90" i="20" a="1"/>
  <c r="AL93" i="20" a="1"/>
  <c r="AN93" i="20" a="1"/>
  <c r="AM88" i="20" a="1"/>
  <c r="AQ93" i="20" a="1"/>
  <c r="AP94" i="20" a="1"/>
  <c r="AV84" i="20" a="1"/>
  <c r="AX88" i="20" a="1"/>
  <c r="AX86" i="20" a="1"/>
  <c r="AT93" i="20" a="1"/>
  <c r="AX95" i="20" a="1"/>
  <c r="AW83" i="20" a="1"/>
  <c r="AF92" i="20" a="1"/>
  <c r="AE92" i="20" a="1"/>
  <c r="AW89" i="20" a="1"/>
  <c r="AM92" i="20" a="1"/>
  <c r="AX85" i="20" a="1"/>
  <c r="AV92" i="20" a="1"/>
  <c r="AT94" i="20" a="1"/>
  <c r="AK84" i="20" a="1"/>
  <c r="AL88" i="20" a="1"/>
  <c r="AN91" i="20" a="1"/>
  <c r="AW93" i="20" a="1"/>
  <c r="AR94" i="20" a="1"/>
  <c r="AK93" i="20" a="1"/>
  <c r="AN90" i="20" a="1"/>
  <c r="AB90" i="20" a="1"/>
  <c r="AW92" i="20" a="1"/>
  <c r="AF85" i="20" a="1"/>
  <c r="AN92" i="20" a="1"/>
  <c r="AW91" i="20" a="1"/>
  <c r="AX92" i="20" a="1"/>
  <c r="AS92" i="20" a="1"/>
  <c r="AX93" i="20" a="1"/>
  <c r="AT87" i="20" a="1"/>
  <c r="AX87" i="20" a="1"/>
  <c r="AP88" i="20" a="1"/>
  <c r="AX96" i="20" a="1"/>
  <c r="AO91" i="20" a="1"/>
  <c r="AK95" i="20" a="1"/>
  <c r="AW96" i="20" a="1"/>
  <c r="AF93" i="20" a="1"/>
  <c r="AM93" i="20" a="1"/>
  <c r="AR93" i="20" a="1"/>
  <c r="AT89" i="20" a="1"/>
  <c r="AX89" i="20" a="1"/>
  <c r="AX97" i="20" a="1"/>
  <c r="AM86" i="20" a="1"/>
  <c r="AU84" i="20" a="1"/>
  <c r="AQ86" i="20" a="1"/>
  <c r="AL84" i="20" a="1"/>
  <c r="AX91" i="20" a="1"/>
  <c r="AN86" i="20" a="1"/>
  <c r="AW97" i="20" a="1"/>
  <c r="AN88" i="20" a="1"/>
  <c r="AB83" i="20" a="1"/>
  <c r="AV95" i="20" a="1"/>
  <c r="AW84" i="20" a="1"/>
  <c r="AW94" i="20" a="1"/>
  <c r="AU83" i="20" a="1"/>
  <c r="AN83" i="20" a="1"/>
  <c r="AP95" i="20" a="1"/>
  <c r="AV87" i="20" a="1"/>
  <c r="AW86" i="20" a="1"/>
  <c r="AU95" i="20" a="1"/>
  <c r="AR87" i="20" a="1"/>
  <c r="AM91" i="20" a="1"/>
  <c r="AW85" i="20" a="1"/>
  <c r="AX83" i="20" a="1"/>
  <c r="AW95" i="20" a="1"/>
  <c r="AT84" i="20" a="1"/>
  <c r="AE93" i="20" a="1"/>
  <c r="AK88" i="20" a="1"/>
  <c r="AR90" i="20" a="1"/>
  <c r="AB93" i="20" a="1"/>
  <c r="AQ90" i="20" a="1"/>
  <c r="AS89" i="20" a="1"/>
  <c r="AL90" i="20" a="1"/>
  <c r="AW90" i="20" a="1"/>
  <c r="AR86" i="20" a="1"/>
  <c r="AT92" i="20" a="1"/>
  <c r="AU92" i="20" a="1"/>
  <c r="AW88" i="20" a="1"/>
  <c r="AL95" i="20" a="1"/>
  <c r="AX84" i="20" a="1"/>
  <c r="AX94" i="20" a="1"/>
  <c r="AP91" i="20" a="1"/>
  <c r="AV88" i="20" a="1"/>
  <c r="M108" i="19" l="1"/>
  <c r="F108" i="19"/>
  <c r="P108" i="19" s="1"/>
  <c r="K109" i="19"/>
  <c r="AB109" i="19" s="1"/>
  <c r="F109" i="19"/>
  <c r="P109" i="19" s="1"/>
  <c r="BC110" i="19"/>
  <c r="S109" i="19" s="1"/>
  <c r="M109" i="19"/>
  <c r="BC109" i="19"/>
  <c r="BF109" i="19" s="1"/>
  <c r="K108" i="19"/>
  <c r="AB108" i="19" s="1"/>
  <c r="M99" i="19"/>
  <c r="T107" i="19"/>
  <c r="AX85" i="20"/>
  <c r="AK93" i="20"/>
  <c r="AP94" i="20"/>
  <c r="AN92" i="20"/>
  <c r="AN93" i="20"/>
  <c r="AL88" i="20"/>
  <c r="AK95" i="20"/>
  <c r="AX89" i="20"/>
  <c r="AN88" i="20"/>
  <c r="AQ93" i="20"/>
  <c r="AW95" i="20"/>
  <c r="AW91" i="20"/>
  <c r="AW87" i="20"/>
  <c r="AW83" i="20"/>
  <c r="AR90" i="20"/>
  <c r="AK84" i="20"/>
  <c r="AE93" i="20"/>
  <c r="AV95" i="20"/>
  <c r="AR87" i="20"/>
  <c r="AM92" i="20"/>
  <c r="AM93" i="20"/>
  <c r="AK88" i="20"/>
  <c r="AX91" i="20"/>
  <c r="AS92" i="20"/>
  <c r="AT87" i="20"/>
  <c r="AW97" i="20"/>
  <c r="AW93" i="20"/>
  <c r="AW89" i="20"/>
  <c r="AW85" i="20"/>
  <c r="AT89" i="20"/>
  <c r="AM88" i="20"/>
  <c r="AF85" i="20"/>
  <c r="AV92" i="20"/>
  <c r="AT93" i="20"/>
  <c r="AP91" i="20"/>
  <c r="AX87" i="20"/>
  <c r="AL84" i="20"/>
  <c r="AX96" i="20"/>
  <c r="AX92" i="20"/>
  <c r="AX88" i="20"/>
  <c r="AX84" i="20"/>
  <c r="AS89" i="20"/>
  <c r="AN86" i="20"/>
  <c r="AF92" i="20"/>
  <c r="AU92" i="20"/>
  <c r="AR94" i="20"/>
  <c r="AR86" i="20"/>
  <c r="AN90" i="20"/>
  <c r="AL90" i="20"/>
  <c r="AX97" i="20"/>
  <c r="AX83" i="20"/>
  <c r="AF93" i="20"/>
  <c r="AX94" i="20"/>
  <c r="AX90" i="20"/>
  <c r="AX86" i="20"/>
  <c r="AV84" i="20"/>
  <c r="AQ90" i="20"/>
  <c r="AL89" i="20"/>
  <c r="AB90" i="20"/>
  <c r="AT84" i="20"/>
  <c r="AO91" i="20"/>
  <c r="AN83" i="20"/>
  <c r="AX93" i="20"/>
  <c r="AB93" i="20"/>
  <c r="AW96" i="20"/>
  <c r="AW92" i="20"/>
  <c r="AW86" i="20"/>
  <c r="AT92" i="20"/>
  <c r="AM86" i="20"/>
  <c r="AB83" i="20"/>
  <c r="AT94" i="20"/>
  <c r="AQ86" i="20"/>
  <c r="AP95" i="20"/>
  <c r="AM91" i="20"/>
  <c r="AN91" i="20"/>
  <c r="AL95" i="20"/>
  <c r="AX95" i="20"/>
  <c r="AV87" i="20"/>
  <c r="AU95" i="20"/>
  <c r="AW94" i="20"/>
  <c r="AW90" i="20"/>
  <c r="AW88" i="20"/>
  <c r="AW84" i="20"/>
  <c r="AU84" i="20"/>
  <c r="AP88" i="20"/>
  <c r="AL93" i="20"/>
  <c r="AE92" i="20"/>
  <c r="AV88" i="20"/>
  <c r="AR93" i="20"/>
  <c r="AX85" i="23"/>
  <c r="AX79" i="23"/>
  <c r="AX91" i="23"/>
  <c r="AX80" i="23"/>
  <c r="AX89" i="23"/>
  <c r="AX82" i="23"/>
  <c r="AX46" i="23"/>
  <c r="AX68" i="23" s="1"/>
  <c r="AX88" i="23"/>
  <c r="AX84" i="23"/>
  <c r="AX76" i="23"/>
  <c r="AX75" i="23"/>
  <c r="AX81" i="23"/>
  <c r="AX92" i="23"/>
  <c r="AX77" i="23"/>
  <c r="AX73" i="23"/>
  <c r="AX78" i="23"/>
  <c r="AX86" i="23"/>
  <c r="AX90" i="23"/>
  <c r="AX83" i="23"/>
  <c r="AX87" i="23"/>
  <c r="AX74" i="23"/>
  <c r="AX49" i="23"/>
  <c r="BF108" i="19"/>
  <c r="AU83" i="20"/>
  <c r="AV83" i="20" a="1"/>
  <c r="T109" i="19" l="1"/>
  <c r="BF110" i="19"/>
  <c r="AJ117" i="20"/>
  <c r="U98" i="19" s="1"/>
  <c r="S108" i="19"/>
  <c r="T108" i="19" s="1"/>
  <c r="AI115" i="20"/>
  <c r="T96" i="19" s="1"/>
  <c r="AD113" i="20"/>
  <c r="O94" i="19" s="1"/>
  <c r="AH109" i="20"/>
  <c r="S90" i="19" s="1"/>
  <c r="AJ113" i="20"/>
  <c r="U94" i="19" s="1"/>
  <c r="AJ106" i="20"/>
  <c r="U87" i="19" s="1"/>
  <c r="AJ112" i="20"/>
  <c r="U93" i="19" s="1"/>
  <c r="AJ111" i="20"/>
  <c r="U92" i="19" s="1"/>
  <c r="AG110" i="20"/>
  <c r="R91" i="19" s="1"/>
  <c r="AJ110" i="20"/>
  <c r="U91" i="19" s="1"/>
  <c r="AJ116" i="20"/>
  <c r="U97" i="19" s="1"/>
  <c r="AA113" i="20"/>
  <c r="L94" i="19" s="1"/>
  <c r="AG113" i="20"/>
  <c r="R94" i="19" s="1"/>
  <c r="AI104" i="20"/>
  <c r="T85" i="19" s="1"/>
  <c r="AJ108" i="20"/>
  <c r="U89" i="19" s="1"/>
  <c r="AJ109" i="20"/>
  <c r="U90" i="19" s="1"/>
  <c r="BP68" i="23"/>
  <c r="AJ115" i="20"/>
  <c r="U96" i="19" s="1"/>
  <c r="AD115" i="20"/>
  <c r="O96" i="19" s="1"/>
  <c r="AE111" i="20"/>
  <c r="P92" i="19" s="1"/>
  <c r="AX62" i="23"/>
  <c r="BP62" i="23" s="1"/>
  <c r="AG106" i="20"/>
  <c r="R87" i="19" s="1"/>
  <c r="AD108" i="20"/>
  <c r="O89" i="19" s="1"/>
  <c r="AX66" i="23"/>
  <c r="BP66" i="23" s="1"/>
  <c r="AX58" i="23"/>
  <c r="BP58" i="23" s="1"/>
  <c r="AX57" i="23"/>
  <c r="BP57" i="23" s="1"/>
  <c r="AJ114" i="20"/>
  <c r="U95" i="19" s="1"/>
  <c r="AD104" i="20"/>
  <c r="O85" i="19" s="1"/>
  <c r="AE113" i="20"/>
  <c r="P94" i="19" s="1"/>
  <c r="AX51" i="23"/>
  <c r="BP51" i="23" s="1"/>
  <c r="AX63" i="23"/>
  <c r="BP63" i="23" s="1"/>
  <c r="AX53" i="23"/>
  <c r="BP53" i="23" s="1"/>
  <c r="AX64" i="23"/>
  <c r="BP64" i="23" s="1"/>
  <c r="AX69" i="23"/>
  <c r="BP69" i="23" s="1"/>
  <c r="AH112" i="20"/>
  <c r="S93" i="19" s="1"/>
  <c r="AA112" i="20"/>
  <c r="L93" i="19" s="1"/>
  <c r="AJ107" i="20"/>
  <c r="U88" i="19" s="1"/>
  <c r="AE112" i="20"/>
  <c r="P93" i="19" s="1"/>
  <c r="AX65" i="23"/>
  <c r="BP65" i="23" s="1"/>
  <c r="AX52" i="23"/>
  <c r="BP52" i="23" s="1"/>
  <c r="AX59" i="23"/>
  <c r="BP59" i="23" s="1"/>
  <c r="AX60" i="23"/>
  <c r="BP60" i="23" s="1"/>
  <c r="AX56" i="23"/>
  <c r="BP56" i="23" s="1"/>
  <c r="AJ103" i="20"/>
  <c r="U84" i="19" s="1"/>
  <c r="AE106" i="20"/>
  <c r="P87" i="19" s="1"/>
  <c r="AF111" i="20"/>
  <c r="Q92" i="19" s="1"/>
  <c r="H105" i="19"/>
  <c r="F105" i="19" s="1"/>
  <c r="H106" i="19"/>
  <c r="H104" i="19"/>
  <c r="F104" i="19" s="1"/>
  <c r="AX70" i="23"/>
  <c r="BP70" i="23" s="1"/>
  <c r="AX54" i="23"/>
  <c r="BP54" i="23" s="1"/>
  <c r="AX61" i="23"/>
  <c r="BP61" i="23" s="1"/>
  <c r="AX55" i="23"/>
  <c r="BP55" i="23" s="1"/>
  <c r="AX67" i="23"/>
  <c r="BP67" i="23" s="1"/>
  <c r="AJ104" i="20"/>
  <c r="U85" i="19" s="1"/>
  <c r="AI112" i="20"/>
  <c r="T93" i="19" s="1"/>
  <c r="AE108" i="20"/>
  <c r="P89" i="19" s="1"/>
  <c r="AJ105" i="20"/>
  <c r="U86" i="19" s="1"/>
  <c r="AV83" i="20"/>
  <c r="AI103" i="20" s="1"/>
  <c r="T84" i="19" s="1"/>
  <c r="AV86" i="20" a="1"/>
  <c r="AU94" i="20" a="1"/>
  <c r="AV89" i="20" a="1"/>
  <c r="AU85" i="20" a="1"/>
  <c r="AU97" i="20" a="1"/>
  <c r="AU96" i="20" a="1"/>
  <c r="AU91" i="20" a="1"/>
  <c r="AV97" i="20" a="1"/>
  <c r="AY89" i="20" a="1"/>
  <c r="AV93" i="20" a="1"/>
  <c r="AV85" i="20" a="1"/>
  <c r="AU90" i="20" a="1"/>
  <c r="AV91" i="20" a="1"/>
  <c r="AU93" i="20" a="1"/>
  <c r="AV90" i="20" a="1"/>
  <c r="AV96" i="20" a="1"/>
  <c r="AU88" i="20" a="1"/>
  <c r="AU86" i="20" a="1"/>
  <c r="AV94" i="20" a="1"/>
  <c r="AU89" i="20" a="1"/>
  <c r="AU87" i="20" a="1"/>
  <c r="M106" i="19" l="1"/>
  <c r="F106" i="19"/>
  <c r="K105" i="19"/>
  <c r="M105" i="19"/>
  <c r="K104" i="19"/>
  <c r="M104" i="19"/>
  <c r="P107" i="19"/>
  <c r="K106" i="19"/>
  <c r="U99" i="19"/>
  <c r="H129" i="19" s="1"/>
  <c r="AV86" i="20"/>
  <c r="AV94" i="20"/>
  <c r="AU86" i="20"/>
  <c r="AU94" i="20"/>
  <c r="AV91" i="20"/>
  <c r="AU91" i="20"/>
  <c r="AV96" i="20"/>
  <c r="AU88" i="20"/>
  <c r="AI108" i="20" s="1"/>
  <c r="T89" i="19" s="1"/>
  <c r="AV93" i="20"/>
  <c r="AV90" i="20"/>
  <c r="AV85" i="20"/>
  <c r="AV89" i="20"/>
  <c r="AU97" i="20"/>
  <c r="AU93" i="20"/>
  <c r="AU90" i="20"/>
  <c r="AU85" i="20"/>
  <c r="AV97" i="20"/>
  <c r="AU89" i="20"/>
  <c r="AU96" i="20"/>
  <c r="AU87" i="20"/>
  <c r="AI107" i="20" s="1"/>
  <c r="T88" i="19" s="1"/>
  <c r="AY89" i="20"/>
  <c r="AZ89" i="20" a="1"/>
  <c r="M129" i="19" l="1"/>
  <c r="F129" i="19"/>
  <c r="K129" i="19"/>
  <c r="AB129" i="19" s="1"/>
  <c r="AI116" i="20"/>
  <c r="T97" i="19" s="1"/>
  <c r="AI109" i="20"/>
  <c r="T90" i="19" s="1"/>
  <c r="H130" i="19"/>
  <c r="H128" i="19"/>
  <c r="BC130" i="19"/>
  <c r="S129" i="19" s="1"/>
  <c r="AI111" i="20"/>
  <c r="T92" i="19" s="1"/>
  <c r="AI105" i="20"/>
  <c r="T86" i="19" s="1"/>
  <c r="AI110" i="20"/>
  <c r="T91" i="19" s="1"/>
  <c r="AI114" i="20"/>
  <c r="T95" i="19" s="1"/>
  <c r="AI117" i="20"/>
  <c r="T98" i="19" s="1"/>
  <c r="AI113" i="20"/>
  <c r="T94" i="19" s="1"/>
  <c r="AI106" i="20"/>
  <c r="T87" i="19" s="1"/>
  <c r="AZ89" i="20"/>
  <c r="AK109" i="20" s="1"/>
  <c r="V90" i="19" s="1"/>
  <c r="AZ85" i="20" a="1"/>
  <c r="M130" i="19" l="1"/>
  <c r="F130" i="19"/>
  <c r="P130" i="19" s="1"/>
  <c r="M128" i="19"/>
  <c r="F128" i="19"/>
  <c r="T99" i="19"/>
  <c r="K128" i="19"/>
  <c r="AB128" i="19" s="1"/>
  <c r="BC131" i="19"/>
  <c r="S130" i="19" s="1"/>
  <c r="K130" i="19"/>
  <c r="AB130" i="19" s="1"/>
  <c r="T129" i="19"/>
  <c r="BF130" i="19"/>
  <c r="BC129" i="19"/>
  <c r="S128" i="19" s="1"/>
  <c r="BE48" i="23"/>
  <c r="BE73" i="23" s="1"/>
  <c r="P129" i="19"/>
  <c r="AZ85" i="20"/>
  <c r="BB94" i="20" a="1"/>
  <c r="BF131" i="19" l="1"/>
  <c r="BF129" i="19"/>
  <c r="T130" i="19"/>
  <c r="BE77" i="23"/>
  <c r="BE81" i="23"/>
  <c r="BE90" i="23"/>
  <c r="BE76" i="23"/>
  <c r="BE89" i="23"/>
  <c r="BE91" i="23"/>
  <c r="BE92" i="23"/>
  <c r="BE87" i="23"/>
  <c r="BE74" i="23"/>
  <c r="BE80" i="23"/>
  <c r="BE86" i="23"/>
  <c r="T128" i="19"/>
  <c r="BE75" i="23"/>
  <c r="BE78" i="23"/>
  <c r="BE88" i="23"/>
  <c r="BE82" i="23"/>
  <c r="BE79" i="23"/>
  <c r="BE84" i="23"/>
  <c r="BE85" i="23"/>
  <c r="BE46" i="23"/>
  <c r="BE53" i="23" s="1"/>
  <c r="BE49" i="23"/>
  <c r="BE83" i="23"/>
  <c r="H125" i="19"/>
  <c r="F125" i="19" s="1"/>
  <c r="H127" i="19"/>
  <c r="H126" i="19"/>
  <c r="F126" i="19" s="1"/>
  <c r="BB94" i="20"/>
  <c r="BC107" i="19"/>
  <c r="BF107" i="19" s="1"/>
  <c r="AF84" i="20" a="1"/>
  <c r="AB88" i="20" a="1"/>
  <c r="BB88" i="20" a="1"/>
  <c r="AK83" i="20" a="1"/>
  <c r="AF91" i="20" a="1"/>
  <c r="AE91" i="20" a="1"/>
  <c r="BA88" i="20" a="1"/>
  <c r="AA84" i="20" a="1"/>
  <c r="AA88" i="20" a="1"/>
  <c r="M127" i="19" l="1"/>
  <c r="F127" i="19"/>
  <c r="K125" i="19"/>
  <c r="M125" i="19"/>
  <c r="K126" i="19"/>
  <c r="M126" i="19"/>
  <c r="P128" i="19"/>
  <c r="P33" i="40" s="1"/>
  <c r="P34" i="40" s="1"/>
  <c r="K127" i="19"/>
  <c r="BW53" i="23"/>
  <c r="BE62" i="23"/>
  <c r="BW62" i="23" s="1"/>
  <c r="BE59" i="23"/>
  <c r="BW59" i="23" s="1"/>
  <c r="BE56" i="23"/>
  <c r="BW56" i="23" s="1"/>
  <c r="BE70" i="23"/>
  <c r="BW70" i="23" s="1"/>
  <c r="BE60" i="23"/>
  <c r="BW60" i="23" s="1"/>
  <c r="BE55" i="23"/>
  <c r="BW55" i="23" s="1"/>
  <c r="BE61" i="23"/>
  <c r="BW61" i="23" s="1"/>
  <c r="BE54" i="23"/>
  <c r="BW54" i="23" s="1"/>
  <c r="BE67" i="23"/>
  <c r="BW67" i="23" s="1"/>
  <c r="BE51" i="23"/>
  <c r="BW51" i="23" s="1"/>
  <c r="BE64" i="23"/>
  <c r="BW64" i="23" s="1"/>
  <c r="BE69" i="23"/>
  <c r="BW69" i="23" s="1"/>
  <c r="BE68" i="23"/>
  <c r="BW68" i="23" s="1"/>
  <c r="BE66" i="23"/>
  <c r="BW66" i="23" s="1"/>
  <c r="BE65" i="23"/>
  <c r="BW65" i="23" s="1"/>
  <c r="BE57" i="23"/>
  <c r="BW57" i="23" s="1"/>
  <c r="BE63" i="23"/>
  <c r="BW63" i="23" s="1"/>
  <c r="BE58" i="23"/>
  <c r="BW58" i="23" s="1"/>
  <c r="BE52" i="23"/>
  <c r="BW52" i="23" s="1"/>
  <c r="BA88" i="20"/>
  <c r="AB88" i="20"/>
  <c r="AF91" i="20"/>
  <c r="AA88" i="20"/>
  <c r="AA84" i="20"/>
  <c r="Y104" i="20" s="1"/>
  <c r="J85" i="19" s="1"/>
  <c r="AF84" i="20"/>
  <c r="AE91" i="20"/>
  <c r="BB88" i="20"/>
  <c r="P105" i="19"/>
  <c r="S106" i="19"/>
  <c r="T106" i="19" s="1"/>
  <c r="AB106" i="19"/>
  <c r="BC105" i="19"/>
  <c r="BF105" i="19" s="1"/>
  <c r="BC106" i="19"/>
  <c r="BF106" i="19" s="1"/>
  <c r="P104" i="19"/>
  <c r="P9" i="40" s="1"/>
  <c r="M9" i="40" s="1"/>
  <c r="P106" i="19"/>
  <c r="AK83" i="20"/>
  <c r="AL83" i="20" a="1"/>
  <c r="M33" i="40" l="1"/>
  <c r="AL108" i="20"/>
  <c r="W89" i="19" s="1"/>
  <c r="AA111" i="20"/>
  <c r="L92" i="19" s="1"/>
  <c r="M34" i="40"/>
  <c r="P35" i="40"/>
  <c r="M35" i="40" s="1"/>
  <c r="Y108" i="20"/>
  <c r="J89" i="19" s="1"/>
  <c r="AB105" i="19"/>
  <c r="S105" i="19"/>
  <c r="T105" i="19" s="1"/>
  <c r="P10" i="40"/>
  <c r="M10" i="40" s="1"/>
  <c r="AL83" i="20"/>
  <c r="AD103" i="20" s="1"/>
  <c r="O84" i="19" s="1"/>
  <c r="AK85" i="20" a="1"/>
  <c r="P11" i="40" l="1"/>
  <c r="AK85" i="20"/>
  <c r="AL85" i="20" a="1"/>
  <c r="M11" i="40" l="1"/>
  <c r="P12" i="40"/>
  <c r="AL85" i="20"/>
  <c r="AD105" i="20" s="1"/>
  <c r="O86" i="19" s="1"/>
  <c r="AK86" i="20" a="1"/>
  <c r="M12" i="40" l="1"/>
  <c r="P13" i="40"/>
  <c r="AK86" i="20"/>
  <c r="AL86" i="20" a="1"/>
  <c r="M13" i="40" l="1"/>
  <c r="P14" i="40"/>
  <c r="M14" i="40" s="1"/>
  <c r="AL86" i="20"/>
  <c r="AD106" i="20" s="1"/>
  <c r="O87" i="19" s="1"/>
  <c r="AL91" i="20" a="1"/>
  <c r="AK97" i="20" a="1"/>
  <c r="AK89" i="20" a="1"/>
  <c r="AL96" i="20" a="1"/>
  <c r="AK96" i="20" a="1"/>
  <c r="AL94" i="20" a="1"/>
  <c r="AL92" i="20" a="1"/>
  <c r="AK90" i="20" a="1"/>
  <c r="AL97" i="20" a="1"/>
  <c r="AK91" i="20" a="1"/>
  <c r="AK94" i="20" a="1"/>
  <c r="AM83" i="20" a="1"/>
  <c r="AK92" i="20" a="1"/>
  <c r="AK97" i="20" l="1"/>
  <c r="AL96" i="20"/>
  <c r="AK94" i="20"/>
  <c r="AK90" i="20"/>
  <c r="AD110" i="20" s="1"/>
  <c r="O91" i="19" s="1"/>
  <c r="AL97" i="20"/>
  <c r="AK91" i="20"/>
  <c r="AK96" i="20"/>
  <c r="AK92" i="20"/>
  <c r="AK89" i="20"/>
  <c r="AD109" i="20" s="1"/>
  <c r="O90" i="19" s="1"/>
  <c r="AL94" i="20"/>
  <c r="AL92" i="20"/>
  <c r="AL91" i="20"/>
  <c r="AM83" i="20"/>
  <c r="AE103" i="20" s="1"/>
  <c r="P84" i="19" s="1"/>
  <c r="AM84" i="20" a="1"/>
  <c r="AD117" i="20" l="1"/>
  <c r="O98" i="19" s="1"/>
  <c r="AD114" i="20"/>
  <c r="O95" i="19" s="1"/>
  <c r="AD111" i="20"/>
  <c r="O92" i="19" s="1"/>
  <c r="AD112" i="20"/>
  <c r="O93" i="19" s="1"/>
  <c r="AD116" i="20"/>
  <c r="O97" i="19" s="1"/>
  <c r="AM84" i="20"/>
  <c r="AN84" i="20" a="1"/>
  <c r="O99" i="19" l="1"/>
  <c r="H112" i="19" s="1"/>
  <c r="AN84" i="20"/>
  <c r="AE104" i="20" s="1"/>
  <c r="P85" i="19" s="1"/>
  <c r="AM85" i="20" a="1"/>
  <c r="M112" i="19" l="1"/>
  <c r="F112" i="19"/>
  <c r="K112" i="19"/>
  <c r="H111" i="19"/>
  <c r="H110" i="19"/>
  <c r="AM85" i="20"/>
  <c r="AN96" i="20" a="1"/>
  <c r="AM94" i="20" a="1"/>
  <c r="AM95" i="20" a="1"/>
  <c r="AM89" i="20" a="1"/>
  <c r="AN97" i="20" a="1"/>
  <c r="AM90" i="20" a="1"/>
  <c r="AN89" i="20" a="1"/>
  <c r="AM97" i="20" a="1"/>
  <c r="AM87" i="20" a="1"/>
  <c r="AM96" i="20" a="1"/>
  <c r="AN94" i="20" a="1"/>
  <c r="AN85" i="20" a="1"/>
  <c r="AN87" i="20" a="1"/>
  <c r="AN95" i="20" a="1"/>
  <c r="AO83" i="20" a="1"/>
  <c r="M110" i="19" l="1"/>
  <c r="F110" i="19"/>
  <c r="P110" i="19" s="1"/>
  <c r="P15" i="40" s="1"/>
  <c r="M15" i="40" s="1"/>
  <c r="M111" i="19"/>
  <c r="F111" i="19"/>
  <c r="P111" i="19" s="1"/>
  <c r="K111" i="19"/>
  <c r="K110" i="19"/>
  <c r="P112" i="19"/>
  <c r="AN96" i="20"/>
  <c r="AN87" i="20"/>
  <c r="AM89" i="20"/>
  <c r="AN97" i="20"/>
  <c r="AM90" i="20"/>
  <c r="AE110" i="20" s="1"/>
  <c r="P91" i="19" s="1"/>
  <c r="AN95" i="20"/>
  <c r="AM87" i="20"/>
  <c r="AM94" i="20"/>
  <c r="AM95" i="20"/>
  <c r="AN85" i="20"/>
  <c r="AE105" i="20" s="1"/>
  <c r="P86" i="19" s="1"/>
  <c r="AM96" i="20"/>
  <c r="AM97" i="20"/>
  <c r="AN89" i="20"/>
  <c r="AN94" i="20"/>
  <c r="AO83" i="20"/>
  <c r="AP83" i="20" a="1"/>
  <c r="AE109" i="20" l="1"/>
  <c r="P90" i="19" s="1"/>
  <c r="P16" i="40"/>
  <c r="M16" i="40" s="1"/>
  <c r="AE115" i="20"/>
  <c r="P96" i="19" s="1"/>
  <c r="AE117" i="20"/>
  <c r="P98" i="19" s="1"/>
  <c r="AE114" i="20"/>
  <c r="P95" i="19" s="1"/>
  <c r="AE107" i="20"/>
  <c r="P88" i="19" s="1"/>
  <c r="AE116" i="20"/>
  <c r="P97" i="19" s="1"/>
  <c r="AP83" i="20"/>
  <c r="AF103" i="20" s="1"/>
  <c r="Q84" i="19" s="1"/>
  <c r="AO84" i="20" a="1"/>
  <c r="P17" i="40" l="1"/>
  <c r="M17" i="40" s="1"/>
  <c r="P99" i="19"/>
  <c r="AO84" i="20"/>
  <c r="AP84" i="20" a="1"/>
  <c r="H114" i="19" l="1"/>
  <c r="H115" i="19"/>
  <c r="H113" i="19"/>
  <c r="AP84" i="20"/>
  <c r="AF104" i="20" s="1"/>
  <c r="Q85" i="19" s="1"/>
  <c r="AO93" i="20" a="1"/>
  <c r="AP96" i="20" a="1"/>
  <c r="AP90" i="20" a="1"/>
  <c r="AO92" i="20" a="1"/>
  <c r="AO88" i="20" a="1"/>
  <c r="AP97" i="20" a="1"/>
  <c r="AO89" i="20" a="1"/>
  <c r="AP87" i="20" a="1"/>
  <c r="AP89" i="20" a="1"/>
  <c r="AP86" i="20" a="1"/>
  <c r="AP85" i="20" a="1"/>
  <c r="AO96" i="20" a="1"/>
  <c r="AO95" i="20" a="1"/>
  <c r="AO97" i="20" a="1"/>
  <c r="AO87" i="20" a="1"/>
  <c r="AO86" i="20" a="1"/>
  <c r="AP92" i="20" a="1"/>
  <c r="AO94" i="20" a="1"/>
  <c r="AO90" i="20" a="1"/>
  <c r="AP93" i="20" a="1"/>
  <c r="AQ83" i="20" a="1"/>
  <c r="AO85" i="20" a="1"/>
  <c r="M113" i="19" l="1"/>
  <c r="F113" i="19"/>
  <c r="P113" i="19" s="1"/>
  <c r="P18" i="40" s="1"/>
  <c r="M18" i="40" s="1"/>
  <c r="M115" i="19"/>
  <c r="F115" i="19"/>
  <c r="P115" i="19" s="1"/>
  <c r="M114" i="19"/>
  <c r="F114" i="19"/>
  <c r="P114" i="19" s="1"/>
  <c r="K115" i="19"/>
  <c r="K114" i="19"/>
  <c r="K113" i="19"/>
  <c r="AP85" i="20"/>
  <c r="AO96" i="20"/>
  <c r="AO90" i="20"/>
  <c r="AO95" i="20"/>
  <c r="AF115" i="20" s="1"/>
  <c r="Q96" i="19" s="1"/>
  <c r="AP89" i="20"/>
  <c r="AO87" i="20"/>
  <c r="AO85" i="20"/>
  <c r="AP87" i="20"/>
  <c r="AP92" i="20"/>
  <c r="AO93" i="20"/>
  <c r="AP97" i="20"/>
  <c r="AO97" i="20"/>
  <c r="AO94" i="20"/>
  <c r="AF114" i="20" s="1"/>
  <c r="Q95" i="19" s="1"/>
  <c r="AO92" i="20"/>
  <c r="AO89" i="20"/>
  <c r="AP86" i="20"/>
  <c r="AP96" i="20"/>
  <c r="AP93" i="20"/>
  <c r="AP90" i="20"/>
  <c r="AO88" i="20"/>
  <c r="AF108" i="20" s="1"/>
  <c r="Q89" i="19" s="1"/>
  <c r="AO86" i="20"/>
  <c r="AQ83" i="20"/>
  <c r="AR83" i="20" a="1"/>
  <c r="AF110" i="20" l="1"/>
  <c r="Q91" i="19" s="1"/>
  <c r="AF113" i="20"/>
  <c r="Q94" i="19" s="1"/>
  <c r="P19" i="40"/>
  <c r="M19" i="40" s="1"/>
  <c r="AF106" i="20"/>
  <c r="Q87" i="19" s="1"/>
  <c r="AF107" i="20"/>
  <c r="Q88" i="19" s="1"/>
  <c r="AF109" i="20"/>
  <c r="Q90" i="19" s="1"/>
  <c r="AF116" i="20"/>
  <c r="Q97" i="19" s="1"/>
  <c r="AF117" i="20"/>
  <c r="Q98" i="19" s="1"/>
  <c r="AF112" i="20"/>
  <c r="Q93" i="19" s="1"/>
  <c r="AF105" i="20"/>
  <c r="Q86" i="19" s="1"/>
  <c r="AR83" i="20"/>
  <c r="AG103" i="20" s="1"/>
  <c r="R84" i="19" s="1"/>
  <c r="AQ84" i="20" a="1"/>
  <c r="Q99" i="19" l="1"/>
  <c r="P20" i="40"/>
  <c r="M20" i="40" s="1"/>
  <c r="AQ84" i="20"/>
  <c r="AR84" i="20" a="1"/>
  <c r="H117" i="19" l="1"/>
  <c r="H118" i="19"/>
  <c r="H116" i="19"/>
  <c r="AR84" i="20"/>
  <c r="AG104" i="20" s="1"/>
  <c r="R85" i="19" s="1"/>
  <c r="AR92" i="20" a="1"/>
  <c r="AQ96" i="20" a="1"/>
  <c r="AQ94" i="20" a="1"/>
  <c r="AQ95" i="20" a="1"/>
  <c r="AQ97" i="20" a="1"/>
  <c r="AQ91" i="20" a="1"/>
  <c r="AR96" i="20" a="1"/>
  <c r="AQ85" i="20" a="1"/>
  <c r="AQ89" i="20" a="1"/>
  <c r="AR97" i="20" a="1"/>
  <c r="AR88" i="20" a="1"/>
  <c r="AQ88" i="20" a="1"/>
  <c r="AR85" i="20" a="1"/>
  <c r="AS83" i="20" a="1"/>
  <c r="AR89" i="20" a="1"/>
  <c r="AR95" i="20" a="1"/>
  <c r="AR91" i="20" a="1"/>
  <c r="AQ92" i="20" a="1"/>
  <c r="AQ87" i="20" a="1"/>
  <c r="M116" i="19" l="1"/>
  <c r="F116" i="19"/>
  <c r="P116" i="19" s="1"/>
  <c r="P21" i="40" s="1"/>
  <c r="M21" i="40" s="1"/>
  <c r="M118" i="19"/>
  <c r="F118" i="19"/>
  <c r="P118" i="19" s="1"/>
  <c r="M117" i="19"/>
  <c r="F117" i="19"/>
  <c r="P117" i="19" s="1"/>
  <c r="K117" i="19"/>
  <c r="K116" i="19"/>
  <c r="K118" i="19"/>
  <c r="AR95" i="20"/>
  <c r="AQ92" i="20"/>
  <c r="AR85" i="20"/>
  <c r="AQ96" i="20"/>
  <c r="AQ89" i="20"/>
  <c r="AQ97" i="20"/>
  <c r="AQ95" i="20"/>
  <c r="AR88" i="20"/>
  <c r="AQ85" i="20"/>
  <c r="AR97" i="20"/>
  <c r="AR91" i="20"/>
  <c r="AR96" i="20"/>
  <c r="AQ94" i="20"/>
  <c r="AG114" i="20" s="1"/>
  <c r="R95" i="19" s="1"/>
  <c r="AQ91" i="20"/>
  <c r="AQ88" i="20"/>
  <c r="AR92" i="20"/>
  <c r="AQ87" i="20"/>
  <c r="AG107" i="20" s="1"/>
  <c r="R88" i="19" s="1"/>
  <c r="AR89" i="20"/>
  <c r="AS83" i="20"/>
  <c r="AT83" i="20" a="1"/>
  <c r="AG116" i="20" l="1"/>
  <c r="R97" i="19" s="1"/>
  <c r="P22" i="40"/>
  <c r="M22" i="40" s="1"/>
  <c r="AG112" i="20"/>
  <c r="R93" i="19" s="1"/>
  <c r="AG105" i="20"/>
  <c r="R86" i="19" s="1"/>
  <c r="AG108" i="20"/>
  <c r="R89" i="19" s="1"/>
  <c r="AG111" i="20"/>
  <c r="R92" i="19" s="1"/>
  <c r="AG109" i="20"/>
  <c r="R90" i="19" s="1"/>
  <c r="AG117" i="20"/>
  <c r="R98" i="19" s="1"/>
  <c r="AG115" i="20"/>
  <c r="R96" i="19" s="1"/>
  <c r="AT83" i="20"/>
  <c r="AH103" i="20" s="1"/>
  <c r="S84" i="19" s="1"/>
  <c r="AS84" i="20" a="1"/>
  <c r="P23" i="40" l="1"/>
  <c r="M23" i="40" s="1"/>
  <c r="R99" i="19"/>
  <c r="H121" i="19" s="1"/>
  <c r="AS84" i="20"/>
  <c r="AH104" i="20" s="1"/>
  <c r="S85" i="19" s="1"/>
  <c r="AS85" i="20" a="1"/>
  <c r="M121" i="19" l="1"/>
  <c r="F121" i="19"/>
  <c r="K121" i="19"/>
  <c r="H120" i="19"/>
  <c r="H119" i="19"/>
  <c r="AS85" i="20"/>
  <c r="AT85" i="20" a="1"/>
  <c r="AS93" i="20" a="1"/>
  <c r="AY83" i="20" a="1"/>
  <c r="AT96" i="20" a="1"/>
  <c r="AS96" i="20" a="1"/>
  <c r="AS95" i="20" a="1"/>
  <c r="AS91" i="20" a="1"/>
  <c r="AS87" i="20" a="1"/>
  <c r="AT90" i="20" a="1"/>
  <c r="AT91" i="20" a="1"/>
  <c r="AT95" i="20" a="1"/>
  <c r="AT97" i="20" a="1"/>
  <c r="AT88" i="20" a="1"/>
  <c r="AS97" i="20" a="1"/>
  <c r="AS86" i="20" a="1"/>
  <c r="AS94" i="20" a="1"/>
  <c r="AS90" i="20" a="1"/>
  <c r="AT86" i="20" a="1"/>
  <c r="AS88" i="20" a="1"/>
  <c r="M120" i="19" l="1"/>
  <c r="F120" i="19"/>
  <c r="P120" i="19" s="1"/>
  <c r="M119" i="19"/>
  <c r="F119" i="19"/>
  <c r="P119" i="19" s="1"/>
  <c r="P24" i="40" s="1"/>
  <c r="M24" i="40" s="1"/>
  <c r="K120" i="19"/>
  <c r="K119" i="19"/>
  <c r="P121" i="19"/>
  <c r="AS90" i="20"/>
  <c r="AS93" i="20"/>
  <c r="AH113" i="20" s="1"/>
  <c r="S94" i="19" s="1"/>
  <c r="AT86" i="20"/>
  <c r="AS96" i="20"/>
  <c r="AT91" i="20"/>
  <c r="AS86" i="20"/>
  <c r="AT97" i="20"/>
  <c r="AT88" i="20"/>
  <c r="AS97" i="20"/>
  <c r="AS95" i="20"/>
  <c r="AS91" i="20"/>
  <c r="AT85" i="20"/>
  <c r="AH105" i="20" s="1"/>
  <c r="S86" i="19" s="1"/>
  <c r="AT95" i="20"/>
  <c r="AS88" i="20"/>
  <c r="AS94" i="20"/>
  <c r="AH114" i="20" s="1"/>
  <c r="S95" i="19" s="1"/>
  <c r="AS87" i="20"/>
  <c r="AH107" i="20" s="1"/>
  <c r="S88" i="19" s="1"/>
  <c r="AT96" i="20"/>
  <c r="AT90" i="20"/>
  <c r="P126" i="19"/>
  <c r="P127" i="19"/>
  <c r="AY83" i="20"/>
  <c r="AZ83" i="20" a="1"/>
  <c r="AH111" i="20" l="1"/>
  <c r="S92" i="19" s="1"/>
  <c r="P25" i="40"/>
  <c r="M25" i="40" s="1"/>
  <c r="AH115" i="20"/>
  <c r="S96" i="19" s="1"/>
  <c r="AH117" i="20"/>
  <c r="S98" i="19" s="1"/>
  <c r="AH110" i="20"/>
  <c r="S91" i="19" s="1"/>
  <c r="AH108" i="20"/>
  <c r="S89" i="19" s="1"/>
  <c r="AH106" i="20"/>
  <c r="S87" i="19" s="1"/>
  <c r="AH116" i="20"/>
  <c r="S97" i="19" s="1"/>
  <c r="AZ83" i="20"/>
  <c r="AK103" i="20" s="1"/>
  <c r="V84" i="19" s="1"/>
  <c r="AY84" i="20" a="1"/>
  <c r="P26" i="40" l="1"/>
  <c r="M26" i="40" s="1"/>
  <c r="S99" i="19"/>
  <c r="H122" i="19" s="1"/>
  <c r="AY84" i="20"/>
  <c r="AZ84" i="20" a="1"/>
  <c r="M122" i="19" l="1"/>
  <c r="F122" i="19"/>
  <c r="P122" i="19" s="1"/>
  <c r="P27" i="40" s="1"/>
  <c r="M27" i="40" s="1"/>
  <c r="K122" i="19"/>
  <c r="H124" i="19"/>
  <c r="H123" i="19"/>
  <c r="AZ84" i="20"/>
  <c r="AK104" i="20" s="1"/>
  <c r="V85" i="19" s="1"/>
  <c r="AY86" i="20" a="1"/>
  <c r="AZ91" i="20" a="1"/>
  <c r="BA83" i="20" a="1"/>
  <c r="AZ97" i="20" a="1"/>
  <c r="AY93" i="20" a="1"/>
  <c r="AZ87" i="20" a="1"/>
  <c r="AY85" i="20" a="1"/>
  <c r="AY96" i="20" a="1"/>
  <c r="AZ93" i="20" a="1"/>
  <c r="AY95" i="20" a="1"/>
  <c r="AY94" i="20" a="1"/>
  <c r="AZ90" i="20" a="1"/>
  <c r="AY90" i="20" a="1"/>
  <c r="AZ92" i="20" a="1"/>
  <c r="AY88" i="20" a="1"/>
  <c r="AZ96" i="20" a="1"/>
  <c r="AZ88" i="20" a="1"/>
  <c r="AY97" i="20" a="1"/>
  <c r="AY92" i="20" a="1"/>
  <c r="AY87" i="20" a="1"/>
  <c r="AZ95" i="20" a="1"/>
  <c r="AZ94" i="20" a="1"/>
  <c r="AY91" i="20" a="1"/>
  <c r="AZ86" i="20" a="1"/>
  <c r="M123" i="19" l="1"/>
  <c r="F123" i="19"/>
  <c r="P123" i="19" s="1"/>
  <c r="P28" i="40" s="1"/>
  <c r="M28" i="40" s="1"/>
  <c r="M124" i="19"/>
  <c r="F124" i="19"/>
  <c r="P124" i="19" s="1"/>
  <c r="K123" i="19"/>
  <c r="K124" i="19"/>
  <c r="P125" i="19"/>
  <c r="AY97" i="20"/>
  <c r="AY91" i="20"/>
  <c r="AZ92" i="20"/>
  <c r="AZ90" i="20"/>
  <c r="AY85" i="20"/>
  <c r="AK105" i="20" s="1"/>
  <c r="V86" i="19" s="1"/>
  <c r="AZ94" i="20"/>
  <c r="AZ87" i="20"/>
  <c r="AY96" i="20"/>
  <c r="AY94" i="20"/>
  <c r="AY90" i="20"/>
  <c r="AY87" i="20"/>
  <c r="AY92" i="20"/>
  <c r="AZ97" i="20"/>
  <c r="AZ93" i="20"/>
  <c r="AZ91" i="20"/>
  <c r="AZ88" i="20"/>
  <c r="AZ86" i="20"/>
  <c r="AZ95" i="20"/>
  <c r="AZ96" i="20"/>
  <c r="AY95" i="20"/>
  <c r="AY93" i="20"/>
  <c r="AY88" i="20"/>
  <c r="AY86" i="20"/>
  <c r="BA83" i="20"/>
  <c r="BB83" i="20" a="1"/>
  <c r="P29" i="40" l="1"/>
  <c r="M29" i="40" s="1"/>
  <c r="AK111" i="20"/>
  <c r="V92" i="19" s="1"/>
  <c r="AK107" i="20"/>
  <c r="V88" i="19" s="1"/>
  <c r="AK110" i="20"/>
  <c r="V91" i="19" s="1"/>
  <c r="AK117" i="20"/>
  <c r="V98" i="19" s="1"/>
  <c r="AK113" i="20"/>
  <c r="V94" i="19" s="1"/>
  <c r="AK114" i="20"/>
  <c r="V95" i="19" s="1"/>
  <c r="AK108" i="20"/>
  <c r="V89" i="19" s="1"/>
  <c r="AK112" i="20"/>
  <c r="V93" i="19" s="1"/>
  <c r="AK115" i="20"/>
  <c r="V96" i="19" s="1"/>
  <c r="AK116" i="20"/>
  <c r="V97" i="19" s="1"/>
  <c r="AK106" i="20"/>
  <c r="V87" i="19" s="1"/>
  <c r="BB83" i="20"/>
  <c r="AL103" i="20" s="1"/>
  <c r="W84" i="19" s="1"/>
  <c r="BA84" i="20" a="1"/>
  <c r="P30" i="40" l="1"/>
  <c r="M30" i="40" s="1"/>
  <c r="V99" i="19"/>
  <c r="H131" i="19" s="1"/>
  <c r="BA84" i="20"/>
  <c r="BB84" i="20" a="1"/>
  <c r="M131" i="19" l="1"/>
  <c r="F131" i="19"/>
  <c r="P131" i="19" s="1"/>
  <c r="P36" i="40" s="1"/>
  <c r="M36" i="40" s="1"/>
  <c r="P31" i="40"/>
  <c r="P32" i="40" s="1"/>
  <c r="M32" i="40" s="1"/>
  <c r="K131" i="19"/>
  <c r="H133" i="19"/>
  <c r="H132" i="19"/>
  <c r="BB84" i="20"/>
  <c r="AL104" i="20" s="1"/>
  <c r="W85" i="19" s="1"/>
  <c r="BA90" i="20" a="1"/>
  <c r="BA97" i="20" a="1"/>
  <c r="BA95" i="20" a="1"/>
  <c r="BA89" i="20" a="1"/>
  <c r="BB92" i="20" a="1"/>
  <c r="BB93" i="20" a="1"/>
  <c r="BB96" i="20" a="1"/>
  <c r="BB85" i="20" a="1"/>
  <c r="BB90" i="20" a="1"/>
  <c r="BA91" i="20" a="1"/>
  <c r="BA96" i="20" a="1"/>
  <c r="BA87" i="20" a="1"/>
  <c r="BA94" i="20" a="1"/>
  <c r="BB91" i="20" a="1"/>
  <c r="BB97" i="20" a="1"/>
  <c r="BB89" i="20" a="1"/>
  <c r="BB87" i="20" a="1"/>
  <c r="BB95" i="20" a="1"/>
  <c r="BB86" i="20" a="1"/>
  <c r="BC83" i="20" a="1"/>
  <c r="BA85" i="20" a="1"/>
  <c r="BA86" i="20" a="1"/>
  <c r="BA92" i="20" a="1"/>
  <c r="BA93" i="20" a="1"/>
  <c r="M133" i="19" l="1"/>
  <c r="F133" i="19"/>
  <c r="P133" i="19" s="1"/>
  <c r="M132" i="19"/>
  <c r="F132" i="19"/>
  <c r="P132" i="19" s="1"/>
  <c r="P37" i="40" s="1"/>
  <c r="M37" i="40" s="1"/>
  <c r="M31" i="40"/>
  <c r="K132" i="19"/>
  <c r="K133" i="19"/>
  <c r="BB95" i="20"/>
  <c r="BA91" i="20"/>
  <c r="BA86" i="20"/>
  <c r="BA96" i="20"/>
  <c r="BA93" i="20"/>
  <c r="BA89" i="20"/>
  <c r="BB91" i="20"/>
  <c r="BA97" i="20"/>
  <c r="BB87" i="20"/>
  <c r="BB93" i="20"/>
  <c r="BB92" i="20"/>
  <c r="BB90" i="20"/>
  <c r="BB85" i="20"/>
  <c r="BB97" i="20"/>
  <c r="BB96" i="20"/>
  <c r="BA94" i="20"/>
  <c r="AL114" i="20" s="1"/>
  <c r="W95" i="19" s="1"/>
  <c r="BA92" i="20"/>
  <c r="BA87" i="20"/>
  <c r="BA85" i="20"/>
  <c r="BA95" i="20"/>
  <c r="BA90" i="20"/>
  <c r="BB89" i="20"/>
  <c r="BB86" i="20"/>
  <c r="BC83" i="20"/>
  <c r="BD83" i="20" a="1"/>
  <c r="AL109" i="20" l="1"/>
  <c r="W90" i="19" s="1"/>
  <c r="P38" i="40"/>
  <c r="M38" i="40" s="1"/>
  <c r="AL106" i="20"/>
  <c r="W87" i="19" s="1"/>
  <c r="AL116" i="20"/>
  <c r="W97" i="19" s="1"/>
  <c r="AL111" i="20"/>
  <c r="W92" i="19" s="1"/>
  <c r="AL105" i="20"/>
  <c r="W86" i="19" s="1"/>
  <c r="AL112" i="20"/>
  <c r="W93" i="19" s="1"/>
  <c r="AL110" i="20"/>
  <c r="W91" i="19" s="1"/>
  <c r="AL117" i="20"/>
  <c r="W98" i="19" s="1"/>
  <c r="AL113" i="20"/>
  <c r="W94" i="19" s="1"/>
  <c r="AL107" i="20"/>
  <c r="W88" i="19" s="1"/>
  <c r="AL115" i="20"/>
  <c r="W96" i="19" s="1"/>
  <c r="BD83" i="20"/>
  <c r="AM103" i="20" s="1"/>
  <c r="X84" i="19" s="1"/>
  <c r="BC84" i="20" a="1"/>
  <c r="W99" i="19" l="1"/>
  <c r="BC84" i="20"/>
  <c r="BD84" i="20" a="1"/>
  <c r="H135" i="19" l="1"/>
  <c r="H136" i="19"/>
  <c r="H134" i="19"/>
  <c r="BD84" i="20"/>
  <c r="AM104" i="20" s="1"/>
  <c r="X85" i="19" s="1"/>
  <c r="AW48" i="23"/>
  <c r="AW49" i="23" s="1"/>
  <c r="S104" i="19"/>
  <c r="T104" i="19" s="1"/>
  <c r="AB104" i="19"/>
  <c r="BC111" i="19"/>
  <c r="S110" i="19" s="1"/>
  <c r="AY48" i="23"/>
  <c r="AY49" i="23" s="1"/>
  <c r="BC113" i="19"/>
  <c r="S112" i="19" s="1"/>
  <c r="BC112" i="19"/>
  <c r="S111" i="19" s="1"/>
  <c r="BC114" i="19"/>
  <c r="S113" i="19" s="1"/>
  <c r="AZ48" i="23"/>
  <c r="AZ46" i="23" s="1"/>
  <c r="BC116" i="19"/>
  <c r="BF116" i="19" s="1"/>
  <c r="BC115" i="19"/>
  <c r="S114" i="19" s="1"/>
  <c r="BC127" i="19"/>
  <c r="S126" i="19" s="1"/>
  <c r="BC128" i="19"/>
  <c r="BF128" i="19" s="1"/>
  <c r="BC126" i="19"/>
  <c r="BF126" i="19" s="1"/>
  <c r="BD48" i="23"/>
  <c r="BD78" i="23" s="1"/>
  <c r="BC96" i="20" a="1"/>
  <c r="BD86" i="20" a="1"/>
  <c r="AB89" i="20" a="1"/>
  <c r="BD87" i="20" a="1"/>
  <c r="BD91" i="20" a="1"/>
  <c r="BC89" i="20" a="1"/>
  <c r="BC94" i="20" a="1"/>
  <c r="BC85" i="20" a="1"/>
  <c r="BC86" i="20" a="1"/>
  <c r="BD97" i="20" a="1"/>
  <c r="BD96" i="20" a="1"/>
  <c r="BD92" i="20" a="1"/>
  <c r="BD93" i="20" a="1"/>
  <c r="BD85" i="20" a="1"/>
  <c r="BC91" i="20" a="1"/>
  <c r="BD90" i="20" a="1"/>
  <c r="BC97" i="20" a="1"/>
  <c r="BC88" i="20" a="1"/>
  <c r="BC90" i="20" a="1"/>
  <c r="BD94" i="20" a="1"/>
  <c r="BD89" i="20" a="1"/>
  <c r="BC87" i="20" a="1"/>
  <c r="BD88" i="20" a="1"/>
  <c r="BC92" i="20" a="1"/>
  <c r="BC95" i="20" a="1"/>
  <c r="BD95" i="20" a="1"/>
  <c r="BC93" i="20" a="1"/>
  <c r="M134" i="19" l="1"/>
  <c r="F134" i="19"/>
  <c r="P134" i="19" s="1"/>
  <c r="P39" i="40" s="1"/>
  <c r="M39" i="40" s="1"/>
  <c r="M136" i="19"/>
  <c r="F136" i="19"/>
  <c r="P136" i="19" s="1"/>
  <c r="M135" i="19"/>
  <c r="F135" i="19"/>
  <c r="P135" i="19" s="1"/>
  <c r="K134" i="19"/>
  <c r="K136" i="19"/>
  <c r="K135" i="19"/>
  <c r="BD97" i="20"/>
  <c r="BD95" i="20"/>
  <c r="BD93" i="20"/>
  <c r="BD91" i="20"/>
  <c r="BD89" i="20"/>
  <c r="BD87" i="20"/>
  <c r="BD85" i="20"/>
  <c r="BC97" i="20"/>
  <c r="BC95" i="20"/>
  <c r="BC93" i="20"/>
  <c r="BC91" i="20"/>
  <c r="BC89" i="20"/>
  <c r="BC87" i="20"/>
  <c r="BC85" i="20"/>
  <c r="BD96" i="20"/>
  <c r="BD94" i="20"/>
  <c r="BD92" i="20"/>
  <c r="BD90" i="20"/>
  <c r="BD88" i="20"/>
  <c r="BD86" i="20"/>
  <c r="BC96" i="20"/>
  <c r="BC94" i="20"/>
  <c r="BC92" i="20"/>
  <c r="BC90" i="20"/>
  <c r="BC88" i="20"/>
  <c r="BC86" i="20"/>
  <c r="AB111" i="19"/>
  <c r="AB110" i="19"/>
  <c r="AB115" i="19"/>
  <c r="AB126" i="19"/>
  <c r="AB112" i="19"/>
  <c r="AB127" i="19"/>
  <c r="AB125" i="19"/>
  <c r="AB114" i="19"/>
  <c r="AB113" i="19"/>
  <c r="BF112" i="19"/>
  <c r="BF111" i="19"/>
  <c r="S125" i="19"/>
  <c r="T125" i="19" s="1"/>
  <c r="T113" i="19"/>
  <c r="AW86" i="23"/>
  <c r="T110" i="19"/>
  <c r="AW83" i="23"/>
  <c r="AW73" i="23"/>
  <c r="T114" i="19"/>
  <c r="AW75" i="23"/>
  <c r="S115" i="19"/>
  <c r="T115" i="19" s="1"/>
  <c r="BF127" i="19"/>
  <c r="AW91" i="23"/>
  <c r="BD88" i="23"/>
  <c r="AW87" i="23"/>
  <c r="BD46" i="23"/>
  <c r="BD52" i="23" s="1"/>
  <c r="S127" i="19"/>
  <c r="T127" i="19" s="1"/>
  <c r="BD79" i="23"/>
  <c r="BD80" i="23"/>
  <c r="T112" i="19"/>
  <c r="AW84" i="23"/>
  <c r="BD87" i="23"/>
  <c r="BD83" i="23"/>
  <c r="BD73" i="23"/>
  <c r="T126" i="19"/>
  <c r="BF114" i="19"/>
  <c r="BF113" i="19"/>
  <c r="AW81" i="23"/>
  <c r="BF115" i="19"/>
  <c r="AW88" i="23"/>
  <c r="AW79" i="23"/>
  <c r="BD49" i="23"/>
  <c r="BD84" i="23"/>
  <c r="BD91" i="23"/>
  <c r="AW76" i="23"/>
  <c r="AW80" i="23"/>
  <c r="AW46" i="23"/>
  <c r="AW54" i="23" s="1"/>
  <c r="BD77" i="23"/>
  <c r="BD86" i="23"/>
  <c r="AW74" i="23"/>
  <c r="AW89" i="23"/>
  <c r="BD76" i="23"/>
  <c r="BD82" i="23"/>
  <c r="T111" i="19"/>
  <c r="BD81" i="23"/>
  <c r="AW77" i="23"/>
  <c r="AW85" i="23"/>
  <c r="AZ56" i="23"/>
  <c r="AZ49" i="23"/>
  <c r="AZ88" i="23"/>
  <c r="AZ70" i="23"/>
  <c r="AY88" i="23"/>
  <c r="AY87" i="23"/>
  <c r="AZ86" i="23"/>
  <c r="AZ55" i="23"/>
  <c r="AZ73" i="23"/>
  <c r="AZ66" i="23"/>
  <c r="AZ87" i="23"/>
  <c r="AZ83" i="23"/>
  <c r="AY76" i="23"/>
  <c r="AY86" i="23"/>
  <c r="AY75" i="23"/>
  <c r="AY80" i="23"/>
  <c r="AY79" i="23"/>
  <c r="AZ51" i="23"/>
  <c r="AZ89" i="23"/>
  <c r="BD75" i="23"/>
  <c r="BD90" i="23"/>
  <c r="AZ63" i="23"/>
  <c r="AZ85" i="23"/>
  <c r="AZ53" i="23"/>
  <c r="AZ82" i="23"/>
  <c r="AY82" i="23"/>
  <c r="AY92" i="23"/>
  <c r="AY91" i="23"/>
  <c r="AZ64" i="23"/>
  <c r="AY78" i="23"/>
  <c r="BD85" i="23"/>
  <c r="BD74" i="23"/>
  <c r="BD89" i="23"/>
  <c r="AZ81" i="23"/>
  <c r="AZ57" i="23"/>
  <c r="AZ60" i="23"/>
  <c r="AZ76" i="23"/>
  <c r="AZ91" i="23"/>
  <c r="AY77" i="23"/>
  <c r="AY74" i="23"/>
  <c r="AW90" i="23"/>
  <c r="AZ78" i="23"/>
  <c r="AZ80" i="23"/>
  <c r="AZ79" i="23"/>
  <c r="AZ92" i="23"/>
  <c r="AZ67" i="23"/>
  <c r="AZ75" i="23"/>
  <c r="AZ65" i="23"/>
  <c r="AW92" i="23"/>
  <c r="AW82" i="23"/>
  <c r="AZ58" i="23"/>
  <c r="AY84" i="23"/>
  <c r="AY83" i="23"/>
  <c r="AY73" i="23"/>
  <c r="AZ59" i="23"/>
  <c r="AZ61" i="23"/>
  <c r="AZ62" i="23"/>
  <c r="AZ90" i="23"/>
  <c r="AZ84" i="23"/>
  <c r="AZ54" i="23"/>
  <c r="AZ69" i="23"/>
  <c r="AY46" i="23"/>
  <c r="AY56" i="23" s="1"/>
  <c r="BD92" i="23"/>
  <c r="AZ52" i="23"/>
  <c r="AZ77" i="23"/>
  <c r="AZ68" i="23"/>
  <c r="AZ74" i="23"/>
  <c r="AY85" i="23"/>
  <c r="AY90" i="23"/>
  <c r="AY89" i="23"/>
  <c r="AY81" i="23"/>
  <c r="AW78" i="23"/>
  <c r="AB89" i="20"/>
  <c r="AA93" i="20" a="1"/>
  <c r="P40" i="40" l="1"/>
  <c r="M40" i="40" s="1"/>
  <c r="AM115" i="20"/>
  <c r="X96" i="19" s="1"/>
  <c r="AM116" i="20"/>
  <c r="X97" i="19" s="1"/>
  <c r="AM105" i="20"/>
  <c r="X86" i="19" s="1"/>
  <c r="AM108" i="20"/>
  <c r="X89" i="19" s="1"/>
  <c r="AM107" i="20"/>
  <c r="X88" i="19" s="1"/>
  <c r="AM114" i="20"/>
  <c r="X95" i="19" s="1"/>
  <c r="AM109" i="20"/>
  <c r="X90" i="19" s="1"/>
  <c r="AM106" i="20"/>
  <c r="X87" i="19" s="1"/>
  <c r="AM111" i="20"/>
  <c r="X92" i="19" s="1"/>
  <c r="AM113" i="20"/>
  <c r="X94" i="19" s="1"/>
  <c r="AM110" i="20"/>
  <c r="X91" i="19" s="1"/>
  <c r="AM112" i="20"/>
  <c r="X93" i="19" s="1"/>
  <c r="AM117" i="20"/>
  <c r="X98" i="19" s="1"/>
  <c r="BQ56" i="23"/>
  <c r="BD66" i="23"/>
  <c r="BV66" i="23" s="1"/>
  <c r="AW69" i="23"/>
  <c r="BO69" i="23" s="1"/>
  <c r="BR54" i="23"/>
  <c r="BR61" i="23"/>
  <c r="AW53" i="23"/>
  <c r="BO53" i="23" s="1"/>
  <c r="AW51" i="23"/>
  <c r="BO51" i="23" s="1"/>
  <c r="AW68" i="23"/>
  <c r="BO68" i="23" s="1"/>
  <c r="AW59" i="23"/>
  <c r="BO59" i="23" s="1"/>
  <c r="AW63" i="23"/>
  <c r="BO63" i="23" s="1"/>
  <c r="AW61" i="23"/>
  <c r="BO61" i="23" s="1"/>
  <c r="AW65" i="23"/>
  <c r="BO65" i="23" s="1"/>
  <c r="AW52" i="23"/>
  <c r="BO52" i="23" s="1"/>
  <c r="AW66" i="23"/>
  <c r="BO66" i="23" s="1"/>
  <c r="AW67" i="23"/>
  <c r="BO67" i="23" s="1"/>
  <c r="AW70" i="23"/>
  <c r="BO70" i="23" s="1"/>
  <c r="AW55" i="23"/>
  <c r="BO55" i="23" s="1"/>
  <c r="AW57" i="23"/>
  <c r="BO57" i="23" s="1"/>
  <c r="BR67" i="23"/>
  <c r="AW62" i="23"/>
  <c r="BO62" i="23" s="1"/>
  <c r="BR64" i="23"/>
  <c r="AW58" i="23"/>
  <c r="BO58" i="23" s="1"/>
  <c r="BR68" i="23"/>
  <c r="BV52" i="23"/>
  <c r="BD67" i="23"/>
  <c r="BV67" i="23" s="1"/>
  <c r="BD58" i="23"/>
  <c r="BV58" i="23" s="1"/>
  <c r="BD56" i="23"/>
  <c r="BV56" i="23" s="1"/>
  <c r="BD61" i="23"/>
  <c r="BV61" i="23" s="1"/>
  <c r="BD64" i="23"/>
  <c r="BV64" i="23" s="1"/>
  <c r="BD59" i="23"/>
  <c r="BV59" i="23" s="1"/>
  <c r="BD55" i="23"/>
  <c r="BV55" i="23" s="1"/>
  <c r="BD62" i="23"/>
  <c r="BV62" i="23" s="1"/>
  <c r="BD54" i="23"/>
  <c r="BV54" i="23" s="1"/>
  <c r="BD70" i="23"/>
  <c r="BV70" i="23" s="1"/>
  <c r="BD57" i="23"/>
  <c r="BV57" i="23" s="1"/>
  <c r="BD63" i="23"/>
  <c r="BV63" i="23" s="1"/>
  <c r="BD51" i="23"/>
  <c r="BV51" i="23" s="1"/>
  <c r="BR69" i="23"/>
  <c r="BD60" i="23"/>
  <c r="BV60" i="23" s="1"/>
  <c r="BD68" i="23"/>
  <c r="BV68" i="23" s="1"/>
  <c r="BD53" i="23"/>
  <c r="BV53" i="23" s="1"/>
  <c r="BD69" i="23"/>
  <c r="BV69" i="23" s="1"/>
  <c r="BO54" i="23"/>
  <c r="AW60" i="23"/>
  <c r="BO60" i="23" s="1"/>
  <c r="AY58" i="23"/>
  <c r="BQ58" i="23" s="1"/>
  <c r="BR66" i="23"/>
  <c r="BD65" i="23"/>
  <c r="BV65" i="23" s="1"/>
  <c r="AW64" i="23"/>
  <c r="BO64" i="23" s="1"/>
  <c r="AW56" i="23"/>
  <c r="BO56" i="23" s="1"/>
  <c r="AY57" i="23"/>
  <c r="BQ57" i="23" s="1"/>
  <c r="BR59" i="23"/>
  <c r="AY68" i="23"/>
  <c r="BQ68" i="23" s="1"/>
  <c r="AY69" i="23"/>
  <c r="BQ69" i="23" s="1"/>
  <c r="AY63" i="23"/>
  <c r="BQ63" i="23" s="1"/>
  <c r="BR56" i="23"/>
  <c r="AY51" i="23"/>
  <c r="BQ51" i="23" s="1"/>
  <c r="AY64" i="23"/>
  <c r="BQ64" i="23" s="1"/>
  <c r="AY70" i="23"/>
  <c r="BQ70" i="23" s="1"/>
  <c r="BR60" i="23"/>
  <c r="AY53" i="23"/>
  <c r="BQ53" i="23" s="1"/>
  <c r="AY66" i="23"/>
  <c r="BQ66" i="23" s="1"/>
  <c r="BR52" i="23"/>
  <c r="AY59" i="23"/>
  <c r="BQ59" i="23" s="1"/>
  <c r="BR57" i="23"/>
  <c r="AY62" i="23"/>
  <c r="BQ62" i="23" s="1"/>
  <c r="AY60" i="23"/>
  <c r="BQ60" i="23" s="1"/>
  <c r="AY55" i="23"/>
  <c r="BQ55" i="23" s="1"/>
  <c r="BR65" i="23"/>
  <c r="BR53" i="23"/>
  <c r="AY54" i="23"/>
  <c r="BQ54" i="23" s="1"/>
  <c r="BR70" i="23"/>
  <c r="AY61" i="23"/>
  <c r="BQ61" i="23" s="1"/>
  <c r="AY52" i="23"/>
  <c r="BQ52" i="23" s="1"/>
  <c r="BR62" i="23"/>
  <c r="BR58" i="23"/>
  <c r="AY67" i="23"/>
  <c r="BQ67" i="23" s="1"/>
  <c r="AY65" i="23"/>
  <c r="BQ65" i="23" s="1"/>
  <c r="BR55" i="23"/>
  <c r="BR63" i="23"/>
  <c r="BR51" i="23"/>
  <c r="AA93" i="20"/>
  <c r="Y113" i="20" s="1"/>
  <c r="J94" i="19" s="1"/>
  <c r="AA94" i="20" a="1"/>
  <c r="P41" i="40" l="1"/>
  <c r="M41" i="40" s="1"/>
  <c r="X99" i="19"/>
  <c r="H138" i="19" s="1"/>
  <c r="AA94" i="20"/>
  <c r="AB94" i="20" a="1"/>
  <c r="M138" i="19" l="1"/>
  <c r="F138" i="19"/>
  <c r="K138" i="19"/>
  <c r="H137" i="19"/>
  <c r="H139" i="19"/>
  <c r="AB94" i="20"/>
  <c r="Y114" i="20" s="1"/>
  <c r="J95" i="19" s="1"/>
  <c r="AE95" i="20" a="1"/>
  <c r="M137" i="19" l="1"/>
  <c r="F137" i="19"/>
  <c r="P137" i="19" s="1"/>
  <c r="P42" i="40" s="1"/>
  <c r="M42" i="40" s="1"/>
  <c r="M139" i="19"/>
  <c r="F139" i="19"/>
  <c r="P139" i="19" s="1"/>
  <c r="K139" i="19"/>
  <c r="K137" i="19"/>
  <c r="P138" i="19"/>
  <c r="AE95" i="20"/>
  <c r="AF95" i="20" a="1"/>
  <c r="P43" i="40" l="1"/>
  <c r="M43" i="40" s="1"/>
  <c r="AF95" i="20"/>
  <c r="AA115" i="20" s="1"/>
  <c r="L96" i="19" s="1"/>
  <c r="BC117" i="19"/>
  <c r="BF117" i="19" s="1"/>
  <c r="BA48" i="23"/>
  <c r="BA85" i="23" s="1"/>
  <c r="BC119" i="19"/>
  <c r="S118" i="19" s="1"/>
  <c r="BC118" i="19"/>
  <c r="BF118" i="19" s="1"/>
  <c r="AA87" i="20" a="1"/>
  <c r="AE94" i="20" a="1"/>
  <c r="AF94" i="20" a="1"/>
  <c r="P44" i="40" l="1"/>
  <c r="M44" i="40" s="1"/>
  <c r="D34" i="40" s="1"/>
  <c r="AF94" i="20"/>
  <c r="AE94" i="20"/>
  <c r="AB118" i="19"/>
  <c r="AB116" i="19"/>
  <c r="AB117" i="19"/>
  <c r="BF119" i="19"/>
  <c r="S116" i="19"/>
  <c r="T116" i="19" s="1"/>
  <c r="T118" i="19"/>
  <c r="S117" i="19"/>
  <c r="T117" i="19" s="1"/>
  <c r="BA92" i="23"/>
  <c r="BA89" i="23"/>
  <c r="BA74" i="23"/>
  <c r="BA86" i="23"/>
  <c r="BA75" i="23"/>
  <c r="BA90" i="23"/>
  <c r="BA83" i="23"/>
  <c r="BA88" i="23"/>
  <c r="BA81" i="23"/>
  <c r="BA84" i="23"/>
  <c r="BA77" i="23"/>
  <c r="BA78" i="23"/>
  <c r="BA91" i="23"/>
  <c r="BA80" i="23"/>
  <c r="BA76" i="23"/>
  <c r="BA87" i="23"/>
  <c r="BA82" i="23"/>
  <c r="BA73" i="23"/>
  <c r="BA46" i="23"/>
  <c r="BA69" i="23" s="1"/>
  <c r="BA49" i="23"/>
  <c r="BA79" i="23"/>
  <c r="AA87" i="20"/>
  <c r="Y107" i="20" s="1"/>
  <c r="J88" i="19" s="1"/>
  <c r="AF89" i="20" a="1"/>
  <c r="D32" i="40" l="1"/>
  <c r="D23" i="40"/>
  <c r="D27" i="40"/>
  <c r="D17" i="40"/>
  <c r="D15" i="40"/>
  <c r="D9" i="40"/>
  <c r="D14" i="40"/>
  <c r="D16" i="40"/>
  <c r="D24" i="40"/>
  <c r="D13" i="40"/>
  <c r="D29" i="40"/>
  <c r="D12" i="40"/>
  <c r="D20" i="40"/>
  <c r="D26" i="40"/>
  <c r="D21" i="40"/>
  <c r="D22" i="40"/>
  <c r="D33" i="40"/>
  <c r="D18" i="40"/>
  <c r="D11" i="40"/>
  <c r="D25" i="40"/>
  <c r="D30" i="40"/>
  <c r="D31" i="40"/>
  <c r="D19" i="40"/>
  <c r="D10" i="40"/>
  <c r="AA114" i="20"/>
  <c r="L95" i="19" s="1"/>
  <c r="BA52" i="23"/>
  <c r="BS52" i="23" s="1"/>
  <c r="BA53" i="23"/>
  <c r="BS53" i="23" s="1"/>
  <c r="BS69" i="23"/>
  <c r="BA70" i="23"/>
  <c r="BS70" i="23" s="1"/>
  <c r="BA63" i="23"/>
  <c r="BS63" i="23" s="1"/>
  <c r="BA65" i="23"/>
  <c r="BS65" i="23" s="1"/>
  <c r="BA60" i="23"/>
  <c r="BS60" i="23" s="1"/>
  <c r="BA64" i="23"/>
  <c r="BS64" i="23" s="1"/>
  <c r="BA57" i="23"/>
  <c r="BS57" i="23" s="1"/>
  <c r="BA51" i="23"/>
  <c r="BS51" i="23" s="1"/>
  <c r="BA54" i="23"/>
  <c r="BS54" i="23" s="1"/>
  <c r="BA55" i="23"/>
  <c r="BS55" i="23" s="1"/>
  <c r="BA68" i="23"/>
  <c r="BS68" i="23" s="1"/>
  <c r="BA67" i="23"/>
  <c r="BS67" i="23" s="1"/>
  <c r="BA62" i="23"/>
  <c r="BS62" i="23" s="1"/>
  <c r="BA61" i="23"/>
  <c r="BS61" i="23" s="1"/>
  <c r="BA58" i="23"/>
  <c r="BS58" i="23" s="1"/>
  <c r="BA56" i="23"/>
  <c r="BS56" i="23" s="1"/>
  <c r="BA59" i="23"/>
  <c r="BS59" i="23" s="1"/>
  <c r="BA66" i="23"/>
  <c r="BS66" i="23" s="1"/>
  <c r="AF89" i="20"/>
  <c r="BC139" i="19"/>
  <c r="S138" i="19" s="1"/>
  <c r="BC140" i="19"/>
  <c r="BF140" i="19" s="1"/>
  <c r="BC138" i="19"/>
  <c r="S137" i="19" s="1"/>
  <c r="BH48" i="23"/>
  <c r="BH82" i="23" s="1"/>
  <c r="BJ91" i="20" a="1"/>
  <c r="BF90" i="20" a="1"/>
  <c r="AE96" i="20" a="1"/>
  <c r="BL83" i="20" a="1"/>
  <c r="BK86" i="20" a="1"/>
  <c r="BH96" i="20" a="1"/>
  <c r="BJ89" i="20" a="1"/>
  <c r="AA86" i="20" a="1"/>
  <c r="AF96" i="20" a="1"/>
  <c r="BL91" i="20" a="1"/>
  <c r="BG97" i="20" a="1"/>
  <c r="AB96" i="20" a="1"/>
  <c r="BL89" i="20" a="1"/>
  <c r="AF86" i="20" a="1"/>
  <c r="BG85" i="20" a="1"/>
  <c r="AE89" i="20" a="1"/>
  <c r="BL94" i="20" a="1"/>
  <c r="AE84" i="20" a="1"/>
  <c r="AE88" i="20" a="1"/>
  <c r="BH92" i="20" a="1"/>
  <c r="BG88" i="20" a="1"/>
  <c r="BK90" i="20" a="1"/>
  <c r="BL86" i="20" a="1"/>
  <c r="BG94" i="20" a="1"/>
  <c r="BH94" i="20" a="1"/>
  <c r="BK85" i="20" a="1"/>
  <c r="AB97" i="20" a="1"/>
  <c r="BH95" i="20" a="1"/>
  <c r="BG91" i="20" a="1"/>
  <c r="AA85" i="20" a="1"/>
  <c r="AB86" i="20" a="1"/>
  <c r="AA89" i="20" a="1"/>
  <c r="BH83" i="20" a="1"/>
  <c r="BL96" i="20" a="1"/>
  <c r="BE90" i="20" a="1"/>
  <c r="AA91" i="20" a="1"/>
  <c r="BE83" i="20" a="1"/>
  <c r="AE86" i="20" a="1"/>
  <c r="BK95" i="20" a="1"/>
  <c r="BH84" i="20" a="1"/>
  <c r="AE97" i="20" a="1"/>
  <c r="AB91" i="20" a="1"/>
  <c r="BK83" i="20" a="1"/>
  <c r="BK84" i="20" a="1"/>
  <c r="BK94" i="20" a="1"/>
  <c r="AA83" i="20" a="1"/>
  <c r="AE85" i="20" a="1"/>
  <c r="BH90" i="20" a="1"/>
  <c r="BK88" i="20" a="1"/>
  <c r="BE87" i="20" a="1"/>
  <c r="BL87" i="20" a="1"/>
  <c r="BL84" i="20" a="1"/>
  <c r="BG96" i="20" a="1"/>
  <c r="BF92" i="20" a="1"/>
  <c r="BK87" i="20" a="1"/>
  <c r="BG84" i="20" a="1"/>
  <c r="AF83" i="20" a="1"/>
  <c r="BG95" i="20" a="1"/>
  <c r="BG92" i="20" a="1"/>
  <c r="BG90" i="20" a="1"/>
  <c r="BK93" i="20" a="1"/>
  <c r="BE84" i="20" a="1"/>
  <c r="BK91" i="20" a="1"/>
  <c r="BH97" i="20" a="1"/>
  <c r="BG83" i="20" a="1"/>
  <c r="BL93" i="20" a="1"/>
  <c r="BK97" i="20" a="1"/>
  <c r="BF94" i="20" a="1"/>
  <c r="BF84" i="20" a="1"/>
  <c r="BG93" i="20" a="1"/>
  <c r="BI92" i="20" a="1"/>
  <c r="BK89" i="20" a="1"/>
  <c r="BL97" i="20" a="1"/>
  <c r="BH89" i="20" a="1"/>
  <c r="AA96" i="20" a="1"/>
  <c r="BI89" i="20" a="1"/>
  <c r="BH87" i="20" a="1"/>
  <c r="BL95" i="20" a="1"/>
  <c r="AE83" i="20" a="1"/>
  <c r="BL88" i="20" a="1"/>
  <c r="AA90" i="20" a="1"/>
  <c r="BL85" i="20" a="1"/>
  <c r="BH93" i="20" a="1"/>
  <c r="BL92" i="20" a="1"/>
  <c r="AF97" i="20" a="1"/>
  <c r="BH91" i="20" a="1"/>
  <c r="BH88" i="20" a="1"/>
  <c r="BJ92" i="20" a="1"/>
  <c r="BH85" i="20" a="1"/>
  <c r="BK96" i="20" a="1"/>
  <c r="BL90" i="20" a="1"/>
  <c r="BG89" i="20" a="1"/>
  <c r="BG86" i="20" a="1"/>
  <c r="AA97" i="20" a="1"/>
  <c r="BK92" i="20" a="1"/>
  <c r="BG87" i="20" a="1"/>
  <c r="BF87" i="20" a="1"/>
  <c r="BH86" i="20" a="1"/>
  <c r="BE92" i="20" a="1"/>
  <c r="D8" i="40" l="1"/>
  <c r="BK96" i="20"/>
  <c r="BI89" i="20"/>
  <c r="BL95" i="20"/>
  <c r="BL91" i="20"/>
  <c r="BK87" i="20"/>
  <c r="BK83" i="20"/>
  <c r="BF92" i="20"/>
  <c r="BH94" i="20"/>
  <c r="BH90" i="20"/>
  <c r="BH86" i="20"/>
  <c r="BF94" i="20"/>
  <c r="AA86" i="20"/>
  <c r="AB91" i="20"/>
  <c r="AE86" i="20"/>
  <c r="AE83" i="20"/>
  <c r="BK92" i="20"/>
  <c r="BL97" i="20"/>
  <c r="BL93" i="20"/>
  <c r="BK89" i="20"/>
  <c r="BK85" i="20"/>
  <c r="BF90" i="20"/>
  <c r="BH96" i="20"/>
  <c r="BH92" i="20"/>
  <c r="BH88" i="20"/>
  <c r="BH84" i="20"/>
  <c r="AA96" i="20"/>
  <c r="AE96" i="20"/>
  <c r="BJ91" i="20"/>
  <c r="BK95" i="20"/>
  <c r="BK91" i="20"/>
  <c r="BL86" i="20"/>
  <c r="BL89" i="20"/>
  <c r="BE92" i="20"/>
  <c r="BG94" i="20"/>
  <c r="BG92" i="20"/>
  <c r="BG88" i="20"/>
  <c r="BG86" i="20"/>
  <c r="BG84" i="20"/>
  <c r="AB97" i="20"/>
  <c r="AA90" i="20"/>
  <c r="Y110" i="20" s="1"/>
  <c r="J91" i="19" s="1"/>
  <c r="AA89" i="20"/>
  <c r="Y109" i="20" s="1"/>
  <c r="J90" i="19" s="1"/>
  <c r="AF97" i="20"/>
  <c r="AE89" i="20"/>
  <c r="AA109" i="20" s="1"/>
  <c r="L90" i="19" s="1"/>
  <c r="AE85" i="20"/>
  <c r="AA105" i="20" s="1"/>
  <c r="L86" i="19" s="1"/>
  <c r="BI92" i="20"/>
  <c r="BK97" i="20"/>
  <c r="BK93" i="20"/>
  <c r="BL88" i="20"/>
  <c r="BL84" i="20"/>
  <c r="BE90" i="20"/>
  <c r="BG96" i="20"/>
  <c r="BG90" i="20"/>
  <c r="BK94" i="20"/>
  <c r="BJ92" i="20"/>
  <c r="BL94" i="20"/>
  <c r="BL90" i="20"/>
  <c r="BK86" i="20"/>
  <c r="BF87" i="20"/>
  <c r="BH97" i="20"/>
  <c r="BH93" i="20"/>
  <c r="BH89" i="20"/>
  <c r="BH85" i="20"/>
  <c r="AA97" i="20"/>
  <c r="AA83" i="20"/>
  <c r="Y103" i="20" s="1"/>
  <c r="J84" i="19" s="1"/>
  <c r="AE97" i="20"/>
  <c r="AE88" i="20"/>
  <c r="AA108" i="20" s="1"/>
  <c r="L89" i="19" s="1"/>
  <c r="AE84" i="20"/>
  <c r="AA104" i="20" s="1"/>
  <c r="L85" i="19" s="1"/>
  <c r="BL96" i="20"/>
  <c r="BL92" i="20"/>
  <c r="BK88" i="20"/>
  <c r="BK84" i="20"/>
  <c r="BF84" i="20"/>
  <c r="BH95" i="20"/>
  <c r="BH91" i="20"/>
  <c r="BH87" i="20"/>
  <c r="BG83" i="20"/>
  <c r="AA91" i="20"/>
  <c r="BJ89" i="20"/>
  <c r="BK90" i="20"/>
  <c r="BL87" i="20"/>
  <c r="BL85" i="20"/>
  <c r="BL83" i="20"/>
  <c r="BE87" i="20"/>
  <c r="BE84" i="20"/>
  <c r="BG97" i="20"/>
  <c r="BG95" i="20"/>
  <c r="BG93" i="20"/>
  <c r="BG91" i="20"/>
  <c r="BG89" i="20"/>
  <c r="BG87" i="20"/>
  <c r="BG85" i="20"/>
  <c r="BH83" i="20"/>
  <c r="AB96" i="20"/>
  <c r="AB86" i="20"/>
  <c r="AA85" i="20"/>
  <c r="Y105" i="20" s="1"/>
  <c r="J86" i="19" s="1"/>
  <c r="AF96" i="20"/>
  <c r="AF86" i="20"/>
  <c r="AF83" i="20"/>
  <c r="T138" i="19"/>
  <c r="AB138" i="19"/>
  <c r="AB139" i="19"/>
  <c r="AB137" i="19"/>
  <c r="BF138" i="19"/>
  <c r="S139" i="19"/>
  <c r="T139" i="19" s="1"/>
  <c r="T137" i="19"/>
  <c r="BH85" i="23"/>
  <c r="BH49" i="23"/>
  <c r="BH77" i="23"/>
  <c r="BH74" i="23"/>
  <c r="BH90" i="23"/>
  <c r="BH81" i="23"/>
  <c r="BH87" i="23"/>
  <c r="BH83" i="23"/>
  <c r="BH76" i="23"/>
  <c r="BH84" i="23"/>
  <c r="BF139" i="19"/>
  <c r="BH89" i="23"/>
  <c r="BH92" i="23"/>
  <c r="BH46" i="23"/>
  <c r="BH56" i="23" s="1"/>
  <c r="BH88" i="23"/>
  <c r="BH78" i="23"/>
  <c r="BH91" i="23"/>
  <c r="BH86" i="23"/>
  <c r="BH75" i="23"/>
  <c r="BH73" i="23"/>
  <c r="BH80" i="23"/>
  <c r="BH79" i="23"/>
  <c r="BE83" i="20"/>
  <c r="BF83" i="20" a="1"/>
  <c r="Y111" i="20" l="1"/>
  <c r="J92" i="19" s="1"/>
  <c r="AQ107" i="20"/>
  <c r="AB88" i="19" s="1"/>
  <c r="AQ114" i="20"/>
  <c r="AB95" i="19" s="1"/>
  <c r="AN112" i="20"/>
  <c r="Y93" i="19" s="1"/>
  <c r="AQ106" i="20"/>
  <c r="AB87" i="19" s="1"/>
  <c r="AP109" i="20"/>
  <c r="AA90" i="19" s="1"/>
  <c r="AO112" i="20"/>
  <c r="Z93" i="19" s="1"/>
  <c r="Y106" i="20"/>
  <c r="J87" i="19" s="1"/>
  <c r="AP112" i="20"/>
  <c r="AA93" i="19" s="1"/>
  <c r="AQ116" i="20"/>
  <c r="AB97" i="19" s="1"/>
  <c r="AA116" i="20"/>
  <c r="L97" i="19" s="1"/>
  <c r="AN104" i="20"/>
  <c r="Y85" i="19" s="1"/>
  <c r="AQ110" i="20"/>
  <c r="AB91" i="19" s="1"/>
  <c r="AQ108" i="20"/>
  <c r="AB89" i="19" s="1"/>
  <c r="AO108" i="20"/>
  <c r="Z89" i="19" s="1"/>
  <c r="AO114" i="20"/>
  <c r="Z95" i="19" s="1"/>
  <c r="AO105" i="20"/>
  <c r="Z86" i="19" s="1"/>
  <c r="AO116" i="20"/>
  <c r="Z97" i="19" s="1"/>
  <c r="Y116" i="20"/>
  <c r="J97" i="19" s="1"/>
  <c r="AO109" i="20"/>
  <c r="Z90" i="19" s="1"/>
  <c r="AN110" i="20"/>
  <c r="Y91" i="19" s="1"/>
  <c r="AQ105" i="20"/>
  <c r="AB86" i="19" s="1"/>
  <c r="AQ103" i="20"/>
  <c r="AB84" i="19" s="1"/>
  <c r="AA103" i="20"/>
  <c r="L84" i="19" s="1"/>
  <c r="AA106" i="20"/>
  <c r="L87" i="19" s="1"/>
  <c r="Y117" i="20"/>
  <c r="J98" i="19" s="1"/>
  <c r="AQ112" i="20"/>
  <c r="AB93" i="19" s="1"/>
  <c r="AO103" i="20"/>
  <c r="Z84" i="19" s="1"/>
  <c r="AO113" i="20"/>
  <c r="Z94" i="19" s="1"/>
  <c r="AQ111" i="20"/>
  <c r="AB92" i="19" s="1"/>
  <c r="AO107" i="20"/>
  <c r="Z88" i="19" s="1"/>
  <c r="AO117" i="20"/>
  <c r="Z98" i="19" s="1"/>
  <c r="AQ109" i="20"/>
  <c r="AB90" i="19" s="1"/>
  <c r="AQ115" i="20"/>
  <c r="AB96" i="19" s="1"/>
  <c r="AO111" i="20"/>
  <c r="Z92" i="19" s="1"/>
  <c r="AN107" i="20"/>
  <c r="Y88" i="19" s="1"/>
  <c r="AA117" i="20"/>
  <c r="L98" i="19" s="1"/>
  <c r="AQ113" i="20"/>
  <c r="AB94" i="19" s="1"/>
  <c r="AO106" i="20"/>
  <c r="Z87" i="19" s="1"/>
  <c r="AO115" i="20"/>
  <c r="Z96" i="19" s="1"/>
  <c r="AQ104" i="20"/>
  <c r="AB85" i="19" s="1"/>
  <c r="AO104" i="20"/>
  <c r="Z85" i="19" s="1"/>
  <c r="AQ117" i="20"/>
  <c r="AB98" i="19" s="1"/>
  <c r="AO110" i="20"/>
  <c r="Z91" i="19" s="1"/>
  <c r="BZ56" i="23"/>
  <c r="BH57" i="23"/>
  <c r="BZ57" i="23" s="1"/>
  <c r="BH60" i="23"/>
  <c r="BZ60" i="23" s="1"/>
  <c r="BH66" i="23"/>
  <c r="BZ66" i="23" s="1"/>
  <c r="BH65" i="23"/>
  <c r="BZ65" i="23" s="1"/>
  <c r="BH67" i="23"/>
  <c r="BZ67" i="23" s="1"/>
  <c r="BH59" i="23"/>
  <c r="BZ59" i="23" s="1"/>
  <c r="BH68" i="23"/>
  <c r="BZ68" i="23" s="1"/>
  <c r="BH52" i="23"/>
  <c r="BZ52" i="23" s="1"/>
  <c r="BH62" i="23"/>
  <c r="BZ62" i="23" s="1"/>
  <c r="BH64" i="23"/>
  <c r="BZ64" i="23" s="1"/>
  <c r="BH55" i="23"/>
  <c r="BZ55" i="23" s="1"/>
  <c r="BH61" i="23"/>
  <c r="BZ61" i="23" s="1"/>
  <c r="BH53" i="23"/>
  <c r="BZ53" i="23" s="1"/>
  <c r="BH63" i="23"/>
  <c r="BZ63" i="23" s="1"/>
  <c r="BH54" i="23"/>
  <c r="BZ54" i="23" s="1"/>
  <c r="BH69" i="23"/>
  <c r="BZ69" i="23" s="1"/>
  <c r="BH58" i="23"/>
  <c r="BZ58" i="23" s="1"/>
  <c r="BH51" i="23"/>
  <c r="BZ51" i="23" s="1"/>
  <c r="BH70" i="23"/>
  <c r="BZ70" i="23" s="1"/>
  <c r="BF83" i="20"/>
  <c r="AN103" i="20" s="1"/>
  <c r="Y84" i="19" s="1"/>
  <c r="AB135" i="19"/>
  <c r="BC136" i="19"/>
  <c r="S135" i="19" s="1"/>
  <c r="BC135" i="19"/>
  <c r="S134" i="19" s="1"/>
  <c r="BG48" i="23"/>
  <c r="BG86" i="23" s="1"/>
  <c r="BC137" i="19"/>
  <c r="S136" i="19" s="1"/>
  <c r="BF86" i="20" a="1"/>
  <c r="BE93" i="20" a="1"/>
  <c r="BE94" i="20" a="1"/>
  <c r="BJ88" i="20" a="1"/>
  <c r="BJ95" i="20" a="1"/>
  <c r="BF95" i="20" a="1"/>
  <c r="BJ94" i="20" a="1"/>
  <c r="BE96" i="20" a="1"/>
  <c r="BF96" i="20" a="1"/>
  <c r="BE91" i="20" a="1"/>
  <c r="BF89" i="20" a="1"/>
  <c r="BF93" i="20" a="1"/>
  <c r="BF85" i="20" a="1"/>
  <c r="BF88" i="20" a="1"/>
  <c r="BE97" i="20" a="1"/>
  <c r="BE88" i="20" a="1"/>
  <c r="BE89" i="20" a="1"/>
  <c r="BE85" i="20" a="1"/>
  <c r="BF91" i="20" a="1"/>
  <c r="BE86" i="20" a="1"/>
  <c r="BF97" i="20" a="1"/>
  <c r="BE95" i="20" a="1"/>
  <c r="J99" i="19" l="1"/>
  <c r="L99" i="19"/>
  <c r="AB99" i="19"/>
  <c r="Z99" i="19"/>
  <c r="BE96" i="20"/>
  <c r="BF89" i="20"/>
  <c r="BJ88" i="20"/>
  <c r="BF93" i="20"/>
  <c r="BF86" i="20"/>
  <c r="BF97" i="20"/>
  <c r="BE89" i="20"/>
  <c r="BE95" i="20"/>
  <c r="BF91" i="20"/>
  <c r="BF88" i="20"/>
  <c r="BF85" i="20"/>
  <c r="BF95" i="20"/>
  <c r="BE86" i="20"/>
  <c r="BE97" i="20"/>
  <c r="BE93" i="20"/>
  <c r="BJ95" i="20"/>
  <c r="BF96" i="20"/>
  <c r="BE94" i="20"/>
  <c r="AN114" i="20" s="1"/>
  <c r="Y95" i="19" s="1"/>
  <c r="BE91" i="20"/>
  <c r="BE88" i="20"/>
  <c r="BE85" i="20"/>
  <c r="T135" i="19"/>
  <c r="T134" i="19"/>
  <c r="BF136" i="19"/>
  <c r="AB136" i="19"/>
  <c r="AB134" i="19"/>
  <c r="BF135" i="19"/>
  <c r="T136" i="19"/>
  <c r="BG78" i="23"/>
  <c r="BG90" i="23"/>
  <c r="BG88" i="23"/>
  <c r="BG46" i="23"/>
  <c r="BG51" i="23" s="1"/>
  <c r="BG91" i="23"/>
  <c r="BF137" i="19"/>
  <c r="BG75" i="23"/>
  <c r="BG77" i="23"/>
  <c r="BG82" i="23"/>
  <c r="BG76" i="23"/>
  <c r="BG89" i="23"/>
  <c r="BG92" i="23"/>
  <c r="BG85" i="23"/>
  <c r="BG80" i="23"/>
  <c r="BG49" i="23"/>
  <c r="BG84" i="23"/>
  <c r="BG81" i="23"/>
  <c r="BG87" i="23"/>
  <c r="BG83" i="23"/>
  <c r="BG74" i="23"/>
  <c r="BG73" i="23"/>
  <c r="BG79" i="23"/>
  <c r="BJ94" i="20"/>
  <c r="BI90" i="20" a="1"/>
  <c r="AN116" i="20" l="1"/>
  <c r="Y97" i="19" s="1"/>
  <c r="AN117" i="20"/>
  <c r="Y98" i="19" s="1"/>
  <c r="AN106" i="20"/>
  <c r="Y87" i="19" s="1"/>
  <c r="AN115" i="20"/>
  <c r="Y96" i="19" s="1"/>
  <c r="AN113" i="20"/>
  <c r="Y94" i="19" s="1"/>
  <c r="AN105" i="20"/>
  <c r="Y86" i="19" s="1"/>
  <c r="AN108" i="20"/>
  <c r="Y89" i="19" s="1"/>
  <c r="AN109" i="20"/>
  <c r="Y90" i="19" s="1"/>
  <c r="AN111" i="20"/>
  <c r="Y92" i="19" s="1"/>
  <c r="BG61" i="23"/>
  <c r="BY61" i="23" s="1"/>
  <c r="BG52" i="23"/>
  <c r="BY52" i="23" s="1"/>
  <c r="BG63" i="23"/>
  <c r="BY63" i="23" s="1"/>
  <c r="BY51" i="23"/>
  <c r="BG66" i="23"/>
  <c r="BY66" i="23" s="1"/>
  <c r="BG68" i="23"/>
  <c r="BY68" i="23" s="1"/>
  <c r="BG67" i="23"/>
  <c r="BY67" i="23" s="1"/>
  <c r="BG60" i="23"/>
  <c r="BY60" i="23" s="1"/>
  <c r="BG55" i="23"/>
  <c r="BY55" i="23" s="1"/>
  <c r="BG70" i="23"/>
  <c r="BY70" i="23" s="1"/>
  <c r="BG62" i="23"/>
  <c r="BY62" i="23" s="1"/>
  <c r="BG58" i="23"/>
  <c r="BY58" i="23" s="1"/>
  <c r="BG59" i="23"/>
  <c r="BY59" i="23" s="1"/>
  <c r="BG53" i="23"/>
  <c r="BY53" i="23" s="1"/>
  <c r="BG69" i="23"/>
  <c r="BY69" i="23" s="1"/>
  <c r="BG64" i="23"/>
  <c r="BY64" i="23" s="1"/>
  <c r="BG56" i="23"/>
  <c r="BY56" i="23" s="1"/>
  <c r="BG54" i="23"/>
  <c r="BY54" i="23" s="1"/>
  <c r="BG57" i="23"/>
  <c r="BY57" i="23" s="1"/>
  <c r="BG65" i="23"/>
  <c r="BY65" i="23" s="1"/>
  <c r="BI90" i="20"/>
  <c r="BC122" i="19"/>
  <c r="S121" i="19" s="1"/>
  <c r="BC121" i="19"/>
  <c r="S120" i="19" s="1"/>
  <c r="BC120" i="19"/>
  <c r="BF120" i="19" s="1"/>
  <c r="BB48" i="23"/>
  <c r="BB74" i="23" s="1"/>
  <c r="BC125" i="19"/>
  <c r="BF125" i="19" s="1"/>
  <c r="BC123" i="19"/>
  <c r="S122" i="19" s="1"/>
  <c r="BC48" i="23"/>
  <c r="BC46" i="23" s="1"/>
  <c r="BC69" i="23" s="1"/>
  <c r="BC124" i="19"/>
  <c r="BF124" i="19" s="1"/>
  <c r="BC134" i="19"/>
  <c r="S133" i="19" s="1"/>
  <c r="BC133" i="19"/>
  <c r="BF133" i="19" s="1"/>
  <c r="BC132" i="19"/>
  <c r="BF132" i="19" s="1"/>
  <c r="BF48" i="23"/>
  <c r="BJ84" i="20" a="1"/>
  <c r="BI83" i="20" a="1"/>
  <c r="BI97" i="20" a="1"/>
  <c r="BI96" i="20" a="1"/>
  <c r="BJ85" i="20" a="1"/>
  <c r="BJ86" i="20" a="1"/>
  <c r="BI95" i="20" a="1"/>
  <c r="BI84" i="20" a="1"/>
  <c r="BJ87" i="20" a="1"/>
  <c r="BJ83" i="20" a="1"/>
  <c r="BI88" i="20" a="1"/>
  <c r="BJ96" i="20" a="1"/>
  <c r="BI93" i="20" a="1"/>
  <c r="BI85" i="20" a="1"/>
  <c r="BI86" i="20" a="1"/>
  <c r="BI94" i="20" a="1"/>
  <c r="BJ93" i="20" a="1"/>
  <c r="BI91" i="20" a="1"/>
  <c r="BI87" i="20" a="1"/>
  <c r="BJ90" i="20" a="1"/>
  <c r="BJ97" i="20" a="1"/>
  <c r="Y99" i="19" l="1"/>
  <c r="BI96" i="20"/>
  <c r="BI91" i="20"/>
  <c r="AP111" i="20" s="1"/>
  <c r="AA92" i="19" s="1"/>
  <c r="BJ85" i="20"/>
  <c r="BI83" i="20"/>
  <c r="BI86" i="20"/>
  <c r="BI95" i="20"/>
  <c r="AP115" i="20" s="1"/>
  <c r="AA96" i="19" s="1"/>
  <c r="BI88" i="20"/>
  <c r="AP108" i="20" s="1"/>
  <c r="AA89" i="19" s="1"/>
  <c r="BI85" i="20"/>
  <c r="BJ93" i="20"/>
  <c r="BJ90" i="20"/>
  <c r="AP110" i="20" s="1"/>
  <c r="AA91" i="19" s="1"/>
  <c r="BJ97" i="20"/>
  <c r="BI94" i="20"/>
  <c r="AP114" i="20" s="1"/>
  <c r="AA95" i="19" s="1"/>
  <c r="BJ87" i="20"/>
  <c r="BJ84" i="20"/>
  <c r="BJ83" i="20"/>
  <c r="BI97" i="20"/>
  <c r="BJ96" i="20"/>
  <c r="BI93" i="20"/>
  <c r="BI87" i="20"/>
  <c r="BI84" i="20"/>
  <c r="BJ86" i="20"/>
  <c r="AP106" i="20" s="1"/>
  <c r="AA87" i="19" s="1"/>
  <c r="AB119" i="19"/>
  <c r="AB133" i="19"/>
  <c r="AB124" i="19"/>
  <c r="AB120" i="19"/>
  <c r="AB131" i="19"/>
  <c r="AB123" i="19"/>
  <c r="AB121" i="19"/>
  <c r="AB132" i="19"/>
  <c r="AB122" i="19"/>
  <c r="BF122" i="19"/>
  <c r="BC91" i="23"/>
  <c r="BU69" i="23" s="1"/>
  <c r="T120" i="19"/>
  <c r="BF121" i="19"/>
  <c r="T121" i="19"/>
  <c r="S123" i="19"/>
  <c r="T123" i="19" s="1"/>
  <c r="BB88" i="23"/>
  <c r="T122" i="19"/>
  <c r="S131" i="19"/>
  <c r="T131" i="19" s="1"/>
  <c r="S132" i="19"/>
  <c r="T132" i="19" s="1"/>
  <c r="BB86" i="23"/>
  <c r="BF46" i="23"/>
  <c r="BF67" i="23" s="1"/>
  <c r="BF73" i="23"/>
  <c r="BC77" i="23"/>
  <c r="BB81" i="23"/>
  <c r="BB85" i="23"/>
  <c r="BB82" i="23"/>
  <c r="BB89" i="23"/>
  <c r="BB91" i="23"/>
  <c r="BC61" i="23"/>
  <c r="S124" i="19"/>
  <c r="T124" i="19" s="1"/>
  <c r="BB77" i="23"/>
  <c r="BB83" i="23"/>
  <c r="BF77" i="23"/>
  <c r="BB49" i="23"/>
  <c r="BB73" i="23"/>
  <c r="BC88" i="23"/>
  <c r="BF123" i="19"/>
  <c r="BB80" i="23"/>
  <c r="BB75" i="23"/>
  <c r="BC78" i="23"/>
  <c r="BB87" i="23"/>
  <c r="BB90" i="23"/>
  <c r="BF91" i="23"/>
  <c r="BF79" i="23"/>
  <c r="T133" i="19"/>
  <c r="BC86" i="23"/>
  <c r="BB79" i="23"/>
  <c r="BB84" i="23"/>
  <c r="BC80" i="23"/>
  <c r="BC56" i="23"/>
  <c r="BC64" i="23"/>
  <c r="BC81" i="23"/>
  <c r="BC85" i="23"/>
  <c r="S119" i="19"/>
  <c r="T119" i="19" s="1"/>
  <c r="BF89" i="23"/>
  <c r="BF76" i="23"/>
  <c r="BF84" i="23"/>
  <c r="BF134" i="19"/>
  <c r="BC66" i="23"/>
  <c r="BC58" i="23"/>
  <c r="BC59" i="23"/>
  <c r="BC63" i="23"/>
  <c r="BC57" i="23"/>
  <c r="BC67" i="23"/>
  <c r="BF92" i="23"/>
  <c r="BF80" i="23"/>
  <c r="BC70" i="23"/>
  <c r="BC90" i="23"/>
  <c r="BC62" i="23"/>
  <c r="BC55" i="23"/>
  <c r="BC87" i="23"/>
  <c r="BC75" i="23"/>
  <c r="BC79" i="23"/>
  <c r="BC84" i="23"/>
  <c r="BF90" i="23"/>
  <c r="BC68" i="23"/>
  <c r="BC74" i="23"/>
  <c r="BC65" i="23"/>
  <c r="BC53" i="23"/>
  <c r="BB92" i="23"/>
  <c r="BB46" i="23"/>
  <c r="BB57" i="23" s="1"/>
  <c r="BF86" i="23"/>
  <c r="BF87" i="23"/>
  <c r="BF82" i="23"/>
  <c r="BF74" i="23"/>
  <c r="BF81" i="23"/>
  <c r="BF75" i="23"/>
  <c r="BF85" i="23"/>
  <c r="BF78" i="23"/>
  <c r="BC73" i="23"/>
  <c r="BC52" i="23"/>
  <c r="BC49" i="23"/>
  <c r="BC76" i="23"/>
  <c r="BC92" i="23"/>
  <c r="BC83" i="23"/>
  <c r="BF49" i="23"/>
  <c r="BF83" i="23"/>
  <c r="BF88" i="23"/>
  <c r="BC51" i="23"/>
  <c r="BC60" i="23"/>
  <c r="BC54" i="23"/>
  <c r="BC82" i="23"/>
  <c r="BC89" i="23"/>
  <c r="BB78" i="23"/>
  <c r="BB76" i="23"/>
  <c r="AP116" i="20" l="1"/>
  <c r="AA97" i="19" s="1"/>
  <c r="AP113" i="20"/>
  <c r="AA94" i="19" s="1"/>
  <c r="AP107" i="20"/>
  <c r="AA88" i="19" s="1"/>
  <c r="AP104" i="20"/>
  <c r="AA85" i="19" s="1"/>
  <c r="AP103" i="20"/>
  <c r="AA84" i="19" s="1"/>
  <c r="AP117" i="20"/>
  <c r="AA98" i="19" s="1"/>
  <c r="AP105" i="20"/>
  <c r="AA86" i="19" s="1"/>
  <c r="BF68" i="23"/>
  <c r="BX68" i="23" s="1"/>
  <c r="BF63" i="23"/>
  <c r="BX63" i="23" s="1"/>
  <c r="BF57" i="23"/>
  <c r="BX57" i="23" s="1"/>
  <c r="BF69" i="23"/>
  <c r="BX69" i="23" s="1"/>
  <c r="BF65" i="23"/>
  <c r="BX65" i="23" s="1"/>
  <c r="BU66" i="23"/>
  <c r="BU58" i="23"/>
  <c r="BF70" i="23"/>
  <c r="BX70" i="23" s="1"/>
  <c r="BF52" i="23"/>
  <c r="BX52" i="23" s="1"/>
  <c r="BF64" i="23"/>
  <c r="BX64" i="23" s="1"/>
  <c r="BF51" i="23"/>
  <c r="BX51" i="23" s="1"/>
  <c r="BF62" i="23"/>
  <c r="BX62" i="23" s="1"/>
  <c r="BF66" i="23"/>
  <c r="BX66" i="23" s="1"/>
  <c r="BF54" i="23"/>
  <c r="BX54" i="23" s="1"/>
  <c r="BU61" i="23"/>
  <c r="BF61" i="23"/>
  <c r="BX61" i="23" s="1"/>
  <c r="BF60" i="23"/>
  <c r="BX60" i="23" s="1"/>
  <c r="BF55" i="23"/>
  <c r="BX55" i="23" s="1"/>
  <c r="BF53" i="23"/>
  <c r="BX53" i="23" s="1"/>
  <c r="BB55" i="23"/>
  <c r="BT55" i="23" s="1"/>
  <c r="BF58" i="23"/>
  <c r="BX58" i="23" s="1"/>
  <c r="BF59" i="23"/>
  <c r="BX59" i="23" s="1"/>
  <c r="BF56" i="23"/>
  <c r="BX56" i="23" s="1"/>
  <c r="BU55" i="23"/>
  <c r="BT57" i="23"/>
  <c r="BU63" i="23"/>
  <c r="BB64" i="23"/>
  <c r="BT64" i="23" s="1"/>
  <c r="BU64" i="23"/>
  <c r="BU68" i="23"/>
  <c r="BB68" i="23"/>
  <c r="BT68" i="23" s="1"/>
  <c r="BB59" i="23"/>
  <c r="BT59" i="23" s="1"/>
  <c r="BB63" i="23"/>
  <c r="BT63" i="23" s="1"/>
  <c r="BX67" i="23"/>
  <c r="BU59" i="23"/>
  <c r="BB66" i="23"/>
  <c r="BT66" i="23" s="1"/>
  <c r="BB62" i="23"/>
  <c r="BT62" i="23" s="1"/>
  <c r="BB67" i="23"/>
  <c r="BT67" i="23" s="1"/>
  <c r="BU56" i="23"/>
  <c r="BB54" i="23"/>
  <c r="BT54" i="23" s="1"/>
  <c r="BU52" i="23"/>
  <c r="BU67" i="23"/>
  <c r="BU62" i="23"/>
  <c r="BU60" i="23"/>
  <c r="BU53" i="23"/>
  <c r="BU54" i="23"/>
  <c r="BU51" i="23"/>
  <c r="BB52" i="23"/>
  <c r="BT52" i="23" s="1"/>
  <c r="BB60" i="23"/>
  <c r="BT60" i="23" s="1"/>
  <c r="BB51" i="23"/>
  <c r="BT51" i="23" s="1"/>
  <c r="BB65" i="23"/>
  <c r="BT65" i="23" s="1"/>
  <c r="BB69" i="23"/>
  <c r="BT69" i="23" s="1"/>
  <c r="BB70" i="23"/>
  <c r="BT70" i="23" s="1"/>
  <c r="BB61" i="23"/>
  <c r="BT61" i="23" s="1"/>
  <c r="BB58" i="23"/>
  <c r="BT58" i="23" s="1"/>
  <c r="BB56" i="23"/>
  <c r="BT56" i="23" s="1"/>
  <c r="BU65" i="23"/>
  <c r="BU70" i="23"/>
  <c r="BU57" i="23"/>
  <c r="BB53" i="23"/>
  <c r="BT53" i="23" s="1"/>
  <c r="AA99"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gfloater</author>
    <author>A satisfied Microsoft Office user</author>
  </authors>
  <commentList>
    <comment ref="C8" authorId="0" shapeId="0" xr:uid="{00000000-0006-0000-0100-000001000000}">
      <text>
        <r>
          <rPr>
            <b/>
            <sz val="8"/>
            <color indexed="81"/>
            <rFont val="Tahoma"/>
            <family val="2"/>
          </rPr>
          <t>gks: DO NOT ADJUST (for now), ==typical reference conditions</t>
        </r>
      </text>
    </comment>
    <comment ref="B10" authorId="1" shapeId="0" xr:uid="{00000000-0006-0000-0100-000002000000}">
      <text>
        <r>
          <rPr>
            <sz val="8"/>
            <color indexed="81"/>
            <rFont val="Tahoma"/>
            <family val="2"/>
          </rPr>
          <t>If cells in this row are left blank, the program assumes that the wind speed is a mean value</t>
        </r>
      </text>
    </comment>
    <comment ref="B13" authorId="1" shapeId="0" xr:uid="{00000000-0006-0000-0100-000003000000}">
      <text>
        <r>
          <rPr>
            <sz val="8"/>
            <color indexed="81"/>
            <rFont val="Tahoma"/>
            <family val="2"/>
          </rPr>
          <t xml:space="preserve">If box not ticked, flat terrain is assumed.
Else, topography input data is entered onto relevant sheet.
</t>
        </r>
      </text>
    </comment>
    <comment ref="B20" authorId="1" shapeId="0" xr:uid="{00000000-0006-0000-0100-000004000000}">
      <text>
        <r>
          <rPr>
            <sz val="8"/>
            <color indexed="81"/>
            <rFont val="Tahoma"/>
            <family val="2"/>
          </rPr>
          <t>Value of z</t>
        </r>
        <r>
          <rPr>
            <vertAlign val="subscript"/>
            <sz val="9"/>
            <color indexed="81"/>
            <rFont val="Tahoma"/>
            <family val="2"/>
          </rPr>
          <t>0</t>
        </r>
        <r>
          <rPr>
            <sz val="8"/>
            <color indexed="81"/>
            <rFont val="Tahoma"/>
            <family val="2"/>
          </rPr>
          <t xml:space="preserve"> at the Reference Site. See Worksheet "Terrain roughness".</t>
        </r>
      </text>
    </comment>
    <comment ref="B21" authorId="1" shapeId="0" xr:uid="{00000000-0006-0000-0100-000005000000}">
      <text>
        <r>
          <rPr>
            <sz val="8"/>
            <color indexed="81"/>
            <rFont val="Tahoma"/>
            <family val="2"/>
          </rPr>
          <t>Length of terrain of roughness z</t>
        </r>
        <r>
          <rPr>
            <vertAlign val="subscript"/>
            <sz val="9"/>
            <color indexed="81"/>
            <rFont val="Tahoma"/>
            <family val="2"/>
          </rPr>
          <t>0</t>
        </r>
        <r>
          <rPr>
            <sz val="8"/>
            <color indexed="81"/>
            <rFont val="Tahoma"/>
            <family val="2"/>
          </rPr>
          <t xml:space="preserve"> (see  sketch). If equilibrium conditions in this patch, leave cell blank.
</t>
        </r>
      </text>
    </comment>
    <comment ref="B22" authorId="1" shapeId="0" xr:uid="{00000000-0006-0000-0100-000006000000}">
      <text>
        <r>
          <rPr>
            <sz val="8"/>
            <color indexed="81"/>
            <rFont val="Tahoma"/>
            <family val="2"/>
          </rPr>
          <t>Value of z</t>
        </r>
        <r>
          <rPr>
            <vertAlign val="subscript"/>
            <sz val="8"/>
            <color indexed="81"/>
            <rFont val="Tahoma"/>
            <family val="2"/>
          </rPr>
          <t>0</t>
        </r>
        <r>
          <rPr>
            <sz val="8"/>
            <color indexed="81"/>
            <rFont val="Tahoma"/>
            <family val="2"/>
          </rPr>
          <t>=z</t>
        </r>
        <r>
          <rPr>
            <vertAlign val="subscript"/>
            <sz val="9"/>
            <color indexed="81"/>
            <rFont val="Tahoma"/>
            <family val="2"/>
          </rPr>
          <t>01</t>
        </r>
        <r>
          <rPr>
            <sz val="8"/>
            <color indexed="81"/>
            <rFont val="Tahoma"/>
            <family val="2"/>
          </rPr>
          <t xml:space="preserve"> upwind of first roughness change (see sketch).
</t>
        </r>
      </text>
    </comment>
    <comment ref="B23" authorId="1" shapeId="0" xr:uid="{00000000-0006-0000-0100-000007000000}">
      <text>
        <r>
          <rPr>
            <sz val="8"/>
            <color indexed="81"/>
            <rFont val="Tahoma"/>
            <family val="2"/>
          </rPr>
          <t>Length of terrain of roughness z</t>
        </r>
        <r>
          <rPr>
            <vertAlign val="subscript"/>
            <sz val="9"/>
            <color indexed="81"/>
            <rFont val="Tahoma"/>
            <family val="2"/>
          </rPr>
          <t>01</t>
        </r>
        <r>
          <rPr>
            <sz val="8"/>
            <color indexed="81"/>
            <rFont val="Tahoma"/>
            <family val="2"/>
          </rPr>
          <t xml:space="preserve"> (see  sketch). If equilibrium conditions in this patch, leave cell blank.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Neil Thompson</author>
  </authors>
  <commentList>
    <comment ref="C4" authorId="0" shapeId="0" xr:uid="{00000000-0006-0000-0200-000001000000}">
      <text>
        <r>
          <rPr>
            <sz val="8"/>
            <color indexed="81"/>
            <rFont val="Tahoma"/>
            <family val="2"/>
          </rPr>
          <t xml:space="preserve">This determines fineness of horizontal grid for computation. A value of 40 is normally satisfactory but it must be an even number.
</t>
        </r>
      </text>
    </comment>
    <comment ref="B24" authorId="0" shapeId="0" xr:uid="{00000000-0006-0000-0200-000002000000}">
      <text>
        <r>
          <rPr>
            <sz val="8"/>
            <color indexed="81"/>
            <rFont val="Tahoma"/>
            <family val="2"/>
          </rPr>
          <t>For cases where only wind direction changes, enter (in cell F24,J24,etc) relevant Case No. where site location and section data are located.
*If the Ref wind speed changes for each Case then small differences in results may occur compared with running the Case independently (see ESDU 01008).</t>
        </r>
      </text>
    </comment>
    <comment ref="B25" authorId="0" shapeId="0" xr:uid="{00000000-0006-0000-0200-000003000000}">
      <text>
        <r>
          <rPr>
            <sz val="8"/>
            <color indexed="81"/>
            <rFont val="Tahoma"/>
            <family val="2"/>
          </rPr>
          <t>See sketches above.   If left blank, values of L01, L02, W01, W02 will be estimated by the program.</t>
        </r>
      </text>
    </comment>
    <comment ref="E25" authorId="0" shapeId="0" xr:uid="{00000000-0006-0000-0200-000004000000}">
      <text>
        <r>
          <rPr>
            <sz val="8"/>
            <color indexed="81"/>
            <rFont val="Tahoma"/>
            <family val="2"/>
          </rPr>
          <t>Coordinates of peak (or base of valley) of local hill on which site is located (along axes 0x,0y)</t>
        </r>
      </text>
    </comment>
    <comment ref="I25" authorId="0" shapeId="0" xr:uid="{00000000-0006-0000-0200-000005000000}">
      <text>
        <r>
          <rPr>
            <sz val="8"/>
            <color indexed="81"/>
            <rFont val="Tahoma"/>
            <family val="2"/>
          </rPr>
          <t>Coordinates of peak (or base of valley )of local hill  on which site is located (along axes 0x, 0y.</t>
        </r>
      </text>
    </comment>
    <comment ref="M25" authorId="0" shapeId="0" xr:uid="{00000000-0006-0000-0200-000006000000}">
      <text>
        <r>
          <rPr>
            <sz val="8"/>
            <color indexed="81"/>
            <rFont val="Tahoma"/>
            <family val="2"/>
          </rPr>
          <t>Coordinates of peak (or base of valley )of local hill  on which site is located (along axes 0x, 0y.</t>
        </r>
      </text>
    </comment>
    <comment ref="Q25" authorId="0" shapeId="0" xr:uid="{00000000-0006-0000-0200-000007000000}">
      <text>
        <r>
          <rPr>
            <sz val="8"/>
            <color indexed="81"/>
            <rFont val="Tahoma"/>
            <family val="2"/>
          </rPr>
          <t>Coordinates of peak (or base of valley )of local hill  on which site is located (along axes 0x, 0y.</t>
        </r>
      </text>
    </comment>
    <comment ref="U25" authorId="0" shapeId="0" xr:uid="{00000000-0006-0000-0200-000008000000}">
      <text>
        <r>
          <rPr>
            <sz val="8"/>
            <color indexed="81"/>
            <rFont val="Tahoma"/>
            <family val="2"/>
          </rPr>
          <t>Coordinates of peak (or base of valley )of local hill  on which site is located (along axes 0x, 0y.</t>
        </r>
      </text>
    </comment>
    <comment ref="Y25" authorId="0" shapeId="0" xr:uid="{00000000-0006-0000-0200-000009000000}">
      <text>
        <r>
          <rPr>
            <sz val="8"/>
            <color indexed="81"/>
            <rFont val="Tahoma"/>
            <family val="2"/>
          </rPr>
          <t>Coordinates of peak (or base of valley )of local hill  on which site is located (along axes 0x, 0y.</t>
        </r>
      </text>
    </comment>
    <comment ref="AC25" authorId="0" shapeId="0" xr:uid="{00000000-0006-0000-0200-00000A000000}">
      <text>
        <r>
          <rPr>
            <sz val="8"/>
            <color indexed="81"/>
            <rFont val="Tahoma"/>
            <family val="2"/>
          </rPr>
          <t>Coordinates of peak (or base of valley )of local hill  on which site is located (along axes 0x, 0y.</t>
        </r>
      </text>
    </comment>
    <comment ref="AG25" authorId="0" shapeId="0" xr:uid="{00000000-0006-0000-0200-00000B000000}">
      <text>
        <r>
          <rPr>
            <sz val="8"/>
            <color indexed="81"/>
            <rFont val="Tahoma"/>
            <family val="2"/>
          </rPr>
          <t>Coordinates of peak (or base of valley )of local hill  on which site is located (along axes 0x, 0y.</t>
        </r>
      </text>
    </comment>
    <comment ref="AK25" authorId="0" shapeId="0" xr:uid="{00000000-0006-0000-0200-00000C000000}">
      <text>
        <r>
          <rPr>
            <sz val="8"/>
            <color indexed="81"/>
            <rFont val="Tahoma"/>
            <family val="2"/>
          </rPr>
          <t>Coordinates of peak (or base of valley )of local hill  on which site is located (along axes 0x, 0y.</t>
        </r>
      </text>
    </comment>
    <comment ref="AO25" authorId="0" shapeId="0" xr:uid="{00000000-0006-0000-0200-00000D000000}">
      <text>
        <r>
          <rPr>
            <sz val="8"/>
            <color indexed="81"/>
            <rFont val="Tahoma"/>
            <family val="2"/>
          </rPr>
          <t>Coordinates of peak (or base of valley )of local hill  on which site is located (along axes 0x, 0y.</t>
        </r>
      </text>
    </comment>
    <comment ref="AS25" authorId="0" shapeId="0" xr:uid="{00000000-0006-0000-0200-00000E000000}">
      <text>
        <r>
          <rPr>
            <sz val="8"/>
            <color indexed="81"/>
            <rFont val="Tahoma"/>
            <family val="2"/>
          </rPr>
          <t>Coordinates of peak (or base of valley )of local hill  on which site is located (along axes 0x, 0y.</t>
        </r>
      </text>
    </comment>
    <comment ref="AW25" authorId="0" shapeId="0" xr:uid="{00000000-0006-0000-0200-00000F000000}">
      <text>
        <r>
          <rPr>
            <sz val="8"/>
            <color indexed="81"/>
            <rFont val="Tahoma"/>
            <family val="2"/>
          </rPr>
          <t>Coordinates of peak (or base of valley )of local hill  on which site is located (along axes 0x, 0y.</t>
        </r>
      </text>
    </comment>
    <comment ref="BA25" authorId="0" shapeId="0" xr:uid="{00000000-0006-0000-0200-000010000000}">
      <text>
        <r>
          <rPr>
            <sz val="8"/>
            <color indexed="81"/>
            <rFont val="Tahoma"/>
            <family val="2"/>
          </rPr>
          <t>Coordinates of peak (or base of valley )of local hill  on which site is located (along axes 0x, 0y.</t>
        </r>
      </text>
    </comment>
    <comment ref="BE25" authorId="0" shapeId="0" xr:uid="{00000000-0006-0000-0200-000011000000}">
      <text>
        <r>
          <rPr>
            <sz val="8"/>
            <color indexed="81"/>
            <rFont val="Tahoma"/>
            <family val="2"/>
          </rPr>
          <t>Coordinates of peak (or base of valley )of local hill  on which site is located (along axes 0x, 0y.</t>
        </r>
      </text>
    </comment>
    <comment ref="BI25" authorId="0" shapeId="0" xr:uid="{00000000-0006-0000-0200-000012000000}">
      <text>
        <r>
          <rPr>
            <sz val="8"/>
            <color indexed="81"/>
            <rFont val="Tahoma"/>
            <family val="2"/>
          </rPr>
          <t>Coordinates of peak (or base of valley )of local hill  on which site is located (along axes 0x, 0y.</t>
        </r>
      </text>
    </comment>
    <comment ref="BM25" authorId="0" shapeId="0" xr:uid="{00000000-0006-0000-0200-000013000000}">
      <text>
        <r>
          <rPr>
            <sz val="8"/>
            <color indexed="81"/>
            <rFont val="Tahoma"/>
            <family val="2"/>
          </rPr>
          <t>Coordinates of peak (or base of valley )of local hill  on which site is located (along axes 0x, 0y.</t>
        </r>
      </text>
    </comment>
    <comment ref="BQ25" authorId="0" shapeId="0" xr:uid="{00000000-0006-0000-0200-000014000000}">
      <text>
        <r>
          <rPr>
            <sz val="8"/>
            <color indexed="81"/>
            <rFont val="Tahoma"/>
            <family val="2"/>
          </rPr>
          <t>Coordinates of peak (or base of valley )of local hill  on which site is located (along axes 0x, 0y.</t>
        </r>
      </text>
    </comment>
    <comment ref="BU25" authorId="0" shapeId="0" xr:uid="{00000000-0006-0000-0200-000015000000}">
      <text>
        <r>
          <rPr>
            <sz val="8"/>
            <color indexed="81"/>
            <rFont val="Tahoma"/>
            <family val="2"/>
          </rPr>
          <t>Coordinates of peak (or base of valley )of local hill  on which site is located (along axes 0x, 0y.</t>
        </r>
      </text>
    </comment>
    <comment ref="BY25" authorId="0" shapeId="0" xr:uid="{00000000-0006-0000-0200-000016000000}">
      <text>
        <r>
          <rPr>
            <sz val="8"/>
            <color indexed="81"/>
            <rFont val="Tahoma"/>
            <family val="2"/>
          </rPr>
          <t>Coordinates of peak (or base of valley )of local hill  on which site is located (along axes 0x, 0y.</t>
        </r>
      </text>
    </comment>
    <comment ref="E27" authorId="0" shapeId="0" xr:uid="{00000000-0006-0000-0200-000017000000}">
      <text>
        <r>
          <rPr>
            <sz val="8"/>
            <color indexed="81"/>
            <rFont val="Tahoma"/>
            <family val="2"/>
          </rPr>
          <t xml:space="preserve">Max height of peak correponding to above coordinates; negative if a valley.
</t>
        </r>
      </text>
    </comment>
    <comment ref="I27" authorId="0" shapeId="0" xr:uid="{00000000-0006-0000-0200-000018000000}">
      <text>
        <r>
          <rPr>
            <sz val="8"/>
            <color indexed="81"/>
            <rFont val="Tahoma"/>
            <family val="2"/>
          </rPr>
          <t xml:space="preserve">Max height of peak correponding to above coordinates; negative if a valley.
</t>
        </r>
      </text>
    </comment>
    <comment ref="M27" authorId="0" shapeId="0" xr:uid="{00000000-0006-0000-0200-000019000000}">
      <text>
        <r>
          <rPr>
            <sz val="8"/>
            <color indexed="81"/>
            <rFont val="Tahoma"/>
            <family val="2"/>
          </rPr>
          <t xml:space="preserve">Max height of peak correponding to above coordinates; negative if a valley.
</t>
        </r>
      </text>
    </comment>
    <comment ref="Q27" authorId="0" shapeId="0" xr:uid="{00000000-0006-0000-0200-00001A000000}">
      <text>
        <r>
          <rPr>
            <sz val="8"/>
            <color indexed="81"/>
            <rFont val="Tahoma"/>
            <family val="2"/>
          </rPr>
          <t xml:space="preserve">Max height of peak correponding to above coordinates; negative if a valley.
</t>
        </r>
      </text>
    </comment>
    <comment ref="U27" authorId="0" shapeId="0" xr:uid="{00000000-0006-0000-0200-00001B000000}">
      <text>
        <r>
          <rPr>
            <sz val="8"/>
            <color indexed="81"/>
            <rFont val="Tahoma"/>
            <family val="2"/>
          </rPr>
          <t xml:space="preserve">Max height of peak correponding to above coordinates; negative if a valley.
</t>
        </r>
      </text>
    </comment>
    <comment ref="Y27" authorId="0" shapeId="0" xr:uid="{00000000-0006-0000-0200-00001C000000}">
      <text>
        <r>
          <rPr>
            <sz val="8"/>
            <color indexed="81"/>
            <rFont val="Tahoma"/>
            <family val="2"/>
          </rPr>
          <t xml:space="preserve">Max height of peak correponding to above coordinates; negative if a valley.
</t>
        </r>
      </text>
    </comment>
    <comment ref="AC27" authorId="0" shapeId="0" xr:uid="{00000000-0006-0000-0200-00001D000000}">
      <text>
        <r>
          <rPr>
            <sz val="8"/>
            <color indexed="81"/>
            <rFont val="Tahoma"/>
            <family val="2"/>
          </rPr>
          <t xml:space="preserve">Max height of peak correponding to above coordinates; negative if a valley.
</t>
        </r>
      </text>
    </comment>
    <comment ref="AG27" authorId="0" shapeId="0" xr:uid="{00000000-0006-0000-0200-00001E000000}">
      <text>
        <r>
          <rPr>
            <sz val="8"/>
            <color indexed="81"/>
            <rFont val="Tahoma"/>
            <family val="2"/>
          </rPr>
          <t xml:space="preserve">Max height of peak correponding to above coordinates; negative if a valley.
</t>
        </r>
      </text>
    </comment>
    <comment ref="AK27" authorId="0" shapeId="0" xr:uid="{00000000-0006-0000-0200-00001F000000}">
      <text>
        <r>
          <rPr>
            <sz val="8"/>
            <color indexed="81"/>
            <rFont val="Tahoma"/>
            <family val="2"/>
          </rPr>
          <t xml:space="preserve">Max height of peak correponding to above coordinates; negative if a valley.
</t>
        </r>
      </text>
    </comment>
    <comment ref="AO27" authorId="0" shapeId="0" xr:uid="{00000000-0006-0000-0200-000020000000}">
      <text>
        <r>
          <rPr>
            <sz val="8"/>
            <color indexed="81"/>
            <rFont val="Tahoma"/>
            <family val="2"/>
          </rPr>
          <t xml:space="preserve">Max height of peak correponding to above coordinates; negative if a valley.
</t>
        </r>
      </text>
    </comment>
    <comment ref="AS27" authorId="0" shapeId="0" xr:uid="{00000000-0006-0000-0200-000021000000}">
      <text>
        <r>
          <rPr>
            <sz val="8"/>
            <color indexed="81"/>
            <rFont val="Tahoma"/>
            <family val="2"/>
          </rPr>
          <t xml:space="preserve">Max height of peak correponding to above coordinates; negative if a valley.
</t>
        </r>
      </text>
    </comment>
    <comment ref="AW27" authorId="0" shapeId="0" xr:uid="{00000000-0006-0000-0200-000022000000}">
      <text>
        <r>
          <rPr>
            <sz val="8"/>
            <color indexed="81"/>
            <rFont val="Tahoma"/>
            <family val="2"/>
          </rPr>
          <t xml:space="preserve">Max height of peak correponding to above coordinates; negative if a valley.
</t>
        </r>
      </text>
    </comment>
    <comment ref="BA27" authorId="0" shapeId="0" xr:uid="{00000000-0006-0000-0200-000023000000}">
      <text>
        <r>
          <rPr>
            <sz val="8"/>
            <color indexed="81"/>
            <rFont val="Tahoma"/>
            <family val="2"/>
          </rPr>
          <t xml:space="preserve">Max height of peak correponding to above coordinates; negative if a valley.
</t>
        </r>
      </text>
    </comment>
    <comment ref="BE27" authorId="0" shapeId="0" xr:uid="{00000000-0006-0000-0200-000024000000}">
      <text>
        <r>
          <rPr>
            <sz val="8"/>
            <color indexed="81"/>
            <rFont val="Tahoma"/>
            <family val="2"/>
          </rPr>
          <t xml:space="preserve">Max height of peak correponding to above coordinates; negative if a valley.
</t>
        </r>
      </text>
    </comment>
    <comment ref="BI27" authorId="0" shapeId="0" xr:uid="{00000000-0006-0000-0200-000025000000}">
      <text>
        <r>
          <rPr>
            <sz val="8"/>
            <color indexed="81"/>
            <rFont val="Tahoma"/>
            <family val="2"/>
          </rPr>
          <t xml:space="preserve">Max height of peak correponding to above coordinates; negative if a valley.
</t>
        </r>
      </text>
    </comment>
    <comment ref="BM27" authorId="0" shapeId="0" xr:uid="{00000000-0006-0000-0200-000026000000}">
      <text>
        <r>
          <rPr>
            <sz val="8"/>
            <color indexed="81"/>
            <rFont val="Tahoma"/>
            <family val="2"/>
          </rPr>
          <t xml:space="preserve">Max height of peak correponding to above coordinates; negative if a valley.
</t>
        </r>
      </text>
    </comment>
    <comment ref="BQ27" authorId="0" shapeId="0" xr:uid="{00000000-0006-0000-0200-000027000000}">
      <text>
        <r>
          <rPr>
            <sz val="8"/>
            <color indexed="81"/>
            <rFont val="Tahoma"/>
            <family val="2"/>
          </rPr>
          <t xml:space="preserve">Max height of peak correponding to above coordinates; negative if a valley.
</t>
        </r>
      </text>
    </comment>
    <comment ref="BU27" authorId="0" shapeId="0" xr:uid="{00000000-0006-0000-0200-000028000000}">
      <text>
        <r>
          <rPr>
            <sz val="8"/>
            <color indexed="81"/>
            <rFont val="Tahoma"/>
            <family val="2"/>
          </rPr>
          <t xml:space="preserve">Max height of peak correponding to above coordinates; negative if a valley.
</t>
        </r>
      </text>
    </comment>
    <comment ref="BY27" authorId="0" shapeId="0" xr:uid="{00000000-0006-0000-0200-000029000000}">
      <text>
        <r>
          <rPr>
            <sz val="8"/>
            <color indexed="81"/>
            <rFont val="Tahoma"/>
            <family val="2"/>
          </rPr>
          <t xml:space="preserve">Max height of peak correponding to above coordinates; negative if a valley.
</t>
        </r>
      </text>
    </comment>
    <comment ref="B28" authorId="0" shapeId="0" xr:uid="{00000000-0006-0000-0200-00002A000000}">
      <text>
        <r>
          <rPr>
            <sz val="8"/>
            <color indexed="81"/>
            <rFont val="Tahoma"/>
            <family val="2"/>
          </rPr>
          <t xml:space="preserve">Use axes as defined in sketches above.
</t>
        </r>
      </text>
    </comment>
    <comment ref="E28" authorId="0" shapeId="0" xr:uid="{00000000-0006-0000-0200-00002B000000}">
      <text>
        <r>
          <rPr>
            <sz val="8"/>
            <color indexed="81"/>
            <rFont val="Arial"/>
            <family val="2"/>
          </rPr>
          <t>If topography considered to be 2-dimensional, then leave blank columns under x and z for CD, or leave 1st cell under z</t>
        </r>
        <r>
          <rPr>
            <vertAlign val="subscript"/>
            <sz val="8"/>
            <color indexed="81"/>
            <rFont val="Arial"/>
            <family val="2"/>
          </rPr>
          <t>CD</t>
        </r>
        <r>
          <rPr>
            <sz val="8"/>
            <color indexed="81"/>
            <rFont val="Arial"/>
            <family val="2"/>
          </rPr>
          <t xml:space="preserve"> blank. 
</t>
        </r>
      </text>
    </comment>
    <comment ref="F28" authorId="0" shapeId="0" xr:uid="{00000000-0006-0000-0200-00002C000000}">
      <text>
        <r>
          <rPr>
            <sz val="8"/>
            <color indexed="81"/>
            <rFont val="Tahoma"/>
            <family val="2"/>
          </rPr>
          <t>If topography considered to be 2-dimensional, then leave blank columns under x and z for CD, or leave 1st cell under z</t>
        </r>
        <r>
          <rPr>
            <vertAlign val="subscript"/>
            <sz val="8"/>
            <color indexed="81"/>
            <rFont val="Tahoma"/>
            <family val="2"/>
          </rPr>
          <t>CD</t>
        </r>
        <r>
          <rPr>
            <sz val="8"/>
            <color indexed="81"/>
            <rFont val="Tahoma"/>
            <family val="2"/>
          </rPr>
          <t xml:space="preserve"> blank. </t>
        </r>
      </text>
    </comment>
    <comment ref="I28" authorId="0" shapeId="0" xr:uid="{00000000-0006-0000-0200-00002D000000}">
      <text>
        <r>
          <rPr>
            <sz val="8"/>
            <color indexed="81"/>
            <rFont val="Tahoma"/>
            <family val="2"/>
          </rPr>
          <t>If topography considered to be 2-dimensional, then leave blank columns under x and z for CD, or leave 1st cell under z</t>
        </r>
        <r>
          <rPr>
            <vertAlign val="subscript"/>
            <sz val="8"/>
            <color indexed="81"/>
            <rFont val="Tahoma"/>
            <family val="2"/>
          </rPr>
          <t>CD</t>
        </r>
        <r>
          <rPr>
            <sz val="8"/>
            <color indexed="81"/>
            <rFont val="Tahoma"/>
            <family val="2"/>
          </rPr>
          <t xml:space="preserve"> blank. </t>
        </r>
      </text>
    </comment>
    <comment ref="J28" authorId="0" shapeId="0" xr:uid="{00000000-0006-0000-0200-00002E000000}">
      <text>
        <r>
          <rPr>
            <sz val="8"/>
            <color indexed="81"/>
            <rFont val="Tahoma"/>
            <family val="2"/>
          </rPr>
          <t>If topography considered to be 2-dimensional, then leave blank columns under x and z for CD, or leave 1st cell under z</t>
        </r>
        <r>
          <rPr>
            <vertAlign val="subscript"/>
            <sz val="8"/>
            <color indexed="81"/>
            <rFont val="Tahoma"/>
            <family val="2"/>
          </rPr>
          <t>CD</t>
        </r>
        <r>
          <rPr>
            <sz val="8"/>
            <color indexed="81"/>
            <rFont val="Tahoma"/>
            <family val="2"/>
          </rPr>
          <t xml:space="preserve"> blank. </t>
        </r>
      </text>
    </comment>
    <comment ref="BY48" authorId="0" shapeId="0" xr:uid="{00000000-0006-0000-0200-00002F000000}">
      <text>
        <r>
          <rPr>
            <sz val="8"/>
            <color indexed="81"/>
            <rFont val="Tahoma"/>
            <family val="2"/>
          </rPr>
          <t xml:space="preserve">Max height of peak correponding to above coordinates; negative if a valley.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gfloater</author>
    <author>Neil Thompson</author>
    <author>gks</author>
  </authors>
  <commentList>
    <comment ref="A8" authorId="0" shapeId="0" xr:uid="{00000000-0006-0000-0300-000001000000}">
      <text>
        <r>
          <rPr>
            <sz val="8"/>
            <color indexed="81"/>
            <rFont val="Tahoma"/>
            <family val="2"/>
          </rPr>
          <t>This is height above absolute ground level, not height from zero plane. Enter values as required but not less than 2 z</t>
        </r>
        <r>
          <rPr>
            <vertAlign val="subscript"/>
            <sz val="10"/>
            <color indexed="81"/>
            <rFont val="Tahoma"/>
            <family val="2"/>
          </rPr>
          <t>0</t>
        </r>
        <r>
          <rPr>
            <sz val="8"/>
            <color indexed="81"/>
            <rFont val="Tahoma"/>
            <family val="2"/>
          </rPr>
          <t xml:space="preserve"> (site).</t>
        </r>
      </text>
    </comment>
    <comment ref="B8" authorId="0" shapeId="0" xr:uid="{00000000-0006-0000-0300-000002000000}">
      <text>
        <r>
          <rPr>
            <sz val="8"/>
            <color indexed="81"/>
            <rFont val="Tahoma"/>
            <family val="2"/>
          </rPr>
          <t xml:space="preserve">The Reference Site data for each Case here is given by the corresponding Case on Sheet 'Reference Site'.
</t>
        </r>
      </text>
    </comment>
    <comment ref="C8" authorId="1" shapeId="0" xr:uid="{00000000-0006-0000-0300-000003000000}">
      <text>
        <r>
          <rPr>
            <sz val="8"/>
            <color indexed="81"/>
            <rFont val="Tahoma"/>
            <family val="2"/>
          </rPr>
          <t xml:space="preserve">gks: DO NOT ADJUST, THIS IS THE REFERENCE CONDITION
</t>
        </r>
      </text>
    </comment>
    <comment ref="B10" authorId="0" shapeId="0" xr:uid="{00000000-0006-0000-0300-000004000000}">
      <text>
        <r>
          <rPr>
            <sz val="8"/>
            <color indexed="81"/>
            <rFont val="Tahoma"/>
            <family val="2"/>
          </rPr>
          <t xml:space="preserve">Enter the Case numbers at which the calculations are to start and finish (cells D10 and F10)
</t>
        </r>
      </text>
    </comment>
    <comment ref="F10" authorId="1" shapeId="0" xr:uid="{00000000-0006-0000-0300-000005000000}">
      <text>
        <r>
          <rPr>
            <sz val="8"/>
            <color indexed="81"/>
            <rFont val="Tahoma"/>
            <family val="2"/>
          </rPr>
          <t xml:space="preserve">calculated
</t>
        </r>
      </text>
    </comment>
    <comment ref="B11" authorId="0" shapeId="0" xr:uid="{00000000-0006-0000-0300-000006000000}">
      <text>
        <r>
          <rPr>
            <sz val="8"/>
            <color indexed="81"/>
            <rFont val="Tahoma"/>
            <family val="2"/>
          </rPr>
          <t xml:space="preserve">If cells in this row are left blank,only mean wind speeds are calculated. 
</t>
        </r>
      </text>
    </comment>
    <comment ref="B13" authorId="0" shapeId="0" xr:uid="{00000000-0006-0000-0300-000007000000}">
      <text>
        <r>
          <rPr>
            <sz val="8"/>
            <color indexed="81"/>
            <rFont val="Tahoma"/>
            <family val="2"/>
          </rPr>
          <t xml:space="preserve">If box not ticked, flat terrain is assumed.
Else, enter  topography  data onto relevant sheet.
</t>
        </r>
      </text>
    </comment>
    <comment ref="A17" authorId="2" shapeId="0" xr:uid="{00000000-0006-0000-0300-000008000000}">
      <text>
        <r>
          <rPr>
            <sz val="8"/>
            <color indexed="81"/>
            <rFont val="Tahoma"/>
            <family val="2"/>
          </rPr>
          <t xml:space="preserve">If heights are changed in any way, check box (near cell B7) to delete old results on re-run.  If so required, copy old results to a separate Worksheet or print them out.
</t>
        </r>
      </text>
    </comment>
    <comment ref="C21" authorId="1" shapeId="0" xr:uid="{00000000-0006-0000-0300-000009000000}">
      <text>
        <r>
          <rPr>
            <b/>
            <sz val="8"/>
            <color indexed="81"/>
            <rFont val="Tahoma"/>
            <family val="2"/>
          </rPr>
          <t>gks: DO NOT ADJUST, THIS IS THE REFERENCE CONDITION</t>
        </r>
      </text>
    </comment>
    <comment ref="D21" authorId="1" shapeId="0" xr:uid="{00000000-0006-0000-0300-00000A000000}">
      <text>
        <r>
          <rPr>
            <sz val="8"/>
            <color indexed="81"/>
            <rFont val="Tahoma"/>
            <family val="2"/>
          </rPr>
          <t xml:space="preserve">this obtained from RWDI_FACTORS
</t>
        </r>
      </text>
    </comment>
    <comment ref="E21" authorId="1" shapeId="0" xr:uid="{00000000-0006-0000-0300-00000B000000}">
      <text>
        <r>
          <rPr>
            <sz val="8"/>
            <color indexed="81"/>
            <rFont val="Tahoma"/>
            <family val="2"/>
          </rPr>
          <t xml:space="preserve">this obtained from RWDI_FACTORS
</t>
        </r>
      </text>
    </comment>
    <comment ref="F21" authorId="1" shapeId="0" xr:uid="{00000000-0006-0000-0300-00000C000000}">
      <text>
        <r>
          <rPr>
            <sz val="8"/>
            <color indexed="81"/>
            <rFont val="Tahoma"/>
            <family val="2"/>
          </rPr>
          <t xml:space="preserve">this obtained from RWDI_FACTORS
</t>
        </r>
      </text>
    </comment>
    <comment ref="G21" authorId="1" shapeId="0" xr:uid="{00000000-0006-0000-0300-00000D000000}">
      <text>
        <r>
          <rPr>
            <sz val="8"/>
            <color indexed="81"/>
            <rFont val="Tahoma"/>
            <family val="2"/>
          </rPr>
          <t xml:space="preserve">this obtained from RWDI_FACTORS
</t>
        </r>
      </text>
    </comment>
    <comment ref="H21" authorId="1" shapeId="0" xr:uid="{00000000-0006-0000-0300-00000E000000}">
      <text>
        <r>
          <rPr>
            <sz val="8"/>
            <color indexed="81"/>
            <rFont val="Tahoma"/>
            <family val="2"/>
          </rPr>
          <t xml:space="preserve">this obtained from RWDI_FACTORS
</t>
        </r>
      </text>
    </comment>
    <comment ref="I21" authorId="1" shapeId="0" xr:uid="{00000000-0006-0000-0300-00000F000000}">
      <text>
        <r>
          <rPr>
            <sz val="8"/>
            <color indexed="81"/>
            <rFont val="Tahoma"/>
            <family val="2"/>
          </rPr>
          <t xml:space="preserve">this obtained from RWDI_FACTORS
</t>
        </r>
      </text>
    </comment>
    <comment ref="J21" authorId="1" shapeId="0" xr:uid="{00000000-0006-0000-0300-000010000000}">
      <text>
        <r>
          <rPr>
            <sz val="8"/>
            <color indexed="81"/>
            <rFont val="Tahoma"/>
            <family val="2"/>
          </rPr>
          <t xml:space="preserve">this obtained from RWDI_FACTORS
</t>
        </r>
      </text>
    </comment>
    <comment ref="K21" authorId="1" shapeId="0" xr:uid="{00000000-0006-0000-0300-000011000000}">
      <text>
        <r>
          <rPr>
            <sz val="8"/>
            <color indexed="81"/>
            <rFont val="Tahoma"/>
            <family val="2"/>
          </rPr>
          <t xml:space="preserve">this obtained from RWDI_FACTORS
</t>
        </r>
      </text>
    </comment>
    <comment ref="L21" authorId="1" shapeId="0" xr:uid="{00000000-0006-0000-0300-000012000000}">
      <text>
        <r>
          <rPr>
            <sz val="8"/>
            <color indexed="81"/>
            <rFont val="Tahoma"/>
            <family val="2"/>
          </rPr>
          <t xml:space="preserve">this obtained from RWDI_FACTORS
</t>
        </r>
      </text>
    </comment>
    <comment ref="M21" authorId="1" shapeId="0" xr:uid="{00000000-0006-0000-0300-000013000000}">
      <text>
        <r>
          <rPr>
            <sz val="8"/>
            <color indexed="81"/>
            <rFont val="Tahoma"/>
            <family val="2"/>
          </rPr>
          <t xml:space="preserve">this obtained from RWDI_FACTORS
</t>
        </r>
      </text>
    </comment>
    <comment ref="N21" authorId="1" shapeId="0" xr:uid="{00000000-0006-0000-0300-000014000000}">
      <text>
        <r>
          <rPr>
            <sz val="8"/>
            <color indexed="81"/>
            <rFont val="Tahoma"/>
            <family val="2"/>
          </rPr>
          <t xml:space="preserve">this obtained from RWDI_FACTORS
</t>
        </r>
      </text>
    </comment>
    <comment ref="O21" authorId="1" shapeId="0" xr:uid="{00000000-0006-0000-0300-000015000000}">
      <text>
        <r>
          <rPr>
            <sz val="8"/>
            <color indexed="81"/>
            <rFont val="Tahoma"/>
            <family val="2"/>
          </rPr>
          <t xml:space="preserve">this obtained from RWDI_FACTORS
</t>
        </r>
      </text>
    </comment>
    <comment ref="P21" authorId="1" shapeId="0" xr:uid="{00000000-0006-0000-0300-000016000000}">
      <text>
        <r>
          <rPr>
            <sz val="8"/>
            <color indexed="81"/>
            <rFont val="Tahoma"/>
            <family val="2"/>
          </rPr>
          <t xml:space="preserve">this obtained from RWDI_FACTORS
</t>
        </r>
      </text>
    </comment>
    <comment ref="Q21" authorId="1" shapeId="0" xr:uid="{00000000-0006-0000-0300-000017000000}">
      <text>
        <r>
          <rPr>
            <sz val="8"/>
            <color indexed="81"/>
            <rFont val="Tahoma"/>
            <family val="2"/>
          </rPr>
          <t xml:space="preserve">this obtained from RWDI_FACTORS
</t>
        </r>
      </text>
    </comment>
    <comment ref="R21" authorId="1" shapeId="0" xr:uid="{00000000-0006-0000-0300-000018000000}">
      <text>
        <r>
          <rPr>
            <sz val="8"/>
            <color indexed="81"/>
            <rFont val="Tahoma"/>
            <family val="2"/>
          </rPr>
          <t xml:space="preserve">this obtained from RWDI_FACTORS
</t>
        </r>
      </text>
    </comment>
    <comment ref="S21" authorId="1" shapeId="0" xr:uid="{00000000-0006-0000-0300-000019000000}">
      <text>
        <r>
          <rPr>
            <sz val="8"/>
            <color indexed="81"/>
            <rFont val="Tahoma"/>
            <family val="2"/>
          </rPr>
          <t xml:space="preserve">this obtained from RWDI_FACTORS
</t>
        </r>
      </text>
    </comment>
    <comment ref="T21" authorId="1" shapeId="0" xr:uid="{00000000-0006-0000-0300-00001A000000}">
      <text>
        <r>
          <rPr>
            <sz val="8"/>
            <color indexed="81"/>
            <rFont val="Tahoma"/>
            <family val="2"/>
          </rPr>
          <t xml:space="preserve">this obtained from RWDI_FACTORS
</t>
        </r>
      </text>
    </comment>
    <comment ref="U21" authorId="1" shapeId="0" xr:uid="{00000000-0006-0000-0300-00001B000000}">
      <text>
        <r>
          <rPr>
            <sz val="8"/>
            <color indexed="81"/>
            <rFont val="Tahoma"/>
            <family val="2"/>
          </rPr>
          <t xml:space="preserve">this obtained from RWDI_FACTORS
</t>
        </r>
      </text>
    </comment>
    <comment ref="V21" authorId="1" shapeId="0" xr:uid="{00000000-0006-0000-0300-00001C000000}">
      <text>
        <r>
          <rPr>
            <sz val="8"/>
            <color indexed="81"/>
            <rFont val="Tahoma"/>
            <family val="2"/>
          </rPr>
          <t xml:space="preserve">this obtained from RWDI_FACTORS
</t>
        </r>
      </text>
    </comment>
    <comment ref="W21" authorId="1" shapeId="0" xr:uid="{00000000-0006-0000-0300-00001D000000}">
      <text>
        <r>
          <rPr>
            <sz val="8"/>
            <color indexed="81"/>
            <rFont val="Tahoma"/>
            <family val="2"/>
          </rPr>
          <t xml:space="preserve">this obtained from RWDI_FACTORS
</t>
        </r>
      </text>
    </comment>
    <comment ref="X21" authorId="1" shapeId="0" xr:uid="{00000000-0006-0000-0300-00001E000000}">
      <text>
        <r>
          <rPr>
            <sz val="8"/>
            <color indexed="81"/>
            <rFont val="Tahoma"/>
            <family val="2"/>
          </rPr>
          <t xml:space="preserve">this obtained from RWDI_FACTORS
</t>
        </r>
      </text>
    </comment>
    <comment ref="Y21" authorId="1" shapeId="0" xr:uid="{00000000-0006-0000-0300-00001F000000}">
      <text>
        <r>
          <rPr>
            <sz val="8"/>
            <color indexed="81"/>
            <rFont val="Tahoma"/>
            <family val="2"/>
          </rPr>
          <t xml:space="preserve">this obtained from RWDI_FACTORS
</t>
        </r>
      </text>
    </comment>
    <comment ref="Z21" authorId="1" shapeId="0" xr:uid="{00000000-0006-0000-0300-000020000000}">
      <text>
        <r>
          <rPr>
            <sz val="8"/>
            <color indexed="81"/>
            <rFont val="Tahoma"/>
            <family val="2"/>
          </rPr>
          <t xml:space="preserve">this obtained from RWDI_FACTORS
</t>
        </r>
      </text>
    </comment>
    <comment ref="AA21" authorId="1" shapeId="0" xr:uid="{00000000-0006-0000-0300-000021000000}">
      <text>
        <r>
          <rPr>
            <sz val="8"/>
            <color indexed="81"/>
            <rFont val="Tahoma"/>
            <family val="2"/>
          </rPr>
          <t xml:space="preserve">this obtained from RWDI_FACTORS
</t>
        </r>
      </text>
    </comment>
    <comment ref="B22" authorId="0" shapeId="0" xr:uid="{00000000-0006-0000-0300-000022000000}">
      <text>
        <r>
          <rPr>
            <sz val="8"/>
            <color indexed="81"/>
            <rFont val="Tahoma"/>
            <family val="2"/>
          </rPr>
          <t>Value of z</t>
        </r>
        <r>
          <rPr>
            <vertAlign val="subscript"/>
            <sz val="9"/>
            <color indexed="81"/>
            <rFont val="Tahoma"/>
            <family val="2"/>
          </rPr>
          <t>0</t>
        </r>
        <r>
          <rPr>
            <sz val="8"/>
            <color indexed="81"/>
            <rFont val="Tahoma"/>
            <family val="2"/>
          </rPr>
          <t xml:space="preserve"> at the Target Site.
See Worksheet "Terrain roughness".</t>
        </r>
      </text>
    </comment>
    <comment ref="B23" authorId="0" shapeId="0" xr:uid="{00000000-0006-0000-0300-000023000000}">
      <text>
        <r>
          <rPr>
            <sz val="8"/>
            <color indexed="81"/>
            <rFont val="Tahoma"/>
            <family val="2"/>
          </rPr>
          <t>Length of terrain of roughness z</t>
        </r>
        <r>
          <rPr>
            <vertAlign val="subscript"/>
            <sz val="9"/>
            <color indexed="81"/>
            <rFont val="Tahoma"/>
            <family val="2"/>
          </rPr>
          <t>0</t>
        </r>
        <r>
          <rPr>
            <sz val="8"/>
            <color indexed="81"/>
            <rFont val="Tahoma"/>
            <family val="2"/>
          </rPr>
          <t xml:space="preserve"> (see  sketch). If equilibrium conditions in this patch, leave cell blank.
</t>
        </r>
      </text>
    </comment>
    <comment ref="B24" authorId="0" shapeId="0" xr:uid="{00000000-0006-0000-0300-000024000000}">
      <text>
        <r>
          <rPr>
            <sz val="8"/>
            <color indexed="81"/>
            <rFont val="Tahoma"/>
            <family val="2"/>
          </rPr>
          <t xml:space="preserve">Value of </t>
        </r>
        <r>
          <rPr>
            <i/>
            <sz val="8"/>
            <color indexed="81"/>
            <rFont val="Tahoma"/>
            <family val="2"/>
          </rPr>
          <t>z</t>
        </r>
        <r>
          <rPr>
            <vertAlign val="subscript"/>
            <sz val="9"/>
            <color indexed="81"/>
            <rFont val="Tahoma"/>
            <family val="2"/>
          </rPr>
          <t>0</t>
        </r>
        <r>
          <rPr>
            <sz val="8"/>
            <color indexed="81"/>
            <rFont val="Tahoma"/>
            <family val="2"/>
          </rPr>
          <t>=</t>
        </r>
        <r>
          <rPr>
            <i/>
            <sz val="8"/>
            <color indexed="81"/>
            <rFont val="Tahoma"/>
            <family val="2"/>
          </rPr>
          <t>z</t>
        </r>
        <r>
          <rPr>
            <vertAlign val="subscript"/>
            <sz val="9"/>
            <color indexed="81"/>
            <rFont val="Tahoma"/>
            <family val="2"/>
          </rPr>
          <t>01</t>
        </r>
        <r>
          <rPr>
            <sz val="8"/>
            <color indexed="81"/>
            <rFont val="Tahoma"/>
            <family val="2"/>
          </rPr>
          <t xml:space="preserve"> upwind of first roughness change (see sketch).
</t>
        </r>
      </text>
    </comment>
    <comment ref="B25" authorId="0" shapeId="0" xr:uid="{00000000-0006-0000-0300-000025000000}">
      <text>
        <r>
          <rPr>
            <sz val="8"/>
            <color indexed="81"/>
            <rFont val="Tahoma"/>
            <family val="2"/>
          </rPr>
          <t xml:space="preserve">Length of terrain of roughness </t>
        </r>
        <r>
          <rPr>
            <i/>
            <sz val="8"/>
            <color indexed="81"/>
            <rFont val="Tahoma"/>
            <family val="2"/>
          </rPr>
          <t>z</t>
        </r>
        <r>
          <rPr>
            <vertAlign val="subscript"/>
            <sz val="9"/>
            <color indexed="81"/>
            <rFont val="Tahoma"/>
            <family val="2"/>
          </rPr>
          <t>01</t>
        </r>
        <r>
          <rPr>
            <sz val="8"/>
            <color indexed="81"/>
            <rFont val="Tahoma"/>
            <family val="2"/>
          </rPr>
          <t xml:space="preserve"> (see  sketch). If equilibrium conditions in this patch, leave cell blank.
</t>
        </r>
      </text>
    </comment>
    <comment ref="A50" authorId="2" shapeId="0" xr:uid="{00000000-0006-0000-0300-000026000000}">
      <text>
        <r>
          <rPr>
            <sz val="8"/>
            <color indexed="81"/>
            <rFont val="Tahoma"/>
            <family val="2"/>
          </rPr>
          <t xml:space="preserve">If heights are changed in any way, check box (near cell B7) to delete old results on re-run.  If so required, copy old results to a separate Worksheet or print them out.
</t>
        </r>
      </text>
    </comment>
    <comment ref="A57" authorId="3" shapeId="0" xr:uid="{00000000-0006-0000-0300-000027000000}">
      <text>
        <r>
          <rPr>
            <b/>
            <sz val="11"/>
            <color indexed="81"/>
            <rFont val="Tahoma"/>
            <family val="2"/>
          </rPr>
          <t>gks:</t>
        </r>
        <r>
          <rPr>
            <sz val="11"/>
            <color indexed="81"/>
            <rFont val="Tahoma"/>
            <family val="2"/>
          </rPr>
          <t xml:space="preserve">
0.3*H</t>
        </r>
      </text>
    </comment>
    <comment ref="A58" authorId="3" shapeId="0" xr:uid="{00000000-0006-0000-0300-000028000000}">
      <text>
        <r>
          <rPr>
            <b/>
            <sz val="11"/>
            <color indexed="81"/>
            <rFont val="Tahoma"/>
            <family val="2"/>
          </rPr>
          <t>gks:</t>
        </r>
        <r>
          <rPr>
            <sz val="11"/>
            <color indexed="81"/>
            <rFont val="Tahoma"/>
            <family val="2"/>
          </rPr>
          <t xml:space="preserve">
0.5*H</t>
        </r>
      </text>
    </comment>
    <comment ref="A59" authorId="3" shapeId="0" xr:uid="{00000000-0006-0000-0300-000029000000}">
      <text>
        <r>
          <rPr>
            <b/>
            <sz val="11"/>
            <color indexed="81"/>
            <rFont val="Tahoma"/>
            <family val="2"/>
          </rPr>
          <t>gks:</t>
        </r>
        <r>
          <rPr>
            <sz val="11"/>
            <color indexed="81"/>
            <rFont val="Tahoma"/>
            <family val="2"/>
          </rPr>
          <t xml:space="preserve">
0.67*h = H ref</t>
        </r>
      </text>
    </comment>
    <comment ref="A60" authorId="3" shapeId="0" xr:uid="{00000000-0006-0000-0300-00002A000000}">
      <text>
        <r>
          <rPr>
            <b/>
            <sz val="11"/>
            <color indexed="81"/>
            <rFont val="Tahoma"/>
            <family val="2"/>
          </rPr>
          <t>gks:</t>
        </r>
        <r>
          <rPr>
            <sz val="11"/>
            <color indexed="81"/>
            <rFont val="Tahoma"/>
            <family val="2"/>
          </rPr>
          <t xml:space="preserve">
0.8*H
</t>
        </r>
      </text>
    </comment>
    <comment ref="A61" authorId="3" shapeId="0" xr:uid="{00000000-0006-0000-0300-00002B000000}">
      <text>
        <r>
          <rPr>
            <b/>
            <sz val="11"/>
            <color indexed="81"/>
            <rFont val="Tahoma"/>
            <family val="2"/>
          </rPr>
          <t>gks:</t>
        </r>
        <r>
          <rPr>
            <sz val="11"/>
            <color indexed="81"/>
            <rFont val="Tahoma"/>
            <family val="2"/>
          </rPr>
          <t xml:space="preserve">
1*H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Neil Thompson</author>
  </authors>
  <commentList>
    <comment ref="C4" authorId="0" shapeId="0" xr:uid="{00000000-0006-0000-0400-000001000000}">
      <text>
        <r>
          <rPr>
            <sz val="8"/>
            <color indexed="81"/>
            <rFont val="Tahoma"/>
            <family val="2"/>
          </rPr>
          <t xml:space="preserve">This determines fineness of horizontal grid for computation. A value of  40 is normally satisfactory but it must be an even number.
</t>
        </r>
      </text>
    </comment>
    <comment ref="B22" authorId="0" shapeId="0" xr:uid="{00000000-0006-0000-0400-000002000000}">
      <text>
        <r>
          <rPr>
            <sz val="8"/>
            <color indexed="81"/>
            <rFont val="Tahoma"/>
            <family val="2"/>
          </rPr>
          <t xml:space="preserve">See sketches above.
</t>
        </r>
      </text>
    </comment>
    <comment ref="B24" authorId="0" shapeId="0" xr:uid="{00000000-0006-0000-0400-000003000000}">
      <text>
        <r>
          <rPr>
            <sz val="8"/>
            <color indexed="81"/>
            <rFont val="Tahoma"/>
            <family val="2"/>
          </rPr>
          <t>For cases where only wind direction changes, enter (in cell F24,J24,etc) relevant Case No. where site location and section data are located.
*If the Ref wind speed changes for each Case then small differences in results may occur compared with running the Case independently (see ESDU 01008).</t>
        </r>
      </text>
    </comment>
    <comment ref="B25" authorId="0" shapeId="0" xr:uid="{00000000-0006-0000-0400-000004000000}">
      <text>
        <r>
          <rPr>
            <sz val="8"/>
            <color indexed="81"/>
            <rFont val="Tahoma"/>
            <family val="2"/>
          </rPr>
          <t>See sketches above.   If left blank, values of L01, L02, W01, W02 will be estimated by the program.</t>
        </r>
      </text>
    </comment>
    <comment ref="E25" authorId="0" shapeId="0" xr:uid="{00000000-0006-0000-0400-000005000000}">
      <text>
        <r>
          <rPr>
            <sz val="8"/>
            <color indexed="81"/>
            <rFont val="Tahoma"/>
            <family val="2"/>
          </rPr>
          <t>Coordinates of peak (or base of valley )of local hill  on which site is located (along axes 0x, 0y.</t>
        </r>
      </text>
    </comment>
    <comment ref="I25" authorId="0" shapeId="0" xr:uid="{00000000-0006-0000-0400-000006000000}">
      <text>
        <r>
          <rPr>
            <sz val="8"/>
            <color indexed="81"/>
            <rFont val="Tahoma"/>
            <family val="2"/>
          </rPr>
          <t>Coordinates of peak (or base of valley )of local hill  on which site is located (along axes 0x, 0y.</t>
        </r>
      </text>
    </comment>
    <comment ref="M25" authorId="0" shapeId="0" xr:uid="{00000000-0006-0000-0400-000007000000}">
      <text>
        <r>
          <rPr>
            <sz val="8"/>
            <color indexed="81"/>
            <rFont val="Tahoma"/>
            <family val="2"/>
          </rPr>
          <t>Coordinates of peak (or base of valley )of local hill  on which site is located (along axes 0x, 0y.</t>
        </r>
      </text>
    </comment>
    <comment ref="Q25" authorId="0" shapeId="0" xr:uid="{00000000-0006-0000-0400-000008000000}">
      <text>
        <r>
          <rPr>
            <sz val="8"/>
            <color indexed="81"/>
            <rFont val="Tahoma"/>
            <family val="2"/>
          </rPr>
          <t>Coordinates of peak (or base of valley )of local hill  on which site is located (along axes 0x, 0y.</t>
        </r>
      </text>
    </comment>
    <comment ref="U25" authorId="0" shapeId="0" xr:uid="{00000000-0006-0000-0400-000009000000}">
      <text>
        <r>
          <rPr>
            <sz val="8"/>
            <color indexed="81"/>
            <rFont val="Tahoma"/>
            <family val="2"/>
          </rPr>
          <t>Coordinates of peak (or base of valley )of local hill  on which site is located (along axes 0x, 0y.</t>
        </r>
      </text>
    </comment>
    <comment ref="Y25" authorId="0" shapeId="0" xr:uid="{00000000-0006-0000-0400-00000A000000}">
      <text>
        <r>
          <rPr>
            <sz val="8"/>
            <color indexed="81"/>
            <rFont val="Tahoma"/>
            <family val="2"/>
          </rPr>
          <t>Coordinates of peak (or base of valley )of local hill  on which site is located (along axes 0x, 0y.</t>
        </r>
      </text>
    </comment>
    <comment ref="AC25" authorId="0" shapeId="0" xr:uid="{00000000-0006-0000-0400-00000B000000}">
      <text>
        <r>
          <rPr>
            <sz val="8"/>
            <color indexed="81"/>
            <rFont val="Tahoma"/>
            <family val="2"/>
          </rPr>
          <t>Coordinates of peak (or base of valley )of local hill  on which site is located (along axes 0x, 0y.</t>
        </r>
      </text>
    </comment>
    <comment ref="AG25" authorId="0" shapeId="0" xr:uid="{00000000-0006-0000-0400-00000C000000}">
      <text>
        <r>
          <rPr>
            <sz val="8"/>
            <color indexed="81"/>
            <rFont val="Tahoma"/>
            <family val="2"/>
          </rPr>
          <t>Coordinates of peak (or base of valley )of local hill  on which site is located (along axes 0x, 0y.</t>
        </r>
      </text>
    </comment>
    <comment ref="AK25" authorId="0" shapeId="0" xr:uid="{00000000-0006-0000-0400-00000D000000}">
      <text>
        <r>
          <rPr>
            <sz val="8"/>
            <color indexed="81"/>
            <rFont val="Tahoma"/>
            <family val="2"/>
          </rPr>
          <t>Coordinates of peak (or base of valley )of local hill  on which site is located (along axes 0x, 0y.</t>
        </r>
      </text>
    </comment>
    <comment ref="AO25" authorId="0" shapeId="0" xr:uid="{00000000-0006-0000-0400-00000E000000}">
      <text>
        <r>
          <rPr>
            <sz val="8"/>
            <color indexed="81"/>
            <rFont val="Tahoma"/>
            <family val="2"/>
          </rPr>
          <t>Coordinates of peak (or base of valley )of local hill  on which site is located (along axes 0x, 0y.</t>
        </r>
      </text>
    </comment>
    <comment ref="AS25" authorId="0" shapeId="0" xr:uid="{00000000-0006-0000-0400-00000F000000}">
      <text>
        <r>
          <rPr>
            <sz val="8"/>
            <color indexed="81"/>
            <rFont val="Tahoma"/>
            <family val="2"/>
          </rPr>
          <t>Coordinates of peak (or base of valley )of local hill  on which site is located (along axes 0x, 0y.</t>
        </r>
      </text>
    </comment>
    <comment ref="AW25" authorId="0" shapeId="0" xr:uid="{00000000-0006-0000-0400-000010000000}">
      <text>
        <r>
          <rPr>
            <sz val="8"/>
            <color indexed="81"/>
            <rFont val="Tahoma"/>
            <family val="2"/>
          </rPr>
          <t>Coordinates of peak (or base of valley )of local hill  on which site is located (along axes 0x, 0y.</t>
        </r>
      </text>
    </comment>
    <comment ref="BA25" authorId="0" shapeId="0" xr:uid="{00000000-0006-0000-0400-000011000000}">
      <text>
        <r>
          <rPr>
            <sz val="8"/>
            <color indexed="81"/>
            <rFont val="Tahoma"/>
            <family val="2"/>
          </rPr>
          <t>Coordinates of peak (or base of valley )of local hill  on which site is located (along axes 0x, 0y.</t>
        </r>
      </text>
    </comment>
    <comment ref="BE25" authorId="0" shapeId="0" xr:uid="{00000000-0006-0000-0400-000012000000}">
      <text>
        <r>
          <rPr>
            <sz val="8"/>
            <color indexed="81"/>
            <rFont val="Tahoma"/>
            <family val="2"/>
          </rPr>
          <t>Coordinates of peak (or base of valley )of local hill  on which site is located (along axes 0x, 0y.</t>
        </r>
      </text>
    </comment>
    <comment ref="BI25" authorId="0" shapeId="0" xr:uid="{00000000-0006-0000-0400-000013000000}">
      <text>
        <r>
          <rPr>
            <sz val="8"/>
            <color indexed="81"/>
            <rFont val="Tahoma"/>
            <family val="2"/>
          </rPr>
          <t>Coordinates of peak (or base of valley )of local hill  on which site is located (along axes 0x, 0y.</t>
        </r>
      </text>
    </comment>
    <comment ref="BM25" authorId="0" shapeId="0" xr:uid="{00000000-0006-0000-0400-000014000000}">
      <text>
        <r>
          <rPr>
            <sz val="8"/>
            <color indexed="81"/>
            <rFont val="Tahoma"/>
            <family val="2"/>
          </rPr>
          <t>Coordinates of peak (or base of valley )of local hill  on which site is located (along axes 0x, 0y.</t>
        </r>
      </text>
    </comment>
    <comment ref="BQ25" authorId="0" shapeId="0" xr:uid="{00000000-0006-0000-0400-000015000000}">
      <text>
        <r>
          <rPr>
            <sz val="8"/>
            <color indexed="81"/>
            <rFont val="Tahoma"/>
            <family val="2"/>
          </rPr>
          <t>Coordinates of peak (or base of valley )of local hill  on which site is located (along axes 0x, 0y.</t>
        </r>
      </text>
    </comment>
    <comment ref="BU25" authorId="0" shapeId="0" xr:uid="{00000000-0006-0000-0400-000016000000}">
      <text>
        <r>
          <rPr>
            <sz val="8"/>
            <color indexed="81"/>
            <rFont val="Tahoma"/>
            <family val="2"/>
          </rPr>
          <t>Coordinates of peak (or base of valley )of local hill  on which site is located (along axes 0x, 0y.</t>
        </r>
      </text>
    </comment>
    <comment ref="BY25" authorId="0" shapeId="0" xr:uid="{00000000-0006-0000-0400-000017000000}">
      <text>
        <r>
          <rPr>
            <sz val="8"/>
            <color indexed="81"/>
            <rFont val="Tahoma"/>
            <family val="2"/>
          </rPr>
          <t>Coordinates of peak (or base of valley )of local hill  on which site is located (along axes 0x, 0y.</t>
        </r>
      </text>
    </comment>
    <comment ref="CC25" authorId="0" shapeId="0" xr:uid="{00000000-0006-0000-0400-000018000000}">
      <text>
        <r>
          <rPr>
            <sz val="8"/>
            <color indexed="81"/>
            <rFont val="Tahoma"/>
            <family val="2"/>
          </rPr>
          <t>Coordinates of peak (or base of valley )of local hill  on which site is located (along axes 0x, 0y.</t>
        </r>
      </text>
    </comment>
    <comment ref="B27" authorId="0" shapeId="0" xr:uid="{00000000-0006-0000-0400-000019000000}">
      <text>
        <r>
          <rPr>
            <sz val="8"/>
            <color indexed="81"/>
            <rFont val="Tahoma"/>
            <family val="2"/>
          </rPr>
          <t>Coordinates of site along axes 0x, 0y. If topography is two-dimensional, the value of x</t>
        </r>
        <r>
          <rPr>
            <i/>
            <vertAlign val="subscript"/>
            <sz val="9"/>
            <color indexed="81"/>
            <rFont val="Tahoma"/>
            <family val="2"/>
          </rPr>
          <t>site</t>
        </r>
        <r>
          <rPr>
            <sz val="8"/>
            <color indexed="81"/>
            <rFont val="Tahoma"/>
            <family val="2"/>
          </rPr>
          <t xml:space="preserve"> can be left blank.
</t>
        </r>
      </text>
    </comment>
    <comment ref="E27" authorId="0" shapeId="0" xr:uid="{00000000-0006-0000-0400-00001A000000}">
      <text>
        <r>
          <rPr>
            <sz val="8"/>
            <color indexed="81"/>
            <rFont val="Tahoma"/>
            <family val="2"/>
          </rPr>
          <t xml:space="preserve">Max height of peak correponding to above coordinates; negative if a valley.
</t>
        </r>
      </text>
    </comment>
    <comment ref="I27" authorId="0" shapeId="0" xr:uid="{00000000-0006-0000-0400-00001B000000}">
      <text>
        <r>
          <rPr>
            <sz val="8"/>
            <color indexed="81"/>
            <rFont val="Tahoma"/>
            <family val="2"/>
          </rPr>
          <t xml:space="preserve">Max height of peak correponding to above coordinates; negative if a valley.
</t>
        </r>
      </text>
    </comment>
    <comment ref="M27" authorId="0" shapeId="0" xr:uid="{00000000-0006-0000-0400-00001C000000}">
      <text>
        <r>
          <rPr>
            <sz val="8"/>
            <color indexed="81"/>
            <rFont val="Tahoma"/>
            <family val="2"/>
          </rPr>
          <t xml:space="preserve">Max height of peak on which site is located; negative if a valley.
</t>
        </r>
      </text>
    </comment>
    <comment ref="Q27" authorId="0" shapeId="0" xr:uid="{00000000-0006-0000-0400-00001D000000}">
      <text>
        <r>
          <rPr>
            <sz val="8"/>
            <color indexed="81"/>
            <rFont val="Tahoma"/>
            <family val="2"/>
          </rPr>
          <t xml:space="preserve">Max height of peak on which site is located; negative if a valley.
</t>
        </r>
      </text>
    </comment>
    <comment ref="U27" authorId="0" shapeId="0" xr:uid="{00000000-0006-0000-0400-00001E000000}">
      <text>
        <r>
          <rPr>
            <sz val="8"/>
            <color indexed="81"/>
            <rFont val="Tahoma"/>
            <family val="2"/>
          </rPr>
          <t xml:space="preserve">Max height of peak correponding to above coordinates; negative if a valley.
</t>
        </r>
      </text>
    </comment>
    <comment ref="Y27" authorId="0" shapeId="0" xr:uid="{00000000-0006-0000-0400-00001F000000}">
      <text>
        <r>
          <rPr>
            <sz val="8"/>
            <color indexed="81"/>
            <rFont val="Tahoma"/>
            <family val="2"/>
          </rPr>
          <t xml:space="preserve">Max height of peak correponding to above coordinates; negative if a valley.
</t>
        </r>
      </text>
    </comment>
    <comment ref="AC27" authorId="0" shapeId="0" xr:uid="{00000000-0006-0000-0400-000020000000}">
      <text>
        <r>
          <rPr>
            <sz val="8"/>
            <color indexed="81"/>
            <rFont val="Tahoma"/>
            <family val="2"/>
          </rPr>
          <t xml:space="preserve">Max height of peak correponding to above coordinates; negative if a valley.
</t>
        </r>
      </text>
    </comment>
    <comment ref="AG27" authorId="0" shapeId="0" xr:uid="{00000000-0006-0000-0400-000021000000}">
      <text>
        <r>
          <rPr>
            <sz val="8"/>
            <color indexed="81"/>
            <rFont val="Tahoma"/>
            <family val="2"/>
          </rPr>
          <t xml:space="preserve">Max height of peak correponding to above coordinates; negative if a valley.
</t>
        </r>
      </text>
    </comment>
    <comment ref="AK27" authorId="0" shapeId="0" xr:uid="{00000000-0006-0000-0400-000022000000}">
      <text>
        <r>
          <rPr>
            <sz val="8"/>
            <color indexed="81"/>
            <rFont val="Tahoma"/>
            <family val="2"/>
          </rPr>
          <t xml:space="preserve">Max height of peak correponding to above coordinates; negative if a valley.
</t>
        </r>
      </text>
    </comment>
    <comment ref="AO27" authorId="0" shapeId="0" xr:uid="{00000000-0006-0000-0400-000023000000}">
      <text>
        <r>
          <rPr>
            <sz val="8"/>
            <color indexed="81"/>
            <rFont val="Tahoma"/>
            <family val="2"/>
          </rPr>
          <t xml:space="preserve">Max height of peak correponding to above coordinates; negative if a valley.
</t>
        </r>
      </text>
    </comment>
    <comment ref="AS27" authorId="0" shapeId="0" xr:uid="{00000000-0006-0000-0400-000024000000}">
      <text>
        <r>
          <rPr>
            <sz val="8"/>
            <color indexed="81"/>
            <rFont val="Tahoma"/>
            <family val="2"/>
          </rPr>
          <t xml:space="preserve">Max height of peak correponding to above coordinates; negative if a valley.
</t>
        </r>
      </text>
    </comment>
    <comment ref="AW27" authorId="0" shapeId="0" xr:uid="{00000000-0006-0000-0400-000025000000}">
      <text>
        <r>
          <rPr>
            <sz val="8"/>
            <color indexed="81"/>
            <rFont val="Tahoma"/>
            <family val="2"/>
          </rPr>
          <t xml:space="preserve">Max height of peak correponding to above coordinates; negative if a valley.
</t>
        </r>
      </text>
    </comment>
    <comment ref="BA27" authorId="0" shapeId="0" xr:uid="{00000000-0006-0000-0400-000026000000}">
      <text>
        <r>
          <rPr>
            <sz val="8"/>
            <color indexed="81"/>
            <rFont val="Tahoma"/>
            <family val="2"/>
          </rPr>
          <t xml:space="preserve">Max height of peak correponding to above coordinates; negative if a valley.
</t>
        </r>
      </text>
    </comment>
    <comment ref="BE27" authorId="0" shapeId="0" xr:uid="{00000000-0006-0000-0400-000027000000}">
      <text>
        <r>
          <rPr>
            <sz val="8"/>
            <color indexed="81"/>
            <rFont val="Tahoma"/>
            <family val="2"/>
          </rPr>
          <t xml:space="preserve">Max height of peak correponding to above coordinates; negative if a valley.
</t>
        </r>
      </text>
    </comment>
    <comment ref="BI27" authorId="0" shapeId="0" xr:uid="{00000000-0006-0000-0400-000028000000}">
      <text>
        <r>
          <rPr>
            <sz val="8"/>
            <color indexed="81"/>
            <rFont val="Tahoma"/>
            <family val="2"/>
          </rPr>
          <t xml:space="preserve">Max height of peak correponding to above coordinates; negative if a valley.
</t>
        </r>
      </text>
    </comment>
    <comment ref="BM27" authorId="0" shapeId="0" xr:uid="{00000000-0006-0000-0400-000029000000}">
      <text>
        <r>
          <rPr>
            <sz val="8"/>
            <color indexed="81"/>
            <rFont val="Tahoma"/>
            <family val="2"/>
          </rPr>
          <t xml:space="preserve">Max height of peak correponding to above coordinates; negative if a valley.
</t>
        </r>
      </text>
    </comment>
    <comment ref="BQ27" authorId="0" shapeId="0" xr:uid="{00000000-0006-0000-0400-00002A000000}">
      <text>
        <r>
          <rPr>
            <sz val="8"/>
            <color indexed="81"/>
            <rFont val="Tahoma"/>
            <family val="2"/>
          </rPr>
          <t xml:space="preserve">Max height of peak correponding to above coordinates; negative if a valley.
</t>
        </r>
      </text>
    </comment>
    <comment ref="BU27" authorId="0" shapeId="0" xr:uid="{00000000-0006-0000-0400-00002B000000}">
      <text>
        <r>
          <rPr>
            <sz val="8"/>
            <color indexed="81"/>
            <rFont val="Tahoma"/>
            <family val="2"/>
          </rPr>
          <t xml:space="preserve">Max height of peak correponding to above coordinates; negative if a valley.
</t>
        </r>
      </text>
    </comment>
    <comment ref="BY27" authorId="0" shapeId="0" xr:uid="{00000000-0006-0000-0400-00002C000000}">
      <text>
        <r>
          <rPr>
            <sz val="8"/>
            <color indexed="81"/>
            <rFont val="Tahoma"/>
            <family val="2"/>
          </rPr>
          <t xml:space="preserve">Max height of peak correponding to above coordinates; negative if a valley.
</t>
        </r>
      </text>
    </comment>
    <comment ref="CC27" authorId="0" shapeId="0" xr:uid="{00000000-0006-0000-0400-00002D000000}">
      <text>
        <r>
          <rPr>
            <sz val="8"/>
            <color indexed="81"/>
            <rFont val="Tahoma"/>
            <family val="2"/>
          </rPr>
          <t xml:space="preserve">Max height of peak correponding to above coordinates; negative if a valley.
</t>
        </r>
      </text>
    </comment>
    <comment ref="B28" authorId="0" shapeId="0" xr:uid="{00000000-0006-0000-0400-00002E000000}">
      <text>
        <r>
          <rPr>
            <sz val="8"/>
            <color indexed="81"/>
            <rFont val="Tahoma"/>
            <family val="2"/>
          </rPr>
          <t xml:space="preserve">Use axes as defined in sketches above.
</t>
        </r>
      </text>
    </comment>
    <comment ref="E28" authorId="0" shapeId="0" xr:uid="{00000000-0006-0000-0400-00002F000000}">
      <text>
        <r>
          <rPr>
            <sz val="8"/>
            <color indexed="81"/>
            <rFont val="Arial"/>
            <family val="2"/>
          </rPr>
          <t>If topography considered to be 2-dimensional, then leave blank columns under x and z for CD, or leave 1st cell under z</t>
        </r>
        <r>
          <rPr>
            <vertAlign val="subscript"/>
            <sz val="9"/>
            <color indexed="81"/>
            <rFont val="Arial"/>
            <family val="2"/>
          </rPr>
          <t>CD</t>
        </r>
        <r>
          <rPr>
            <sz val="8"/>
            <color indexed="81"/>
            <rFont val="Arial"/>
            <family val="2"/>
          </rPr>
          <t xml:space="preserve"> blank.
</t>
        </r>
      </text>
    </comment>
    <comment ref="F28" authorId="0" shapeId="0" xr:uid="{00000000-0006-0000-0400-000030000000}">
      <text>
        <r>
          <rPr>
            <sz val="8"/>
            <color indexed="81"/>
            <rFont val="Arial"/>
            <family val="2"/>
          </rPr>
          <t>If topography considered to be 2-dimensional, then leave blank columns under x and z for CD,  or leave 1st cell under z</t>
        </r>
        <r>
          <rPr>
            <vertAlign val="subscript"/>
            <sz val="9"/>
            <color indexed="81"/>
            <rFont val="Arial"/>
            <family val="2"/>
          </rPr>
          <t>CD</t>
        </r>
        <r>
          <rPr>
            <sz val="8"/>
            <color indexed="81"/>
            <rFont val="Arial"/>
            <family val="2"/>
          </rPr>
          <t xml:space="preserve"> blank.
</t>
        </r>
      </text>
    </comment>
    <comment ref="B75" authorId="0" shapeId="0" xr:uid="{00000000-0006-0000-0400-000031000000}">
      <text>
        <r>
          <rPr>
            <sz val="8"/>
            <color indexed="81"/>
            <rFont val="Tahoma"/>
            <family val="2"/>
          </rPr>
          <t xml:space="preserve">The oncoming wind consists of components of wind speed along axes AB or BA and CD or DC depending on orientation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 Yakymyk</author>
  </authors>
  <commentList>
    <comment ref="B8" authorId="0" shapeId="0" xr:uid="{A12F4022-198F-4F9C-8DD0-A9F3FB7B26A4}">
      <text>
        <r>
          <rPr>
            <sz val="9"/>
            <color indexed="81"/>
            <rFont val="Tahoma"/>
            <family val="2"/>
          </rPr>
          <t>This is height above absolute ground level, not height above zero plane.</t>
        </r>
      </text>
    </comment>
    <comment ref="B48" authorId="0" shapeId="0" xr:uid="{E35ECB9B-63CA-48E5-A96A-8EAA6F7D35AC}">
      <text>
        <r>
          <rPr>
            <sz val="9"/>
            <color indexed="81"/>
            <rFont val="Tahoma"/>
            <family val="2"/>
          </rPr>
          <t>If Yes, graph plots on Topography input sheets will indicate estimated separated flow regions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 Yakymyk</author>
  </authors>
  <commentList>
    <comment ref="B8" authorId="0" shapeId="0" xr:uid="{B8DD99C4-1B01-4547-AA44-07EE1112DC4A}">
      <text>
        <r>
          <rPr>
            <sz val="9"/>
            <color indexed="81"/>
            <rFont val="Tahoma"/>
            <family val="2"/>
          </rPr>
          <t>This is height above absolute ground level, not height above zero plane.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gfloater</author>
    <author>Jason Garber</author>
    <author>Bruce Gee</author>
    <author>Will Yakymyk</author>
    <author>gks</author>
  </authors>
  <commentList>
    <comment ref="C6" authorId="0" shapeId="0" xr:uid="{00000000-0006-0000-0D00-000001000000}">
      <text>
        <r>
          <rPr>
            <b/>
            <sz val="8"/>
            <color indexed="81"/>
            <rFont val="Tahoma"/>
            <family val="2"/>
          </rPr>
          <t>(will use 3/4Heff in final analysis)</t>
        </r>
      </text>
    </comment>
    <comment ref="C8" authorId="1" shapeId="0" xr:uid="{00000000-0006-0000-0D00-000002000000}">
      <text>
        <r>
          <rPr>
            <b/>
            <sz val="12"/>
            <color indexed="81"/>
            <rFont val="Tahoma"/>
            <family val="2"/>
          </rPr>
          <t>Jason Garber:</t>
        </r>
        <r>
          <rPr>
            <sz val="9"/>
            <color indexed="81"/>
            <rFont val="Tahoma"/>
            <family val="2"/>
          </rPr>
          <t xml:space="preserve">
</t>
        </r>
        <r>
          <rPr>
            <sz val="14"/>
            <color indexed="81"/>
            <rFont val="Tahoma"/>
            <family val="2"/>
          </rPr>
          <t>The standard height is 60" above local grade for a flat disk.  For a contoured disk, depending on the height (say, greater than 8 inches), it may not be possible to maintain this pitot height (i.e., getting too close to ceiling hardware and ceiling itself).  In such cases, it MAY be desirable to use a lower reference pitot height from the upwind profile.  However, significant elevation changes on the surroundings model will require special attention.</t>
        </r>
      </text>
    </comment>
    <comment ref="C9" authorId="1" shapeId="0" xr:uid="{00000000-0006-0000-0D00-000003000000}">
      <text>
        <r>
          <rPr>
            <b/>
            <sz val="12"/>
            <color indexed="81"/>
            <rFont val="Tahoma"/>
            <family val="2"/>
          </rPr>
          <t>Jason Garber:</t>
        </r>
        <r>
          <rPr>
            <sz val="9"/>
            <color indexed="81"/>
            <rFont val="Tahoma"/>
            <family val="2"/>
          </rPr>
          <t xml:space="preserve">
</t>
        </r>
        <r>
          <rPr>
            <sz val="14"/>
            <color indexed="81"/>
            <rFont val="Tahoma"/>
            <family val="2"/>
          </rPr>
          <t>The standard height is 60" above local grade for a flat disk.  For a contoured disk, depending on the height (say, greater than 8 inches), it may not be possible to maintain this pitot height (i.e., getting too close to ceiling hardware and ceiling itself).  In such cases, it MAY be desirable to use a lower reference pitot height from the upwind profile.  However, significant elevation changes on the surroundings model will require special attention.</t>
        </r>
      </text>
    </comment>
    <comment ref="H12" authorId="0" shapeId="0" xr:uid="{00000000-0006-0000-0D00-000004000000}">
      <text>
        <r>
          <rPr>
            <b/>
            <sz val="8"/>
            <color indexed="81"/>
            <rFont val="Tahoma"/>
            <family val="2"/>
          </rPr>
          <t>gks:
NEW STANDARD REFERENCE CASE</t>
        </r>
      </text>
    </comment>
    <comment ref="I12" authorId="0" shapeId="0" xr:uid="{00000000-0006-0000-0D00-000005000000}">
      <text>
        <r>
          <rPr>
            <b/>
            <sz val="8"/>
            <color indexed="81"/>
            <rFont val="Tahoma"/>
            <family val="2"/>
          </rPr>
          <t>gks:
NEW STANDARD REFERENCE CASE</t>
        </r>
      </text>
    </comment>
    <comment ref="J12" authorId="0" shapeId="0" xr:uid="{00000000-0006-0000-0D00-000006000000}">
      <text>
        <r>
          <rPr>
            <sz val="8"/>
            <color indexed="81"/>
            <rFont val="Tahoma"/>
            <family val="2"/>
          </rPr>
          <t>gks:
NEW STANDARD REFERENCE CASE</t>
        </r>
      </text>
    </comment>
    <comment ref="K12" authorId="0" shapeId="0" xr:uid="{00000000-0006-0000-0D00-000007000000}">
      <text>
        <r>
          <rPr>
            <b/>
            <sz val="8"/>
            <color indexed="81"/>
            <rFont val="Tahoma"/>
            <family val="2"/>
          </rPr>
          <t xml:space="preserve">gks:
NEW STANDARD REFERENCE CASE
</t>
        </r>
        <r>
          <rPr>
            <sz val="8"/>
            <color indexed="81"/>
            <rFont val="Tahoma"/>
            <family val="2"/>
          </rPr>
          <t xml:space="preserve">
</t>
        </r>
      </text>
    </comment>
    <comment ref="L12" authorId="0" shapeId="0" xr:uid="{00000000-0006-0000-0D00-000008000000}">
      <text>
        <r>
          <rPr>
            <b/>
            <sz val="8"/>
            <color indexed="81"/>
            <rFont val="Tahoma"/>
            <family val="2"/>
          </rPr>
          <t>gks:
NEW STANDARD REFERENCE CASE</t>
        </r>
        <r>
          <rPr>
            <sz val="8"/>
            <color indexed="81"/>
            <rFont val="Tahoma"/>
            <family val="2"/>
          </rPr>
          <t xml:space="preserve">
</t>
        </r>
      </text>
    </comment>
    <comment ref="AB12" authorId="2" shapeId="0" xr:uid="{00000000-0006-0000-0D00-000009000000}">
      <text>
        <r>
          <rPr>
            <b/>
            <sz val="11"/>
            <color indexed="81"/>
            <rFont val="Arial"/>
            <family val="2"/>
          </rPr>
          <t>BGEE - Automatic Angle Range Calculation Requirements:</t>
        </r>
        <r>
          <rPr>
            <sz val="11"/>
            <color indexed="81"/>
            <rFont val="Arial"/>
            <family val="2"/>
          </rPr>
          <t xml:space="preserve">
</t>
        </r>
        <r>
          <rPr>
            <sz val="10"/>
            <color indexed="81"/>
            <rFont val="Arial"/>
            <family val="2"/>
          </rPr>
          <t>Syntax: 
A-B,C-D,E-F;       A,B-C,D;        A,B,C;       
A to B,C to D,E to F;       A,B to C,D;     etc.     Spaces are acceptable.
- Ensure that 3 comma seperated single angles are stored as text.                          ('170,190,210 ==&gt;Good          170190200==&gt;Bad)
- Automatic angle range can handle up to 3 contiguous ranges (Max 2                   commas). E.g. 170-190</t>
        </r>
        <r>
          <rPr>
            <b/>
            <sz val="10"/>
            <color indexed="81"/>
            <rFont val="Arial"/>
            <family val="2"/>
          </rPr>
          <t xml:space="preserve">, </t>
        </r>
        <r>
          <rPr>
            <sz val="10"/>
            <color indexed="81"/>
            <rFont val="Arial"/>
            <family val="2"/>
          </rPr>
          <t>200-220</t>
        </r>
        <r>
          <rPr>
            <b/>
            <sz val="10"/>
            <color indexed="81"/>
            <rFont val="Arial"/>
            <family val="2"/>
          </rPr>
          <t xml:space="preserve">, </t>
        </r>
        <r>
          <rPr>
            <sz val="10"/>
            <color indexed="81"/>
            <rFont val="Arial"/>
            <family val="2"/>
          </rPr>
          <t>240-300</t>
        </r>
        <r>
          <rPr>
            <b/>
            <sz val="10"/>
            <color indexed="81"/>
            <rFont val="Arial"/>
            <family val="2"/>
          </rPr>
          <t xml:space="preserve">, </t>
        </r>
        <r>
          <rPr>
            <sz val="10"/>
            <color indexed="81"/>
            <rFont val="Arial"/>
            <family val="2"/>
          </rPr>
          <t>330 ==&gt; Invalid
- If all 36 angles are not included in letters F-U, manual input of angle range is required.</t>
        </r>
      </text>
    </comment>
    <comment ref="H13" authorId="0" shapeId="0" xr:uid="{00000000-0006-0000-0D00-00000A000000}">
      <text>
        <r>
          <rPr>
            <b/>
            <sz val="8"/>
            <color indexed="81"/>
            <rFont val="Tahoma"/>
            <family val="2"/>
          </rPr>
          <t>gks: DO NOT ADJUST, THIS IS THE REFERENCE CONDITION</t>
        </r>
      </text>
    </comment>
    <comment ref="I13" authorId="0" shapeId="0" xr:uid="{00000000-0006-0000-0D00-00000B000000}">
      <text>
        <r>
          <rPr>
            <b/>
            <sz val="8"/>
            <color indexed="81"/>
            <rFont val="Tahoma"/>
            <family val="2"/>
          </rPr>
          <t>this is calculated, DO NOT ADJUST</t>
        </r>
      </text>
    </comment>
    <comment ref="J13" authorId="0" shapeId="0" xr:uid="{00000000-0006-0000-0D00-00000C000000}">
      <text>
        <r>
          <rPr>
            <b/>
            <sz val="8"/>
            <color indexed="81"/>
            <rFont val="Tahoma"/>
            <family val="2"/>
          </rPr>
          <t>this is calculated, DO NOT ADJUST</t>
        </r>
      </text>
    </comment>
    <comment ref="K13" authorId="0" shapeId="0" xr:uid="{00000000-0006-0000-0D00-00000D000000}">
      <text>
        <r>
          <rPr>
            <b/>
            <sz val="8"/>
            <color indexed="81"/>
            <rFont val="Tahoma"/>
            <family val="2"/>
          </rPr>
          <t>this is calculated, DO NOT ADJUST</t>
        </r>
      </text>
    </comment>
    <comment ref="L13" authorId="0" shapeId="0" xr:uid="{00000000-0006-0000-0D00-00000E000000}">
      <text>
        <r>
          <rPr>
            <b/>
            <sz val="8"/>
            <color indexed="81"/>
            <rFont val="Tahoma"/>
            <family val="2"/>
          </rPr>
          <t>this is calculated, DO NOT ADJUST</t>
        </r>
      </text>
    </comment>
    <comment ref="M13" authorId="0" shapeId="0" xr:uid="{00000000-0006-0000-0D00-00000F000000}">
      <text>
        <r>
          <rPr>
            <b/>
            <sz val="8"/>
            <color indexed="81"/>
            <rFont val="Tahoma"/>
            <family val="2"/>
          </rPr>
          <t>this is calculated, DO NOT ADJUST</t>
        </r>
      </text>
    </comment>
    <comment ref="N13" authorId="0" shapeId="0" xr:uid="{00000000-0006-0000-0D00-000010000000}">
      <text>
        <r>
          <rPr>
            <b/>
            <sz val="8"/>
            <color indexed="81"/>
            <rFont val="Tahoma"/>
            <family val="2"/>
          </rPr>
          <t>this is calculated, DO NOT ADJUST</t>
        </r>
      </text>
    </comment>
    <comment ref="O13" authorId="0" shapeId="0" xr:uid="{00000000-0006-0000-0D00-000011000000}">
      <text>
        <r>
          <rPr>
            <b/>
            <sz val="8"/>
            <color indexed="81"/>
            <rFont val="Tahoma"/>
            <family val="2"/>
          </rPr>
          <t>this is calculated, DO NOT ADJUST</t>
        </r>
      </text>
    </comment>
    <comment ref="P13" authorId="0" shapeId="0" xr:uid="{00000000-0006-0000-0D00-000012000000}">
      <text>
        <r>
          <rPr>
            <b/>
            <sz val="8"/>
            <color indexed="81"/>
            <rFont val="Tahoma"/>
            <family val="2"/>
          </rPr>
          <t>this is calculated, DO NOT ADJUST</t>
        </r>
      </text>
    </comment>
    <comment ref="Q13" authorId="0" shapeId="0" xr:uid="{00000000-0006-0000-0D00-000013000000}">
      <text>
        <r>
          <rPr>
            <b/>
            <sz val="8"/>
            <color indexed="81"/>
            <rFont val="Tahoma"/>
            <family val="2"/>
          </rPr>
          <t>this is calculated, DO NOT ADJUST</t>
        </r>
      </text>
    </comment>
    <comment ref="R13" authorId="0" shapeId="0" xr:uid="{00000000-0006-0000-0D00-000014000000}">
      <text>
        <r>
          <rPr>
            <b/>
            <sz val="8"/>
            <color indexed="81"/>
            <rFont val="Tahoma"/>
            <family val="2"/>
          </rPr>
          <t>this is calculated, DO NOT ADJUST</t>
        </r>
      </text>
    </comment>
    <comment ref="S13" authorId="0" shapeId="0" xr:uid="{00000000-0006-0000-0D00-000015000000}">
      <text>
        <r>
          <rPr>
            <b/>
            <sz val="8"/>
            <color indexed="81"/>
            <rFont val="Tahoma"/>
            <family val="2"/>
          </rPr>
          <t>this is calculated, DO NOT ADJUST</t>
        </r>
      </text>
    </comment>
    <comment ref="T13" authorId="0" shapeId="0" xr:uid="{00000000-0006-0000-0D00-000016000000}">
      <text>
        <r>
          <rPr>
            <b/>
            <sz val="8"/>
            <color indexed="81"/>
            <rFont val="Tahoma"/>
            <family val="2"/>
          </rPr>
          <t>this is calculated, DO NOT ADJUST</t>
        </r>
      </text>
    </comment>
    <comment ref="U13" authorId="0" shapeId="0" xr:uid="{00000000-0006-0000-0D00-000017000000}">
      <text>
        <r>
          <rPr>
            <b/>
            <sz val="8"/>
            <color indexed="81"/>
            <rFont val="Tahoma"/>
            <family val="2"/>
          </rPr>
          <t>this is calculated, DO NOT ADJUST</t>
        </r>
      </text>
    </comment>
    <comment ref="V13" authorId="0" shapeId="0" xr:uid="{00000000-0006-0000-0D00-000018000000}">
      <text>
        <r>
          <rPr>
            <b/>
            <sz val="8"/>
            <color indexed="81"/>
            <rFont val="Tahoma"/>
            <family val="2"/>
          </rPr>
          <t>this is calculated, DO NOT ADJUST</t>
        </r>
      </text>
    </comment>
    <comment ref="W13" authorId="0" shapeId="0" xr:uid="{00000000-0006-0000-0D00-000019000000}">
      <text>
        <r>
          <rPr>
            <b/>
            <sz val="8"/>
            <color indexed="81"/>
            <rFont val="Tahoma"/>
            <family val="2"/>
          </rPr>
          <t>this is calculated, DO NOT ADJUST</t>
        </r>
      </text>
    </comment>
    <comment ref="X13" authorId="0" shapeId="0" xr:uid="{00000000-0006-0000-0D00-00001A000000}">
      <text>
        <r>
          <rPr>
            <b/>
            <sz val="8"/>
            <color indexed="81"/>
            <rFont val="Tahoma"/>
            <family val="2"/>
          </rPr>
          <t>this is calculated, DO NOT ADJUST</t>
        </r>
      </text>
    </comment>
    <comment ref="Y13" authorId="0" shapeId="0" xr:uid="{00000000-0006-0000-0D00-00001B000000}">
      <text>
        <r>
          <rPr>
            <b/>
            <sz val="8"/>
            <color indexed="81"/>
            <rFont val="Tahoma"/>
            <family val="2"/>
          </rPr>
          <t>this is calculated, DO NOT ADJUST</t>
        </r>
      </text>
    </comment>
    <comment ref="Z13" authorId="0" shapeId="0" xr:uid="{00000000-0006-0000-0D00-00001C000000}">
      <text>
        <r>
          <rPr>
            <b/>
            <sz val="8"/>
            <color indexed="81"/>
            <rFont val="Tahoma"/>
            <family val="2"/>
          </rPr>
          <t>this is calculated, DO NOT ADJUST</t>
        </r>
      </text>
    </comment>
    <comment ref="AA13" authorId="0" shapeId="0" xr:uid="{00000000-0006-0000-0D00-00001D000000}">
      <text>
        <r>
          <rPr>
            <b/>
            <sz val="8"/>
            <color indexed="81"/>
            <rFont val="Tahoma"/>
            <family val="2"/>
          </rPr>
          <t>this is calculated, DO NOT ADJUST</t>
        </r>
      </text>
    </comment>
    <comment ref="AB13" authorId="0" shapeId="0" xr:uid="{00000000-0006-0000-0D00-00001E000000}">
      <text>
        <r>
          <rPr>
            <b/>
            <sz val="8"/>
            <color indexed="81"/>
            <rFont val="Tahoma"/>
            <family val="2"/>
          </rPr>
          <t>this is calculated, DO NOT ADJUST</t>
        </r>
      </text>
    </comment>
    <comment ref="AC13" authorId="0" shapeId="0" xr:uid="{00000000-0006-0000-0D00-00001F000000}">
      <text>
        <r>
          <rPr>
            <b/>
            <sz val="8"/>
            <color indexed="81"/>
            <rFont val="Tahoma"/>
            <family val="2"/>
          </rPr>
          <t>this is calculated, DO NOT ADJUST</t>
        </r>
      </text>
    </comment>
    <comment ref="D33" authorId="0" shapeId="0" xr:uid="{00000000-0006-0000-0D00-000020000000}">
      <text>
        <r>
          <rPr>
            <b/>
            <sz val="8"/>
            <color indexed="81"/>
            <rFont val="Tahoma"/>
            <family val="2"/>
          </rPr>
          <t>gks:
as discussed with PAI, use gp= 1 to 1.5 (I selected 1.5) so that not overdoing influence of turbulence over MEAN</t>
        </r>
        <r>
          <rPr>
            <sz val="8"/>
            <color indexed="81"/>
            <rFont val="Tahoma"/>
            <family val="2"/>
          </rPr>
          <t xml:space="preserve">
</t>
        </r>
      </text>
    </comment>
    <comment ref="G35" authorId="3" shapeId="0" xr:uid="{24704BBF-E2F3-40AB-A537-F5A144F8E7CD}">
      <text>
        <r>
          <rPr>
            <b/>
            <sz val="9"/>
            <color indexed="81"/>
            <rFont val="Tahoma"/>
            <family val="2"/>
          </rPr>
          <t>Will Yakymyk:</t>
        </r>
        <r>
          <rPr>
            <sz val="9"/>
            <color indexed="81"/>
            <rFont val="Tahoma"/>
            <family val="2"/>
          </rPr>
          <t xml:space="preserve">
sheet needs to be set to 3-sec gust</t>
        </r>
      </text>
    </comment>
    <comment ref="B45" authorId="4" shapeId="0" xr:uid="{00000000-0006-0000-0D00-000021000000}">
      <text>
        <r>
          <rPr>
            <b/>
            <sz val="11"/>
            <color indexed="81"/>
            <rFont val="Tahoma"/>
            <family val="2"/>
          </rPr>
          <t>gks:</t>
        </r>
        <r>
          <rPr>
            <sz val="11"/>
            <color indexed="81"/>
            <rFont val="Tahoma"/>
            <family val="2"/>
          </rPr>
          <t xml:space="preserve">
for measured profiles, a value of 1.01 to 1.02 is recommended (in case profiles change slightly), use 1.0 for forced alphas</t>
        </r>
      </text>
    </comment>
    <comment ref="R100" authorId="1" shapeId="0" xr:uid="{00000000-0006-0000-0D00-000027000000}">
      <text>
        <r>
          <rPr>
            <b/>
            <sz val="10"/>
            <color indexed="81"/>
            <rFont val="Tahoma"/>
            <family val="2"/>
          </rPr>
          <t>Jason Garber:</t>
        </r>
        <r>
          <rPr>
            <sz val="10"/>
            <color indexed="81"/>
            <rFont val="Tahoma"/>
            <family val="2"/>
          </rPr>
          <t xml:space="preserve">
takes previous value if it is higher than what we would calculate for the Exposure C scaling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Bruce Gee</author>
  </authors>
  <commentList>
    <comment ref="BF122" authorId="0" shapeId="0" xr:uid="{00000000-0006-0000-1400-000001000000}">
      <text>
        <r>
          <rPr>
            <b/>
            <sz val="9"/>
            <color indexed="81"/>
            <rFont val="Tahoma"/>
            <family val="2"/>
          </rPr>
          <t>Bruce Gee:</t>
        </r>
        <r>
          <rPr>
            <sz val="9"/>
            <color indexed="81"/>
            <rFont val="Tahoma"/>
            <family val="2"/>
          </rPr>
          <t xml:space="preserve">
Cells in this colour are no longer being used in the creation of the EDOX file. This is now inputted manually in the Create EDOX sheet. Cells in this colour are instead used in calculating the automatic angle ranges for ESDUview projects.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<sst xmlns="http://schemas.openxmlformats.org/spreadsheetml/2006/main" count="2393" uniqueCount="825">
  <si>
    <t>Case</t>
  </si>
  <si>
    <t>Range of Cases to be calculated:</t>
  </si>
  <si>
    <t>As in Sheet "Target Site"</t>
  </si>
  <si>
    <t>Latitude (degree)</t>
  </si>
  <si>
    <t>Reference wind speed (m/s)</t>
  </si>
  <si>
    <t>If gust, averaging time (s)</t>
  </si>
  <si>
    <t>Ht above ground (m)</t>
  </si>
  <si>
    <r>
      <t xml:space="preserve">Zero plane ht </t>
    </r>
    <r>
      <rPr>
        <i/>
        <sz val="10"/>
        <rFont val="Arial"/>
        <family val="2"/>
      </rPr>
      <t>d</t>
    </r>
    <r>
      <rPr>
        <sz val="10"/>
        <rFont val="Arial"/>
        <family val="2"/>
      </rPr>
      <t xml:space="preserve"> (m)</t>
    </r>
  </si>
  <si>
    <r>
      <t xml:space="preserve"> No. of terrain changes:</t>
    </r>
    <r>
      <rPr>
        <i/>
        <sz val="10"/>
        <rFont val="Arial"/>
        <family val="2"/>
      </rPr>
      <t xml:space="preserve"> n</t>
    </r>
    <r>
      <rPr>
        <i/>
        <vertAlign val="subscript"/>
        <sz val="10"/>
        <rFont val="Arial"/>
        <family val="2"/>
      </rPr>
      <t>ref</t>
    </r>
  </si>
  <si>
    <r>
      <t>Terrain roughness,</t>
    </r>
    <r>
      <rPr>
        <i/>
        <sz val="10"/>
        <rFont val="Arial"/>
        <family val="2"/>
      </rPr>
      <t xml:space="preserve"> z</t>
    </r>
    <r>
      <rPr>
        <vertAlign val="subscript"/>
        <sz val="10"/>
        <rFont val="Arial"/>
        <family val="2"/>
      </rPr>
      <t xml:space="preserve">0 </t>
    </r>
    <r>
      <rPr>
        <sz val="10"/>
        <rFont val="Arial"/>
        <family val="2"/>
      </rPr>
      <t>(m)</t>
    </r>
  </si>
  <si>
    <r>
      <t>z</t>
    </r>
    <r>
      <rPr>
        <vertAlign val="subscript"/>
        <sz val="10"/>
        <rFont val="Arial"/>
        <family val="2"/>
      </rPr>
      <t xml:space="preserve">01 </t>
    </r>
    <r>
      <rPr>
        <sz val="10"/>
        <rFont val="Arial"/>
        <family val="2"/>
      </rPr>
      <t>(m)</t>
    </r>
  </si>
  <si>
    <r>
      <t>x</t>
    </r>
    <r>
      <rPr>
        <vertAlign val="subscript"/>
        <sz val="10"/>
        <rFont val="Arial"/>
        <family val="2"/>
      </rPr>
      <t>1</t>
    </r>
    <r>
      <rPr>
        <sz val="10"/>
        <rFont val="Arial"/>
        <family val="2"/>
      </rPr>
      <t xml:space="preserve"> (m)</t>
    </r>
  </si>
  <si>
    <r>
      <t>z</t>
    </r>
    <r>
      <rPr>
        <vertAlign val="subscript"/>
        <sz val="10"/>
        <rFont val="Arial"/>
        <family val="2"/>
      </rPr>
      <t xml:space="preserve">02 </t>
    </r>
    <r>
      <rPr>
        <sz val="10"/>
        <rFont val="Arial"/>
        <family val="2"/>
      </rPr>
      <t>(m)</t>
    </r>
  </si>
  <si>
    <r>
      <t>x</t>
    </r>
    <r>
      <rPr>
        <vertAlign val="subscript"/>
        <sz val="10"/>
        <rFont val="Arial"/>
        <family val="2"/>
      </rPr>
      <t>2</t>
    </r>
    <r>
      <rPr>
        <sz val="10"/>
        <rFont val="Arial"/>
        <family val="2"/>
      </rPr>
      <t xml:space="preserve"> (m)</t>
    </r>
  </si>
  <si>
    <r>
      <t>z</t>
    </r>
    <r>
      <rPr>
        <vertAlign val="subscript"/>
        <sz val="10"/>
        <rFont val="Arial"/>
        <family val="2"/>
      </rPr>
      <t xml:space="preserve">03 </t>
    </r>
    <r>
      <rPr>
        <sz val="10"/>
        <rFont val="Arial"/>
        <family val="2"/>
      </rPr>
      <t>(m)</t>
    </r>
  </si>
  <si>
    <r>
      <t>x</t>
    </r>
    <r>
      <rPr>
        <vertAlign val="subscript"/>
        <sz val="10"/>
        <rFont val="Arial"/>
        <family val="2"/>
      </rPr>
      <t>3</t>
    </r>
    <r>
      <rPr>
        <sz val="10"/>
        <rFont val="Arial"/>
        <family val="2"/>
      </rPr>
      <t xml:space="preserve"> (m)</t>
    </r>
  </si>
  <si>
    <r>
      <t>z</t>
    </r>
    <r>
      <rPr>
        <vertAlign val="subscript"/>
        <sz val="10"/>
        <rFont val="Arial"/>
        <family val="2"/>
      </rPr>
      <t xml:space="preserve">04 </t>
    </r>
    <r>
      <rPr>
        <sz val="10"/>
        <rFont val="Arial"/>
        <family val="2"/>
      </rPr>
      <t>(m)</t>
    </r>
  </si>
  <si>
    <r>
      <t>x</t>
    </r>
    <r>
      <rPr>
        <vertAlign val="subscript"/>
        <sz val="10"/>
        <rFont val="Arial"/>
        <family val="2"/>
      </rPr>
      <t>4</t>
    </r>
    <r>
      <rPr>
        <sz val="10"/>
        <rFont val="Arial"/>
        <family val="2"/>
      </rPr>
      <t xml:space="preserve"> (m)</t>
    </r>
  </si>
  <si>
    <r>
      <t>z</t>
    </r>
    <r>
      <rPr>
        <i/>
        <vertAlign val="subscript"/>
        <sz val="10"/>
        <rFont val="Arial"/>
        <family val="2"/>
      </rPr>
      <t>05</t>
    </r>
    <r>
      <rPr>
        <vertAlign val="subscript"/>
        <sz val="10"/>
        <rFont val="Arial"/>
        <family val="2"/>
      </rPr>
      <t xml:space="preserve"> </t>
    </r>
    <r>
      <rPr>
        <sz val="10"/>
        <rFont val="Arial"/>
        <family val="2"/>
      </rPr>
      <t>(m)</t>
    </r>
  </si>
  <si>
    <r>
      <t>x</t>
    </r>
    <r>
      <rPr>
        <vertAlign val="subscript"/>
        <sz val="10"/>
        <rFont val="Arial"/>
        <family val="2"/>
      </rPr>
      <t>5</t>
    </r>
    <r>
      <rPr>
        <sz val="10"/>
        <rFont val="Arial"/>
        <family val="2"/>
      </rPr>
      <t xml:space="preserve"> (m)</t>
    </r>
  </si>
  <si>
    <t>TARGET SITE DETAILS</t>
  </si>
  <si>
    <t>LOCATION/NAME:</t>
  </si>
  <si>
    <t>Heights above</t>
  </si>
  <si>
    <t xml:space="preserve"> ground  for</t>
  </si>
  <si>
    <t>calculations (m)</t>
  </si>
  <si>
    <t>Case No.</t>
  </si>
  <si>
    <t>to</t>
  </si>
  <si>
    <r>
      <t xml:space="preserve">If gust, averaging time, </t>
    </r>
    <r>
      <rPr>
        <i/>
        <sz val="10"/>
        <rFont val="Arial"/>
        <family val="2"/>
      </rPr>
      <t>t</t>
    </r>
    <r>
      <rPr>
        <sz val="10"/>
        <rFont val="Arial"/>
        <family val="2"/>
      </rPr>
      <t xml:space="preserve"> (s)</t>
    </r>
  </si>
  <si>
    <r>
      <t xml:space="preserve">Zero plane ht, </t>
    </r>
    <r>
      <rPr>
        <i/>
        <sz val="10"/>
        <rFont val="Arial"/>
        <family val="2"/>
      </rPr>
      <t>d</t>
    </r>
    <r>
      <rPr>
        <sz val="10"/>
        <rFont val="Arial"/>
        <family val="2"/>
      </rPr>
      <t xml:space="preserve"> (m)</t>
    </r>
  </si>
  <si>
    <r>
      <t xml:space="preserve"> No. of terrain changes:</t>
    </r>
    <r>
      <rPr>
        <i/>
        <sz val="10"/>
        <rFont val="Arial"/>
        <family val="2"/>
      </rPr>
      <t xml:space="preserve"> n</t>
    </r>
  </si>
  <si>
    <r>
      <t>z</t>
    </r>
    <r>
      <rPr>
        <vertAlign val="subscript"/>
        <sz val="10"/>
        <rFont val="Arial"/>
        <family val="2"/>
      </rPr>
      <t xml:space="preserve">05 </t>
    </r>
    <r>
      <rPr>
        <sz val="10"/>
        <rFont val="Arial"/>
        <family val="2"/>
      </rPr>
      <t>(m)</t>
    </r>
  </si>
  <si>
    <r>
      <t>x</t>
    </r>
    <r>
      <rPr>
        <i/>
        <vertAlign val="subscript"/>
        <sz val="10"/>
        <rFont val="Arial"/>
        <family val="2"/>
      </rPr>
      <t>5</t>
    </r>
    <r>
      <rPr>
        <sz val="10"/>
        <rFont val="Arial"/>
        <family val="2"/>
      </rPr>
      <t xml:space="preserve"> (m)</t>
    </r>
  </si>
  <si>
    <t>TARGET SITE:</t>
  </si>
  <si>
    <t>Name</t>
  </si>
  <si>
    <t xml:space="preserve"> TOPOGRAPHY INPUT DATA   </t>
  </si>
  <si>
    <t>Wind direction (angle N0V deg from N)</t>
  </si>
  <si>
    <r>
      <t>W</t>
    </r>
    <r>
      <rPr>
        <vertAlign val="subscript"/>
        <sz val="10"/>
        <rFont val="Arial"/>
        <family val="2"/>
      </rPr>
      <t>01</t>
    </r>
    <r>
      <rPr>
        <sz val="10"/>
        <rFont val="Arial"/>
        <family val="2"/>
      </rPr>
      <t xml:space="preserve"> (m)        </t>
    </r>
    <r>
      <rPr>
        <i/>
        <sz val="10"/>
        <rFont val="Arial"/>
        <family val="2"/>
      </rPr>
      <t>W</t>
    </r>
    <r>
      <rPr>
        <vertAlign val="subscript"/>
        <sz val="10"/>
        <rFont val="Arial"/>
        <family val="2"/>
      </rPr>
      <t>02</t>
    </r>
    <r>
      <rPr>
        <sz val="10"/>
        <rFont val="Arial"/>
        <family val="2"/>
      </rPr>
      <t xml:space="preserve"> (m)</t>
    </r>
  </si>
  <si>
    <r>
      <t xml:space="preserve">      x</t>
    </r>
    <r>
      <rPr>
        <i/>
        <vertAlign val="subscript"/>
        <sz val="10"/>
        <rFont val="Arial"/>
        <family val="2"/>
      </rPr>
      <t>site</t>
    </r>
    <r>
      <rPr>
        <sz val="10"/>
        <rFont val="Arial"/>
        <family val="2"/>
      </rPr>
      <t xml:space="preserve"> (m)         </t>
    </r>
    <r>
      <rPr>
        <i/>
        <sz val="10"/>
        <rFont val="Arial"/>
        <family val="2"/>
      </rPr>
      <t>y</t>
    </r>
    <r>
      <rPr>
        <i/>
        <vertAlign val="subscript"/>
        <sz val="10"/>
        <rFont val="Arial"/>
        <family val="2"/>
      </rPr>
      <t>site</t>
    </r>
    <r>
      <rPr>
        <sz val="10"/>
        <rFont val="Arial"/>
        <family val="2"/>
      </rPr>
      <t xml:space="preserve"> (m)</t>
    </r>
  </si>
  <si>
    <t>Section coordinates (m)</t>
  </si>
  <si>
    <r>
      <t>z</t>
    </r>
    <r>
      <rPr>
        <vertAlign val="subscript"/>
        <sz val="10"/>
        <rFont val="Arial"/>
        <family val="2"/>
      </rPr>
      <t>AB</t>
    </r>
  </si>
  <si>
    <r>
      <t>x</t>
    </r>
    <r>
      <rPr>
        <vertAlign val="subscript"/>
        <sz val="10"/>
        <rFont val="Arial"/>
        <family val="2"/>
      </rPr>
      <t>CD</t>
    </r>
    <r>
      <rPr>
        <sz val="10"/>
        <rFont val="Arial"/>
        <family val="2"/>
      </rPr>
      <t xml:space="preserve"> </t>
    </r>
  </si>
  <si>
    <r>
      <t>z</t>
    </r>
    <r>
      <rPr>
        <vertAlign val="subscript"/>
        <sz val="10"/>
        <rFont val="Arial"/>
        <family val="2"/>
      </rPr>
      <t>CD</t>
    </r>
  </si>
  <si>
    <t>REFERENCE SITE:</t>
  </si>
  <si>
    <r>
      <t xml:space="preserve">      x</t>
    </r>
    <r>
      <rPr>
        <i/>
        <vertAlign val="subscript"/>
        <sz val="10"/>
        <rFont val="Arial"/>
        <family val="2"/>
      </rPr>
      <t>ref site</t>
    </r>
    <r>
      <rPr>
        <sz val="10"/>
        <rFont val="Arial"/>
        <family val="2"/>
      </rPr>
      <t xml:space="preserve"> (m)         </t>
    </r>
    <r>
      <rPr>
        <i/>
        <sz val="10"/>
        <rFont val="Arial"/>
        <family val="2"/>
      </rPr>
      <t>y</t>
    </r>
    <r>
      <rPr>
        <i/>
        <vertAlign val="subscript"/>
        <sz val="10"/>
        <rFont val="Arial"/>
        <family val="2"/>
      </rPr>
      <t>ref site</t>
    </r>
    <r>
      <rPr>
        <sz val="10"/>
        <rFont val="Arial"/>
        <family val="2"/>
      </rPr>
      <t xml:space="preserve"> (m)</t>
    </r>
  </si>
  <si>
    <t>MEAN WIND SPEED and GUST SPEED (if calculated) in m/s</t>
  </si>
  <si>
    <t>Case:</t>
  </si>
  <si>
    <t>Mean wind speed</t>
  </si>
  <si>
    <r>
      <t>V</t>
    </r>
    <r>
      <rPr>
        <i/>
        <vertAlign val="subscript"/>
        <sz val="10"/>
        <rFont val="Arial"/>
        <family val="2"/>
      </rPr>
      <t xml:space="preserve">z </t>
    </r>
    <r>
      <rPr>
        <sz val="10"/>
        <rFont val="Arial"/>
        <family val="2"/>
      </rPr>
      <t>(m/s)</t>
    </r>
  </si>
  <si>
    <t>Height above ground (m)</t>
  </si>
  <si>
    <t>Gust speed</t>
  </si>
  <si>
    <t>There must be an odd number</t>
  </si>
  <si>
    <t>order. The program sorts data into</t>
  </si>
  <si>
    <r>
      <t>L</t>
    </r>
    <r>
      <rPr>
        <vertAlign val="subscript"/>
        <sz val="10"/>
        <rFont val="Arial"/>
        <family val="2"/>
      </rPr>
      <t>01</t>
    </r>
    <r>
      <rPr>
        <sz val="10"/>
        <rFont val="Arial"/>
        <family val="2"/>
      </rPr>
      <t xml:space="preserve"> (m)          </t>
    </r>
    <r>
      <rPr>
        <i/>
        <sz val="10"/>
        <rFont val="Arial"/>
        <family val="2"/>
      </rPr>
      <t>L</t>
    </r>
    <r>
      <rPr>
        <vertAlign val="subscript"/>
        <sz val="10"/>
        <rFont val="Arial"/>
        <family val="2"/>
      </rPr>
      <t>02</t>
    </r>
    <r>
      <rPr>
        <sz val="10"/>
        <rFont val="Arial"/>
        <family val="2"/>
      </rPr>
      <t xml:space="preserve"> (m)</t>
    </r>
  </si>
  <si>
    <t>FLOW DEVIATION FROM DIRECTION OF APPROACHING WIND (clockwise if positive)</t>
  </si>
  <si>
    <t>Wind direction (deg from N):</t>
  </si>
  <si>
    <t>No. of horiz grid nodes for computing.</t>
  </si>
  <si>
    <t>Case 1</t>
  </si>
  <si>
    <t>Case 2</t>
  </si>
  <si>
    <t>Case 3</t>
  </si>
  <si>
    <t>Case 4</t>
  </si>
  <si>
    <t>Case 5</t>
  </si>
  <si>
    <t>Case 6</t>
  </si>
  <si>
    <t>Case 7</t>
  </si>
  <si>
    <t xml:space="preserve"> separated flow region (if any)</t>
  </si>
  <si>
    <r>
      <t>Vertical axis is z</t>
    </r>
    <r>
      <rPr>
        <vertAlign val="subscript"/>
        <sz val="10"/>
        <color indexed="12"/>
        <rFont val="Arial"/>
        <family val="2"/>
      </rPr>
      <t>AB</t>
    </r>
  </si>
  <si>
    <r>
      <t>Vertical axis is z</t>
    </r>
    <r>
      <rPr>
        <vertAlign val="subscript"/>
        <sz val="10"/>
        <color indexed="12"/>
        <rFont val="Arial"/>
        <family val="2"/>
      </rPr>
      <t>CD</t>
    </r>
  </si>
  <si>
    <t>Case 8</t>
  </si>
  <si>
    <t>Case 9</t>
  </si>
  <si>
    <t>Wind direction components:</t>
  </si>
  <si>
    <t>No. of horiz grid nodes for computing:</t>
  </si>
  <si>
    <t>input same</t>
  </si>
  <si>
    <t>Remaining</t>
  </si>
  <si>
    <t xml:space="preserve"> as  Case:</t>
  </si>
  <si>
    <t>Remaining input</t>
  </si>
  <si>
    <t>Case 10</t>
  </si>
  <si>
    <r>
      <t>X</t>
    </r>
    <r>
      <rPr>
        <sz val="10"/>
        <rFont val="Arial"/>
        <family val="2"/>
      </rPr>
      <t xml:space="preserve"> </t>
    </r>
    <r>
      <rPr>
        <sz val="8"/>
        <rFont val="Arial"/>
        <family val="2"/>
      </rPr>
      <t>marks site position along AB, CD</t>
    </r>
  </si>
  <si>
    <t>Dashed line (no symbols) indicates</t>
  </si>
  <si>
    <t>Wind direction to AB, CD:</t>
  </si>
  <si>
    <t>Case 11</t>
  </si>
  <si>
    <t>Case 12</t>
  </si>
  <si>
    <r>
      <t>x</t>
    </r>
    <r>
      <rPr>
        <i/>
        <vertAlign val="subscript"/>
        <sz val="10"/>
        <rFont val="Arial"/>
        <family val="2"/>
      </rPr>
      <t xml:space="preserve">peak </t>
    </r>
    <r>
      <rPr>
        <sz val="10"/>
        <rFont val="Arial"/>
        <family val="2"/>
      </rPr>
      <t>(m)</t>
    </r>
  </si>
  <si>
    <r>
      <t>y</t>
    </r>
    <r>
      <rPr>
        <i/>
        <vertAlign val="subscript"/>
        <sz val="10"/>
        <rFont val="Arial"/>
        <family val="2"/>
      </rPr>
      <t>peak</t>
    </r>
    <r>
      <rPr>
        <sz val="10"/>
        <rFont val="Arial"/>
        <family val="2"/>
      </rPr>
      <t xml:space="preserve"> (m)</t>
    </r>
  </si>
  <si>
    <r>
      <t>V</t>
    </r>
    <r>
      <rPr>
        <i/>
        <vertAlign val="subscript"/>
        <sz val="10"/>
        <rFont val="Arial"/>
        <family val="2"/>
      </rPr>
      <t xml:space="preserve">gz </t>
    </r>
    <r>
      <rPr>
        <sz val="10"/>
        <rFont val="Arial"/>
        <family val="2"/>
      </rPr>
      <t>(m/s)</t>
    </r>
  </si>
  <si>
    <t>Gust averaging time, t(s)</t>
  </si>
  <si>
    <t>If hilly, do calcs indicate that</t>
  </si>
  <si>
    <t xml:space="preserve">separated flow occurs? </t>
  </si>
  <si>
    <r>
      <t>H</t>
    </r>
    <r>
      <rPr>
        <i/>
        <vertAlign val="subscript"/>
        <sz val="10"/>
        <rFont val="Arial"/>
        <family val="2"/>
      </rPr>
      <t xml:space="preserve">peak </t>
    </r>
    <r>
      <rPr>
        <sz val="10"/>
        <rFont val="Arial"/>
        <family val="2"/>
      </rPr>
      <t>(m)=</t>
    </r>
  </si>
  <si>
    <r>
      <t>y</t>
    </r>
    <r>
      <rPr>
        <vertAlign val="subscript"/>
        <sz val="10"/>
        <rFont val="Arial"/>
        <family val="2"/>
      </rPr>
      <t>AB</t>
    </r>
    <r>
      <rPr>
        <sz val="10"/>
        <rFont val="Arial"/>
        <family val="2"/>
      </rPr>
      <t xml:space="preserve"> </t>
    </r>
  </si>
  <si>
    <t xml:space="preserve">        Angle N0y (degree)</t>
  </si>
  <si>
    <t>REFERENCE WIND SPEED AND CORRESPONDING TERRAIN</t>
  </si>
  <si>
    <t>If hilly terrain at ref site, check box</t>
  </si>
  <si>
    <t>If hilly terrain at site, check box</t>
  </si>
  <si>
    <t>EXAMPLE CALCULATION</t>
  </si>
  <si>
    <t>of points for each section.</t>
  </si>
  <si>
    <t>increasing values of y or x.</t>
  </si>
  <si>
    <t xml:space="preserve">Coordinates can be entered in any </t>
  </si>
  <si>
    <t xml:space="preserve">        Angle N0y (deg)</t>
  </si>
  <si>
    <t>All heights are referred to a common</t>
  </si>
  <si>
    <t>user-defined level.</t>
  </si>
  <si>
    <r>
      <t>Horizontal axis is y</t>
    </r>
    <r>
      <rPr>
        <vertAlign val="subscript"/>
        <sz val="10"/>
        <color indexed="12"/>
        <rFont val="Arial"/>
        <family val="2"/>
      </rPr>
      <t>AB</t>
    </r>
    <r>
      <rPr>
        <sz val="10"/>
        <rFont val="Arial"/>
        <family val="2"/>
      </rPr>
      <t xml:space="preserve"> </t>
    </r>
  </si>
  <si>
    <r>
      <t>Horizontal axis is x</t>
    </r>
    <r>
      <rPr>
        <vertAlign val="subscript"/>
        <sz val="10"/>
        <color indexed="12"/>
        <rFont val="Arial"/>
        <family val="2"/>
      </rPr>
      <t>CD</t>
    </r>
    <r>
      <rPr>
        <sz val="10"/>
        <rFont val="Arial"/>
        <family val="2"/>
      </rPr>
      <t xml:space="preserve"> </t>
    </r>
  </si>
  <si>
    <t>BUILT-UP AREAS</t>
  </si>
  <si>
    <t>WOODED LAND</t>
  </si>
  <si>
    <t xml:space="preserve">Centres of large towns </t>
  </si>
  <si>
    <t>FARMLAND</t>
  </si>
  <si>
    <t>Many trees, hedges,</t>
  </si>
  <si>
    <t>few buildings:</t>
  </si>
  <si>
    <t>and cities:</t>
  </si>
  <si>
    <t>Centres of small towns:</t>
  </si>
  <si>
    <t>Suburbs, villages:</t>
  </si>
  <si>
    <t>Airports; runway area:</t>
  </si>
  <si>
    <t>Wooded countryside:</t>
  </si>
  <si>
    <t xml:space="preserve">Many hedges, some </t>
  </si>
  <si>
    <t>trees:</t>
  </si>
  <si>
    <t>Hedges, few trees</t>
  </si>
  <si>
    <t>(summer):</t>
  </si>
  <si>
    <t>(winter):</t>
  </si>
  <si>
    <t>0.2 to 0.3</t>
  </si>
  <si>
    <t xml:space="preserve">Open country with </t>
  </si>
  <si>
    <t>isolated trees, some hedges:</t>
  </si>
  <si>
    <t>GRASS</t>
  </si>
  <si>
    <t>(no trees or hedges):</t>
  </si>
  <si>
    <t>Grass plains, stubble</t>
  </si>
  <si>
    <r>
      <t>z</t>
    </r>
    <r>
      <rPr>
        <vertAlign val="subscript"/>
        <sz val="8"/>
        <color indexed="12"/>
        <rFont val="Arial"/>
        <family val="2"/>
      </rPr>
      <t>0</t>
    </r>
    <r>
      <rPr>
        <sz val="8"/>
        <color indexed="12"/>
        <rFont val="Arial"/>
        <family val="2"/>
      </rPr>
      <t xml:space="preserve">  (m) =</t>
    </r>
  </si>
  <si>
    <t>SNOW SURFACE</t>
  </si>
  <si>
    <t>Snow-covered open</t>
  </si>
  <si>
    <t>country:</t>
  </si>
  <si>
    <t>Long grass, crops:</t>
  </si>
  <si>
    <t>Uncut grass:</t>
  </si>
  <si>
    <t>Cut grass (&lt;3 cm):</t>
  </si>
  <si>
    <t>Snow-covered plains</t>
  </si>
  <si>
    <t>DESERT</t>
  </si>
  <si>
    <t>Flat desert:</t>
  </si>
  <si>
    <t>ICE</t>
  </si>
  <si>
    <t>Pack ice:</t>
  </si>
  <si>
    <t>Arctic sea ice:</t>
  </si>
  <si>
    <t>Sea ice with wind normal</t>
  </si>
  <si>
    <t>to snow ridges:</t>
  </si>
  <si>
    <t>Sea ice with wind parallel</t>
  </si>
  <si>
    <t>MUD FLATS</t>
  </si>
  <si>
    <t xml:space="preserve">FLAT ICE, </t>
  </si>
  <si>
    <t xml:space="preserve">Forests, large wooded </t>
  </si>
  <si>
    <t>areas:</t>
  </si>
  <si>
    <r>
      <t>TYPICAL VALUES 0F THE TERRAIN ROUGHNESS PARAMETER, z</t>
    </r>
    <r>
      <rPr>
        <b/>
        <vertAlign val="subscript"/>
        <sz val="10"/>
        <rFont val="Arial"/>
        <family val="2"/>
      </rPr>
      <t>0</t>
    </r>
  </si>
  <si>
    <r>
      <t xml:space="preserve">Case: </t>
    </r>
    <r>
      <rPr>
        <sz val="10"/>
        <rFont val="Symbol"/>
        <family val="1"/>
        <charset val="2"/>
      </rPr>
      <t>®</t>
    </r>
  </si>
  <si>
    <t>Do not enter heights in</t>
  </si>
  <si>
    <t xml:space="preserve">  the program assumes the</t>
  </si>
  <si>
    <t xml:space="preserve">  Worksheet 'Target Site'.</t>
  </si>
  <si>
    <t xml:space="preserve">  same values for all heights.</t>
  </si>
  <si>
    <t xml:space="preserve">  Column C; these follow from</t>
  </si>
  <si>
    <t xml:space="preserve">Enter individual frequencies in </t>
  </si>
  <si>
    <t xml:space="preserve">Only enter these values once; </t>
  </si>
  <si>
    <t xml:space="preserve"> Column B starting at Cell B7 . </t>
  </si>
  <si>
    <r>
      <t>z</t>
    </r>
    <r>
      <rPr>
        <vertAlign val="subscript"/>
        <sz val="10"/>
        <rFont val="Arial"/>
        <family val="2"/>
      </rPr>
      <t>0eff</t>
    </r>
    <r>
      <rPr>
        <sz val="10"/>
        <rFont val="Arial"/>
        <family val="2"/>
      </rPr>
      <t xml:space="preserve"> (m)</t>
    </r>
  </si>
  <si>
    <t>Terrain roughnesses within patch:</t>
  </si>
  <si>
    <r>
      <t>Fraction of patch area at each value of z</t>
    </r>
    <r>
      <rPr>
        <vertAlign val="subscript"/>
        <sz val="10"/>
        <rFont val="Arial"/>
        <family val="2"/>
      </rPr>
      <t>01</t>
    </r>
    <r>
      <rPr>
        <vertAlign val="subscript"/>
        <sz val="8"/>
        <rFont val="Arial"/>
        <family val="2"/>
      </rPr>
      <t/>
    </r>
  </si>
  <si>
    <r>
      <t>MODULE TO CALCULATE EFFECTIVE z</t>
    </r>
    <r>
      <rPr>
        <b/>
        <vertAlign val="subscript"/>
        <sz val="10"/>
        <rFont val="Arial"/>
        <family val="2"/>
      </rPr>
      <t>0</t>
    </r>
    <r>
      <rPr>
        <b/>
        <sz val="10"/>
        <rFont val="Arial"/>
        <family val="2"/>
      </rPr>
      <t xml:space="preserve"> WITHIN A PATCH OF TERRAIN</t>
    </r>
  </si>
  <si>
    <r>
      <t>Patch length,</t>
    </r>
    <r>
      <rPr>
        <i/>
        <sz val="10"/>
        <rFont val="Arial"/>
        <family val="2"/>
      </rPr>
      <t xml:space="preserve"> x</t>
    </r>
    <r>
      <rPr>
        <sz val="10"/>
        <rFont val="Arial"/>
        <family val="2"/>
      </rPr>
      <t xml:space="preserve"> (m)</t>
    </r>
  </si>
  <si>
    <r>
      <t>f</t>
    </r>
    <r>
      <rPr>
        <vertAlign val="subscript"/>
        <sz val="11"/>
        <rFont val="Arial"/>
        <family val="2"/>
      </rPr>
      <t>uu</t>
    </r>
    <r>
      <rPr>
        <sz val="10"/>
        <rFont val="Arial"/>
        <family val="2"/>
      </rPr>
      <t xml:space="preserve"> </t>
    </r>
  </si>
  <si>
    <r>
      <t>f</t>
    </r>
    <r>
      <rPr>
        <vertAlign val="subscript"/>
        <sz val="11"/>
        <rFont val="Arial"/>
        <family val="2"/>
      </rPr>
      <t>vv</t>
    </r>
    <r>
      <rPr>
        <sz val="10"/>
        <rFont val="Arial"/>
        <family val="2"/>
      </rPr>
      <t xml:space="preserve"> </t>
    </r>
  </si>
  <si>
    <r>
      <t>f</t>
    </r>
    <r>
      <rPr>
        <vertAlign val="subscript"/>
        <sz val="11"/>
        <rFont val="Arial"/>
        <family val="2"/>
      </rPr>
      <t>ww</t>
    </r>
    <r>
      <rPr>
        <sz val="10"/>
        <rFont val="Arial"/>
        <family val="2"/>
      </rPr>
      <t xml:space="preserve"> </t>
    </r>
  </si>
  <si>
    <t>Frequency, n (Hz)</t>
  </si>
  <si>
    <r>
      <t xml:space="preserve">Click </t>
    </r>
    <r>
      <rPr>
        <sz val="10"/>
        <color indexed="12"/>
        <rFont val="Arial"/>
        <family val="2"/>
      </rPr>
      <t>RUN</t>
    </r>
    <r>
      <rPr>
        <sz val="10"/>
        <rFont val="Arial"/>
        <family val="2"/>
      </rPr>
      <t xml:space="preserve"> button to find effective z</t>
    </r>
    <r>
      <rPr>
        <vertAlign val="subscript"/>
        <sz val="10"/>
        <rFont val="Arial"/>
        <family val="2"/>
      </rPr>
      <t>0</t>
    </r>
    <r>
      <rPr>
        <sz val="10"/>
        <rFont val="Arial"/>
        <family val="2"/>
      </rPr>
      <t xml:space="preserve"> for patch </t>
    </r>
  </si>
  <si>
    <r>
      <t>z</t>
    </r>
    <r>
      <rPr>
        <vertAlign val="subscript"/>
        <sz val="10"/>
        <rFont val="Arial"/>
        <family val="2"/>
      </rPr>
      <t>0a</t>
    </r>
    <r>
      <rPr>
        <sz val="10"/>
        <rFont val="Arial"/>
        <family val="2"/>
      </rPr>
      <t xml:space="preserve"> (m)</t>
    </r>
  </si>
  <si>
    <r>
      <t>z</t>
    </r>
    <r>
      <rPr>
        <vertAlign val="subscript"/>
        <sz val="10"/>
        <rFont val="Arial"/>
        <family val="2"/>
      </rPr>
      <t>0b</t>
    </r>
    <r>
      <rPr>
        <sz val="10"/>
        <rFont val="Arial"/>
        <family val="2"/>
      </rPr>
      <t xml:space="preserve"> (m)</t>
    </r>
  </si>
  <si>
    <r>
      <t>z</t>
    </r>
    <r>
      <rPr>
        <vertAlign val="subscript"/>
        <sz val="10"/>
        <rFont val="Arial"/>
        <family val="2"/>
      </rPr>
      <t>0c</t>
    </r>
    <r>
      <rPr>
        <sz val="10"/>
        <rFont val="Arial"/>
        <family val="2"/>
      </rPr>
      <t xml:space="preserve"> (m)</t>
    </r>
  </si>
  <si>
    <r>
      <t>z</t>
    </r>
    <r>
      <rPr>
        <vertAlign val="subscript"/>
        <sz val="10"/>
        <rFont val="Arial"/>
        <family val="2"/>
      </rPr>
      <t>0d</t>
    </r>
    <r>
      <rPr>
        <sz val="10"/>
        <rFont val="Arial"/>
        <family val="2"/>
      </rPr>
      <t xml:space="preserve"> (m)</t>
    </r>
  </si>
  <si>
    <r>
      <t>A</t>
    </r>
    <r>
      <rPr>
        <vertAlign val="subscript"/>
        <sz val="10"/>
        <rFont val="Arial"/>
        <family val="2"/>
      </rPr>
      <t>a</t>
    </r>
    <r>
      <rPr>
        <sz val="10"/>
        <rFont val="Arial"/>
        <family val="2"/>
      </rPr>
      <t xml:space="preserve"> </t>
    </r>
  </si>
  <si>
    <r>
      <t>A</t>
    </r>
    <r>
      <rPr>
        <vertAlign val="subscript"/>
        <sz val="10"/>
        <rFont val="Arial"/>
        <family val="2"/>
      </rPr>
      <t>b</t>
    </r>
    <r>
      <rPr>
        <sz val="10"/>
        <rFont val="Arial"/>
        <family val="2"/>
      </rPr>
      <t xml:space="preserve"> </t>
    </r>
  </si>
  <si>
    <r>
      <t>A</t>
    </r>
    <r>
      <rPr>
        <vertAlign val="subscript"/>
        <sz val="10"/>
        <rFont val="Arial"/>
        <family val="2"/>
      </rPr>
      <t>c</t>
    </r>
    <r>
      <rPr>
        <sz val="10"/>
        <rFont val="Arial"/>
        <family val="2"/>
      </rPr>
      <t xml:space="preserve"> </t>
    </r>
  </si>
  <si>
    <r>
      <t>A</t>
    </r>
    <r>
      <rPr>
        <vertAlign val="subscript"/>
        <sz val="10"/>
        <rFont val="Arial"/>
        <family val="2"/>
      </rPr>
      <t>d</t>
    </r>
    <r>
      <rPr>
        <sz val="10"/>
        <rFont val="Arial"/>
        <family val="2"/>
      </rPr>
      <t xml:space="preserve"> </t>
    </r>
  </si>
  <si>
    <r>
      <t>TURBULENCE INTENSITY,</t>
    </r>
    <r>
      <rPr>
        <b/>
        <i/>
        <sz val="10"/>
        <rFont val="Arial"/>
        <family val="2"/>
      </rPr>
      <t xml:space="preserve"> I</t>
    </r>
    <r>
      <rPr>
        <b/>
        <i/>
        <vertAlign val="subscript"/>
        <sz val="10"/>
        <rFont val="Arial"/>
        <family val="2"/>
      </rPr>
      <t>u</t>
    </r>
    <r>
      <rPr>
        <b/>
        <sz val="10"/>
        <rFont val="Arial"/>
        <family val="2"/>
      </rPr>
      <t xml:space="preserve"> and LENGTH SCALES  </t>
    </r>
    <r>
      <rPr>
        <b/>
        <i/>
        <vertAlign val="superscript"/>
        <sz val="10"/>
        <rFont val="Arial"/>
        <family val="2"/>
      </rPr>
      <t>x</t>
    </r>
    <r>
      <rPr>
        <b/>
        <i/>
        <sz val="10"/>
        <rFont val="Arial"/>
        <family val="2"/>
      </rPr>
      <t>L</t>
    </r>
    <r>
      <rPr>
        <b/>
        <i/>
        <vertAlign val="subscript"/>
        <sz val="10"/>
        <rFont val="Arial"/>
        <family val="2"/>
      </rPr>
      <t xml:space="preserve">u </t>
    </r>
    <r>
      <rPr>
        <b/>
        <sz val="10"/>
        <rFont val="Arial"/>
        <family val="2"/>
      </rPr>
      <t xml:space="preserve">, </t>
    </r>
    <r>
      <rPr>
        <b/>
        <i/>
        <vertAlign val="superscript"/>
        <sz val="10"/>
        <rFont val="Arial"/>
        <family val="2"/>
      </rPr>
      <t>y</t>
    </r>
    <r>
      <rPr>
        <b/>
        <i/>
        <sz val="10"/>
        <rFont val="Arial"/>
        <family val="2"/>
      </rPr>
      <t>L</t>
    </r>
    <r>
      <rPr>
        <b/>
        <i/>
        <vertAlign val="subscript"/>
        <sz val="10"/>
        <rFont val="Arial"/>
        <family val="2"/>
      </rPr>
      <t>u</t>
    </r>
    <r>
      <rPr>
        <b/>
        <sz val="10"/>
        <rFont val="Arial"/>
        <family val="2"/>
      </rPr>
      <t xml:space="preserve"> and </t>
    </r>
    <r>
      <rPr>
        <b/>
        <i/>
        <vertAlign val="superscript"/>
        <sz val="10"/>
        <rFont val="Arial"/>
        <family val="2"/>
      </rPr>
      <t>z</t>
    </r>
    <r>
      <rPr>
        <b/>
        <i/>
        <sz val="10"/>
        <rFont val="Arial"/>
        <family val="2"/>
      </rPr>
      <t>L</t>
    </r>
    <r>
      <rPr>
        <b/>
        <i/>
        <vertAlign val="subscript"/>
        <sz val="10"/>
        <rFont val="Arial"/>
        <family val="2"/>
      </rPr>
      <t>u</t>
    </r>
    <r>
      <rPr>
        <b/>
        <sz val="10"/>
        <rFont val="Arial"/>
        <family val="2"/>
      </rPr>
      <t xml:space="preserve"> (Flat terrain)</t>
    </r>
  </si>
  <si>
    <r>
      <t xml:space="preserve">TURBULENCE INTENSITY, </t>
    </r>
    <r>
      <rPr>
        <b/>
        <i/>
        <sz val="10"/>
        <rFont val="Arial"/>
        <family val="2"/>
      </rPr>
      <t>I</t>
    </r>
    <r>
      <rPr>
        <b/>
        <i/>
        <vertAlign val="subscript"/>
        <sz val="10"/>
        <rFont val="Arial"/>
        <family val="2"/>
      </rPr>
      <t>v</t>
    </r>
    <r>
      <rPr>
        <b/>
        <sz val="10"/>
        <rFont val="Arial"/>
        <family val="2"/>
      </rPr>
      <t xml:space="preserve"> and LENGTH SCALES </t>
    </r>
    <r>
      <rPr>
        <b/>
        <vertAlign val="superscript"/>
        <sz val="10"/>
        <rFont val="Arial"/>
        <family val="2"/>
      </rPr>
      <t xml:space="preserve"> </t>
    </r>
    <r>
      <rPr>
        <b/>
        <i/>
        <vertAlign val="superscript"/>
        <sz val="10"/>
        <rFont val="Arial"/>
        <family val="2"/>
      </rPr>
      <t>x</t>
    </r>
    <r>
      <rPr>
        <b/>
        <i/>
        <sz val="10"/>
        <rFont val="Arial"/>
        <family val="2"/>
      </rPr>
      <t>L</t>
    </r>
    <r>
      <rPr>
        <b/>
        <i/>
        <vertAlign val="subscript"/>
        <sz val="10"/>
        <rFont val="Arial"/>
        <family val="2"/>
      </rPr>
      <t>v</t>
    </r>
    <r>
      <rPr>
        <b/>
        <sz val="10"/>
        <rFont val="Arial"/>
        <family val="2"/>
      </rPr>
      <t xml:space="preserve">, </t>
    </r>
    <r>
      <rPr>
        <b/>
        <i/>
        <vertAlign val="superscript"/>
        <sz val="10"/>
        <rFont val="Arial"/>
        <family val="2"/>
      </rPr>
      <t>y</t>
    </r>
    <r>
      <rPr>
        <b/>
        <i/>
        <sz val="10"/>
        <rFont val="Arial"/>
        <family val="2"/>
      </rPr>
      <t>L</t>
    </r>
    <r>
      <rPr>
        <b/>
        <i/>
        <vertAlign val="subscript"/>
        <sz val="10"/>
        <rFont val="Arial"/>
        <family val="2"/>
      </rPr>
      <t>v</t>
    </r>
    <r>
      <rPr>
        <b/>
        <sz val="10"/>
        <rFont val="Arial"/>
        <family val="2"/>
      </rPr>
      <t xml:space="preserve"> and </t>
    </r>
    <r>
      <rPr>
        <b/>
        <i/>
        <vertAlign val="superscript"/>
        <sz val="10"/>
        <rFont val="Arial"/>
        <family val="2"/>
      </rPr>
      <t>z</t>
    </r>
    <r>
      <rPr>
        <b/>
        <i/>
        <sz val="10"/>
        <rFont val="Arial"/>
        <family val="2"/>
      </rPr>
      <t>L</t>
    </r>
    <r>
      <rPr>
        <b/>
        <i/>
        <vertAlign val="subscript"/>
        <sz val="10"/>
        <rFont val="Arial"/>
        <family val="2"/>
      </rPr>
      <t>v</t>
    </r>
    <r>
      <rPr>
        <b/>
        <sz val="10"/>
        <rFont val="Arial"/>
        <family val="2"/>
      </rPr>
      <t xml:space="preserve"> (Flat terrain)</t>
    </r>
  </si>
  <si>
    <r>
      <t xml:space="preserve">TURBULENCE INTENSITY, </t>
    </r>
    <r>
      <rPr>
        <b/>
        <i/>
        <sz val="10"/>
        <rFont val="Arial"/>
        <family val="2"/>
      </rPr>
      <t>I</t>
    </r>
    <r>
      <rPr>
        <b/>
        <i/>
        <vertAlign val="subscript"/>
        <sz val="10"/>
        <rFont val="Arial"/>
        <family val="2"/>
      </rPr>
      <t>w</t>
    </r>
    <r>
      <rPr>
        <b/>
        <sz val="10"/>
        <rFont val="Arial"/>
        <family val="2"/>
      </rPr>
      <t xml:space="preserve"> and LENGTH SCALES </t>
    </r>
    <r>
      <rPr>
        <b/>
        <i/>
        <sz val="10"/>
        <rFont val="Arial"/>
        <family val="2"/>
      </rPr>
      <t xml:space="preserve"> </t>
    </r>
    <r>
      <rPr>
        <b/>
        <i/>
        <vertAlign val="superscript"/>
        <sz val="10"/>
        <rFont val="Arial"/>
        <family val="2"/>
      </rPr>
      <t>x</t>
    </r>
    <r>
      <rPr>
        <b/>
        <i/>
        <sz val="10"/>
        <rFont val="Arial"/>
        <family val="2"/>
      </rPr>
      <t>L</t>
    </r>
    <r>
      <rPr>
        <b/>
        <i/>
        <vertAlign val="subscript"/>
        <sz val="10"/>
        <rFont val="Arial"/>
        <family val="2"/>
      </rPr>
      <t>w</t>
    </r>
    <r>
      <rPr>
        <b/>
        <sz val="10"/>
        <rFont val="Arial"/>
        <family val="2"/>
      </rPr>
      <t xml:space="preserve">, </t>
    </r>
    <r>
      <rPr>
        <b/>
        <i/>
        <vertAlign val="superscript"/>
        <sz val="10"/>
        <rFont val="Arial"/>
        <family val="2"/>
      </rPr>
      <t>y</t>
    </r>
    <r>
      <rPr>
        <b/>
        <i/>
        <sz val="10"/>
        <rFont val="Arial"/>
        <family val="2"/>
      </rPr>
      <t>L</t>
    </r>
    <r>
      <rPr>
        <b/>
        <i/>
        <vertAlign val="subscript"/>
        <sz val="10"/>
        <rFont val="Arial"/>
        <family val="2"/>
      </rPr>
      <t>w</t>
    </r>
    <r>
      <rPr>
        <b/>
        <sz val="10"/>
        <rFont val="Arial"/>
        <family val="2"/>
      </rPr>
      <t xml:space="preserve"> and </t>
    </r>
    <r>
      <rPr>
        <b/>
        <i/>
        <vertAlign val="superscript"/>
        <sz val="10"/>
        <rFont val="Arial"/>
        <family val="2"/>
      </rPr>
      <t>z</t>
    </r>
    <r>
      <rPr>
        <b/>
        <i/>
        <sz val="10"/>
        <rFont val="Arial"/>
        <family val="2"/>
      </rPr>
      <t>L</t>
    </r>
    <r>
      <rPr>
        <b/>
        <i/>
        <vertAlign val="subscript"/>
        <sz val="10"/>
        <rFont val="Arial"/>
        <family val="2"/>
      </rPr>
      <t>w</t>
    </r>
    <r>
      <rPr>
        <b/>
        <sz val="10"/>
        <rFont val="Arial"/>
        <family val="2"/>
      </rPr>
      <t xml:space="preserve"> (Flat terrain)</t>
    </r>
  </si>
  <si>
    <r>
      <t xml:space="preserve">SPECTRAL DENSITIES OF </t>
    </r>
    <r>
      <rPr>
        <b/>
        <i/>
        <sz val="10"/>
        <rFont val="Arial"/>
        <family val="2"/>
      </rPr>
      <t>u</t>
    </r>
    <r>
      <rPr>
        <b/>
        <sz val="10"/>
        <rFont val="Arial"/>
        <family val="2"/>
      </rPr>
      <t xml:space="preserve">- , v- and w-COMPONENTS OF TURBULENCE (Flat terrain) </t>
    </r>
  </si>
  <si>
    <r>
      <t>To calculate an effective value of z</t>
    </r>
    <r>
      <rPr>
        <vertAlign val="subscript"/>
        <sz val="10"/>
        <rFont val="Arial"/>
        <family val="2"/>
      </rPr>
      <t>0</t>
    </r>
    <r>
      <rPr>
        <sz val="10"/>
        <rFont val="Arial"/>
        <family val="2"/>
      </rPr>
      <t xml:space="preserve"> in a patch, when z</t>
    </r>
    <r>
      <rPr>
        <vertAlign val="subscript"/>
        <sz val="10"/>
        <rFont val="Arial"/>
        <family val="2"/>
      </rPr>
      <t>0</t>
    </r>
    <r>
      <rPr>
        <sz val="10"/>
        <rFont val="Arial"/>
        <family val="2"/>
      </rPr>
      <t xml:space="preserve"> varies in the across-wind direction, see module under columns I to Q</t>
    </r>
  </si>
  <si>
    <t>See ESDU 01008 Section 4.3.1</t>
  </si>
  <si>
    <t>Wind components in directions along AB and DC</t>
  </si>
  <si>
    <t>Wind direction (degree from N):</t>
  </si>
  <si>
    <t>wind component as given in row 75</t>
  </si>
  <si>
    <t>separated flow region (if any) with</t>
  </si>
  <si>
    <r>
      <t xml:space="preserve">X </t>
    </r>
    <r>
      <rPr>
        <sz val="8"/>
        <rFont val="Arial"/>
        <family val="2"/>
      </rPr>
      <t>marks site location on AB, CD</t>
    </r>
  </si>
  <si>
    <t>AB</t>
  </si>
  <si>
    <t>BA</t>
  </si>
  <si>
    <t>CD</t>
  </si>
  <si>
    <t>DC</t>
  </si>
  <si>
    <t>Wind components in directions along BA and DC</t>
  </si>
  <si>
    <t xml:space="preserve"> 3/12/01 13:32</t>
  </si>
  <si>
    <r>
      <t>I</t>
    </r>
    <r>
      <rPr>
        <i/>
        <vertAlign val="subscript"/>
        <sz val="10"/>
        <rFont val="Arial"/>
        <family val="2"/>
      </rPr>
      <t>u</t>
    </r>
  </si>
  <si>
    <r>
      <t>x</t>
    </r>
    <r>
      <rPr>
        <i/>
        <sz val="10"/>
        <rFont val="Arial"/>
        <family val="2"/>
      </rPr>
      <t>L</t>
    </r>
    <r>
      <rPr>
        <i/>
        <vertAlign val="subscript"/>
        <sz val="10"/>
        <rFont val="Arial"/>
        <family val="2"/>
      </rPr>
      <t>u</t>
    </r>
    <r>
      <rPr>
        <sz val="10"/>
        <rFont val="Arial"/>
        <family val="2"/>
      </rPr>
      <t xml:space="preserve"> (m)</t>
    </r>
  </si>
  <si>
    <r>
      <t>y</t>
    </r>
    <r>
      <rPr>
        <i/>
        <sz val="10"/>
        <rFont val="Arial"/>
        <family val="2"/>
      </rPr>
      <t>L</t>
    </r>
    <r>
      <rPr>
        <i/>
        <vertAlign val="subscript"/>
        <sz val="10"/>
        <rFont val="Arial"/>
        <family val="2"/>
      </rPr>
      <t>u</t>
    </r>
    <r>
      <rPr>
        <sz val="10"/>
        <rFont val="Arial"/>
        <family val="2"/>
      </rPr>
      <t xml:space="preserve"> (m)</t>
    </r>
  </si>
  <si>
    <r>
      <t>z</t>
    </r>
    <r>
      <rPr>
        <i/>
        <sz val="10"/>
        <rFont val="Arial"/>
        <family val="2"/>
      </rPr>
      <t>L</t>
    </r>
    <r>
      <rPr>
        <i/>
        <vertAlign val="subscript"/>
        <sz val="10"/>
        <rFont val="Arial"/>
        <family val="2"/>
      </rPr>
      <t>u</t>
    </r>
    <r>
      <rPr>
        <sz val="10"/>
        <rFont val="Arial"/>
        <family val="2"/>
      </rPr>
      <t xml:space="preserve"> (m)</t>
    </r>
  </si>
  <si>
    <t>Note: height scale is exaggerated</t>
  </si>
  <si>
    <t>flow separation region</t>
  </si>
  <si>
    <t>Modified surface enclosing</t>
  </si>
  <si>
    <t xml:space="preserve">Modified surface enclosing </t>
  </si>
  <si>
    <t>Gust speeds from WT profiles</t>
  </si>
  <si>
    <t>U/Uref</t>
  </si>
  <si>
    <t>Iu</t>
  </si>
  <si>
    <t>kph</t>
  </si>
  <si>
    <t>m/s</t>
  </si>
  <si>
    <t>Cases &gt;&gt;</t>
  </si>
  <si>
    <t>Gust speed to use &gt;&gt;</t>
  </si>
  <si>
    <t>A</t>
  </si>
  <si>
    <t>B</t>
  </si>
  <si>
    <t>C</t>
  </si>
  <si>
    <t>D</t>
  </si>
  <si>
    <t>E</t>
  </si>
  <si>
    <t>preproc</t>
  </si>
  <si>
    <t>RED</t>
  </si>
  <si>
    <t>Gust Speed from ASCE 7</t>
  </si>
  <si>
    <t>Upeak*</t>
  </si>
  <si>
    <t>Exp B</t>
  </si>
  <si>
    <t>Exp C</t>
  </si>
  <si>
    <t>Iu @ match height &gt;&gt;</t>
  </si>
  <si>
    <t>Upeak @ match height  &gt;&gt;</t>
  </si>
  <si>
    <t>based on July 2001 measurements</t>
  </si>
  <si>
    <t>Model Inches</t>
  </si>
  <si>
    <t>U/U60"</t>
  </si>
  <si>
    <t>Mean Speed / Speed at 60"</t>
  </si>
  <si>
    <t>Turb U</t>
  </si>
  <si>
    <t>Height of Interest</t>
  </si>
  <si>
    <t>Height below</t>
  </si>
  <si>
    <t>Height above</t>
  </si>
  <si>
    <t>at Height of Interest</t>
  </si>
  <si>
    <t>ft</t>
  </si>
  <si>
    <t>Model Scale, 1:</t>
  </si>
  <si>
    <t xml:space="preserve">   use this for ESDU conversion of code speed to 600m height</t>
  </si>
  <si>
    <t>Job</t>
  </si>
  <si>
    <t>Harborwalk Village</t>
  </si>
  <si>
    <t>Job Number</t>
  </si>
  <si>
    <t>04-1362</t>
  </si>
  <si>
    <t>Done by</t>
  </si>
  <si>
    <t>JJG</t>
  </si>
  <si>
    <t>Exposure</t>
  </si>
  <si>
    <t>alpha</t>
  </si>
  <si>
    <t>Zg</t>
  </si>
  <si>
    <t>50-Year Basic Wind Speed</t>
  </si>
  <si>
    <t>Importance Factor</t>
  </si>
  <si>
    <t xml:space="preserve">Kz = </t>
  </si>
  <si>
    <t xml:space="preserve">Kzt = </t>
  </si>
  <si>
    <t xml:space="preserve">Kd = </t>
  </si>
  <si>
    <t>qh =</t>
  </si>
  <si>
    <t>Exp A</t>
  </si>
  <si>
    <t>Exp D</t>
  </si>
  <si>
    <t>use this to gauge range of wind speeds ESDU is calculating</t>
  </si>
  <si>
    <t>mph 3-sec</t>
  </si>
  <si>
    <t>INPUT</t>
  </si>
  <si>
    <t>CHECK</t>
  </si>
  <si>
    <t>Speed at h (m/s)</t>
  </si>
  <si>
    <t>* apply design (600 m) speed at pitot, regardless of scale</t>
  </si>
  <si>
    <t>Building Height, h (ft.)</t>
  </si>
  <si>
    <t>gp</t>
  </si>
  <si>
    <t>NOTE THAT THE ABOVE FACTORS ARE ON PRESSURES!!!!!!!</t>
  </si>
  <si>
    <t>factors on speed</t>
  </si>
  <si>
    <t>Calculation speed @ 600 m</t>
  </si>
  <si>
    <t>DO NOT ADJUST</t>
  </si>
  <si>
    <t>Heff(m) , (40m min)</t>
  </si>
  <si>
    <t>ENTER</t>
  </si>
  <si>
    <t>Data for "OLD" Standard Wind Tunnel Profiles</t>
  </si>
  <si>
    <t>see &gt;&gt;&gt;&gt; for NEW STANDARD PROFILES</t>
  </si>
  <si>
    <t>open/sub</t>
  </si>
  <si>
    <t>suburban</t>
  </si>
  <si>
    <t>urban</t>
  </si>
  <si>
    <t>Z, inch</t>
  </si>
  <si>
    <t>Data for "NEW" Standard Wind Tunnel Profiles</t>
  </si>
  <si>
    <t>F</t>
  </si>
  <si>
    <t>G</t>
  </si>
  <si>
    <t>H</t>
  </si>
  <si>
    <t>I</t>
  </si>
  <si>
    <t>J</t>
  </si>
  <si>
    <t>K</t>
  </si>
  <si>
    <t>L</t>
  </si>
  <si>
    <t>M</t>
  </si>
  <si>
    <t>N</t>
  </si>
  <si>
    <t>O</t>
  </si>
  <si>
    <t>P</t>
  </si>
  <si>
    <t>Q</t>
  </si>
  <si>
    <t>R</t>
  </si>
  <si>
    <t>S</t>
  </si>
  <si>
    <t>T</t>
  </si>
  <si>
    <t>ANGLE RANGE&gt;&gt;</t>
  </si>
  <si>
    <t>ANGLE</t>
  </si>
  <si>
    <t>RANGE</t>
  </si>
  <si>
    <t>PROFILE</t>
  </si>
  <si>
    <t>DESIGNATION #</t>
  </si>
  <si>
    <t>FACTOR MATRIX for selection of "PROFILE DESIGNATION #" below</t>
  </si>
  <si>
    <t>DIRECTION</t>
  </si>
  <si>
    <t>TEST</t>
  </si>
  <si>
    <t>"OLD"</t>
  </si>
  <si>
    <t xml:space="preserve">Effective Building Height </t>
  </si>
  <si>
    <t>at 3/4 Heff (m/s)</t>
  </si>
  <si>
    <t>OUTPUT FACTORS</t>
  </si>
  <si>
    <t>z06 (m)</t>
  </si>
  <si>
    <t>OPEN</t>
  </si>
  <si>
    <t>match ht(m)</t>
  </si>
  <si>
    <t>OLD PROFILES</t>
  </si>
  <si>
    <t>U</t>
  </si>
  <si>
    <t>Aug 25/04</t>
  </si>
  <si>
    <t>Date</t>
  </si>
  <si>
    <t xml:space="preserve">"match ht(m)" cell in RWDI Factors page rather than using the "Effective </t>
  </si>
  <si>
    <t>"Building Height" cell - otherwise, for low buildings, the minimum match</t>
  </si>
  <si>
    <t>height of 30 m was not consistently used between the ESDU calc and the</t>
  </si>
  <si>
    <t>referenced wind tunnel data.</t>
  </si>
  <si>
    <t>Also, changed the reference in the target speed page to use the match</t>
  </si>
  <si>
    <t>Matching height in model scale inches (W30 in WT1 Profile Data) - changed to reference the</t>
  </si>
  <si>
    <t>this way in the future.</t>
  </si>
  <si>
    <t>Description</t>
  </si>
  <si>
    <t>Initials</t>
  </si>
  <si>
    <t>height (directly) instead of the effective height x 0.75 - no change - but it may be less confusing</t>
  </si>
  <si>
    <t>Sept 17/04</t>
  </si>
  <si>
    <t>Note added regarding constant use of 60" pitot height, regardless of model scale</t>
  </si>
  <si>
    <t>Sept 24/04</t>
  </si>
  <si>
    <t>Corrected the interpolation of the new profile data (since heights for lookup of old and new profiles</t>
  </si>
  <si>
    <t>are different).</t>
  </si>
  <si>
    <t>JJG/GKS</t>
  </si>
  <si>
    <t>Oct 15/04</t>
  </si>
  <si>
    <t>adjusted suburban WT data based on recent measurements</t>
  </si>
  <si>
    <t>GKS</t>
  </si>
  <si>
    <t>Iu @ match</t>
  </si>
  <si>
    <t xml:space="preserve"> height</t>
  </si>
  <si>
    <t>Oct 27/04</t>
  </si>
  <si>
    <t>MDC</t>
  </si>
  <si>
    <t>initial selection of profile based on turb intensity levels only "H67 to H102"</t>
  </si>
  <si>
    <t>Dec 7/04</t>
  </si>
  <si>
    <t>expanded lookup in D67 to D102 to include standard profiles, only looked up modifieds previously</t>
  </si>
  <si>
    <t xml:space="preserve"> </t>
  </si>
  <si>
    <t>Speed</t>
  </si>
  <si>
    <t>SITE</t>
  </si>
  <si>
    <t>SUB/OPEN</t>
  </si>
  <si>
    <t>SUBURBAN</t>
  </si>
  <si>
    <t>URBAN</t>
  </si>
  <si>
    <t>Turbulence</t>
  </si>
  <si>
    <t>Aug 28/05</t>
  </si>
  <si>
    <t>added radar plots to compare calculated values with standard profiles, along with note on water</t>
  </si>
  <si>
    <r>
      <t xml:space="preserve">fetches and smooth to rough transitions </t>
    </r>
    <r>
      <rPr>
        <b/>
        <sz val="10"/>
        <rFont val="Arial"/>
        <family val="2"/>
      </rPr>
      <t>(plots were showing wrong standards - fixed Oct. 24/05)</t>
    </r>
  </si>
  <si>
    <t>Iu factor</t>
  </si>
  <si>
    <t>z</t>
  </si>
  <si>
    <t>Dec 16/05</t>
  </si>
  <si>
    <t>WT1 profiles updated based on recent mHW easurements, Open profile has revised spires</t>
  </si>
  <si>
    <t>Full Height for FBC Exp C Requirements</t>
  </si>
  <si>
    <t>at Exp C Height of Interest</t>
  </si>
  <si>
    <t>Calc of gust speeds in row 31 (e.g., cell H31) simplified from the circular manner in which it had</t>
  </si>
  <si>
    <t xml:space="preserve">been calculated in row 29 before, based on ratios that weren't really useful for anything.  The </t>
  </si>
  <si>
    <t>number is the same.</t>
  </si>
  <si>
    <t>Calcs to rescale to Exposure C for FBC High Speed Hurricane Zone requirements</t>
  </si>
  <si>
    <t>Factors for Exp C</t>
  </si>
  <si>
    <t>&lt;&lt;  use Open based on standard analysis - value based on full height and Gp = 3 is listed for reference</t>
  </si>
  <si>
    <t>The main change was the addition of the Exposure C rescaling to satisfy the Florida Building</t>
  </si>
  <si>
    <t>Code requirements for High Wind Speed Hurricane Zones of considering Exposure C only.</t>
  </si>
  <si>
    <t>Jan 23/06</t>
  </si>
  <si>
    <t>Jan 31/06</t>
  </si>
  <si>
    <t>Adjusted Exp C factors to w/c of calculated and the original (standard) value</t>
  </si>
  <si>
    <t>LOADS</t>
  </si>
  <si>
    <t>ACCELS</t>
  </si>
  <si>
    <t>Summary of ESDU calcs for each case</t>
  </si>
  <si>
    <t>Aug 24/06</t>
  </si>
  <si>
    <t xml:space="preserve">Added summary table of descriptors for each ESDU case (i.e., to help line up directions with </t>
  </si>
  <si>
    <t>appropriate letter) - RWDI Factors:A67..B88</t>
  </si>
  <si>
    <t>2/3 H</t>
  </si>
  <si>
    <t>Oct 29/07</t>
  </si>
  <si>
    <t>Adjusted effective ht to 2/3 H; adjusted suburban alpha to 0.23 based on recent measurements</t>
  </si>
  <si>
    <t>angle range</t>
  </si>
  <si>
    <t>profile #</t>
  </si>
  <si>
    <t>z m FS</t>
  </si>
  <si>
    <t>mean index</t>
  </si>
  <si>
    <t>Iu index</t>
  </si>
  <si>
    <t>Iu of selected wind tunnel profile</t>
  </si>
  <si>
    <t>Iu  of ESDU calculation</t>
  </si>
  <si>
    <t>title</t>
  </si>
  <si>
    <t>DO NOT TOUCH THESE EQUATIONS</t>
  </si>
  <si>
    <t>EDIT SELECTED WT PROFILES ON "RWDI_FACTORS" SHEET</t>
  </si>
  <si>
    <t>mean U/U(2/3H)  of ESDU calculation</t>
  </si>
  <si>
    <t xml:space="preserve">EACH ESDU SITE PROFILE versus WIND TUNNEL PROFILE of Umean and Iu ARE PROVIDED BELOW </t>
  </si>
  <si>
    <t>COMPARISON PLOTS OF ESDU PROFILES</t>
  </si>
  <si>
    <t>Profile Indicies to compare</t>
  </si>
  <si>
    <t>Gust, gp =</t>
  </si>
  <si>
    <t>U/U(2/3H)</t>
  </si>
  <si>
    <t>Gust</t>
  </si>
  <si>
    <t>gust U/U(2/3H)  of ESDU calculation</t>
  </si>
  <si>
    <t>mean U/U(2/3H) of selected wind tunnel profile</t>
  </si>
  <si>
    <t>gust U/U(2/3H) of selected wind tunnel profile</t>
  </si>
  <si>
    <t>For Reference ONLY</t>
  </si>
  <si>
    <t>Water</t>
  </si>
  <si>
    <t>REF</t>
  </si>
  <si>
    <t>Summary of averaged results of rake measurements for each profile</t>
  </si>
  <si>
    <t>Openwater</t>
  </si>
  <si>
    <t>Open</t>
  </si>
  <si>
    <t>Opsub</t>
  </si>
  <si>
    <t>Suburban</t>
  </si>
  <si>
    <t>Urban</t>
  </si>
  <si>
    <t>Height</t>
  </si>
  <si>
    <t>Iu_cor</t>
  </si>
  <si>
    <t>EXTRACTED DATA</t>
  </si>
  <si>
    <t>U gust</t>
  </si>
  <si>
    <t>Iu at Roof, open</t>
  </si>
  <si>
    <t>calculated alpha based on z &amp; 60"</t>
  </si>
  <si>
    <t>mean conservatism factor</t>
  </si>
  <si>
    <t>Cobra</t>
  </si>
  <si>
    <t>wind tunnel</t>
  </si>
  <si>
    <t>Factor on Iu</t>
  </si>
  <si>
    <t>Selected Wind Tunnel</t>
  </si>
  <si>
    <t>wt1</t>
  </si>
  <si>
    <t>wt2</t>
  </si>
  <si>
    <t>'Iu_CP</t>
  </si>
  <si>
    <t>Iu_CP</t>
  </si>
  <si>
    <t>wt4</t>
  </si>
  <si>
    <t>Wind Tunnel</t>
  </si>
  <si>
    <t>JJG - July 14, 2004; gks  - Aug 6, 2004; WNY - Jan, 2014</t>
  </si>
  <si>
    <t>Iu Offset</t>
  </si>
  <si>
    <t>Yes</t>
  </si>
  <si>
    <t>No</t>
  </si>
  <si>
    <t>Use Urban Profile</t>
  </si>
  <si>
    <t>preproc ratio</t>
  </si>
  <si>
    <t>Mean Roof Speed Factor (site terrain)</t>
  </si>
  <si>
    <t>SF</t>
  </si>
  <si>
    <t>Reference Pitot Height</t>
  </si>
  <si>
    <t>Roof Height - for Force Coefficients (Fixed indexing error on April 22, 2015 - JJG)</t>
  </si>
  <si>
    <t>Variable Reference Pitot Height (Added April 22, 2015 - JJG)</t>
  </si>
  <si>
    <t>at Height of Interest*</t>
  </si>
  <si>
    <t>Pitot Height (Model Scale inches) above site</t>
  </si>
  <si>
    <t>match height for plots only</t>
  </si>
  <si>
    <t>ESDUView Source File:</t>
  </si>
  <si>
    <t>Target Site First Fetch Case Number:</t>
  </si>
  <si>
    <t>ESDU View File:</t>
  </si>
  <si>
    <t>DATA From ESDUView</t>
  </si>
  <si>
    <t>Added in ability to read ESDUView EDOX files</t>
  </si>
  <si>
    <t>VLS</t>
  </si>
  <si>
    <t>Job Number:</t>
  </si>
  <si>
    <t>Job Name:</t>
  </si>
  <si>
    <t>Latitude:</t>
  </si>
  <si>
    <t>Longitude:</t>
  </si>
  <si>
    <t>Wind Direction</t>
  </si>
  <si>
    <t>"Terrain Roughness (m)"</t>
  </si>
  <si>
    <t>"Patch Length (m)"</t>
  </si>
  <si>
    <t>Sectors</t>
  </si>
  <si>
    <t>1st Angle</t>
  </si>
  <si>
    <t>2nd Angle</t>
  </si>
  <si>
    <t>3rd Angle</t>
  </si>
  <si>
    <t>4th Angle</t>
  </si>
  <si>
    <t>Number</t>
  </si>
  <si>
    <t>Group</t>
  </si>
  <si>
    <t>Sector Start Angle</t>
  </si>
  <si>
    <t>Earth's Radius</t>
  </si>
  <si>
    <t>m</t>
  </si>
  <si>
    <t>Fetch 1</t>
  </si>
  <si>
    <t>Fetch 2</t>
  </si>
  <si>
    <t>Fetch 3</t>
  </si>
  <si>
    <t>Fetch 4</t>
  </si>
  <si>
    <t>Fetch 5</t>
  </si>
  <si>
    <t>Project Longitude:</t>
  </si>
  <si>
    <t>Project Latitude:</t>
  </si>
  <si>
    <t>Project Latitude</t>
  </si>
  <si>
    <t>Project Longitude</t>
  </si>
  <si>
    <t>Angle</t>
  </si>
  <si>
    <t>Sector</t>
  </si>
  <si>
    <t>Left Point Lat</t>
  </si>
  <si>
    <t>Left Point Long</t>
  </si>
  <si>
    <t>Right Point Lat</t>
  </si>
  <si>
    <t>Right Point Long</t>
  </si>
  <si>
    <t>Disk Radius</t>
  </si>
  <si>
    <t>Rose Extents</t>
  </si>
  <si>
    <t>"left":{</t>
  </si>
  <si>
    <t>"latitude":</t>
  </si>
  <si>
    <t>},"right":{</t>
  </si>
  <si>
    <t>,"longitude":</t>
  </si>
  <si>
    <t xml:space="preserve">Sector End Angle </t>
  </si>
  <si>
    <t>}},{"left":{</t>
  </si>
  <si>
    <t>Z0</t>
  </si>
  <si>
    <t>{"MapInstance":</t>
  </si>
  <si>
    <t>{"centerLatitude":</t>
  </si>
  <si>
    <t>,"centerLongitude":</t>
  </si>
  <si>
    <t>"RoseInstance":{</t>
  </si>
  <si>
    <t>"jobName":</t>
  </si>
  <si>
    <t>,"startAngle":</t>
  </si>
  <si>
    <t>,"numSectors":</t>
  </si>
  <si>
    <t>,"scaleFactor":</t>
  </si>
  <si>
    <t>,"projectCategory":</t>
  </si>
  <si>
    <t>"Structural",</t>
  </si>
  <si>
    <t>"diskRadiusInFeet":</t>
  </si>
  <si>
    <t>,"roseRadiusInKM":</t>
  </si>
  <si>
    <t>z0</t>
  </si>
  <si>
    <t>Complete MapInstance</t>
  </si>
  <si>
    <t>Complete RoseInstance</t>
  </si>
  <si>
    <t>"sectors":[</t>
  </si>
  <si>
    <t>"others":{</t>
  </si>
  <si>
    <t>Complete Others</t>
  </si>
  <si>
    <t>Sector Groups</t>
  </si>
  <si>
    <t>Project Constants</t>
  </si>
  <si>
    <t>Create sector groups strings</t>
  </si>
  <si>
    <t>Znaughts</t>
  </si>
  <si>
    <t>Point left and right longitudes</t>
  </si>
  <si>
    <t>"sectorGroups":[</t>
  </si>
  <si>
    <t>Complete Sector Groups</t>
  </si>
  <si>
    <t>Assemble Sectors</t>
  </si>
  <si>
    <t>Complete sector</t>
  </si>
  <si>
    <t>Map Instance and Rose Instance</t>
  </si>
  <si>
    <t>Complete Header Line:</t>
  </si>
  <si>
    <t>,"jobNumber":</t>
  </si>
  <si>
    <t>Assemble .edox file:</t>
  </si>
  <si>
    <t>Assemble</t>
  </si>
  <si>
    <t>deg</t>
  </si>
  <si>
    <t>rad</t>
  </si>
  <si>
    <t>complete</t>
  </si>
  <si>
    <t>Export Existing project profiles to ESDUview</t>
  </si>
  <si>
    <t>BGEE</t>
  </si>
  <si>
    <t>This sheet gathers the details from an existing ESDUview file to assemble and export the .edox file header line so that the old project can be viewed in ESDUview.</t>
  </si>
  <si>
    <t>25/09/2015</t>
  </si>
  <si>
    <t>Longitude and latitudes in this table are in decimal degrees</t>
  </si>
  <si>
    <t>Export Directory:</t>
  </si>
  <si>
    <t>Input Errors:</t>
  </si>
  <si>
    <t>Sector Number</t>
  </si>
  <si>
    <t>Sector Letter</t>
  </si>
  <si>
    <t>Disk Radius (ft)</t>
  </si>
  <si>
    <t>Rose Extents (km)</t>
  </si>
  <si>
    <t>Angle Range</t>
  </si>
  <si>
    <t>Sector (Calculated)</t>
  </si>
  <si>
    <t>Sector (Final)</t>
  </si>
  <si>
    <t>Project Details:</t>
  </si>
  <si>
    <t>Project Name:</t>
  </si>
  <si>
    <t>Project Number:</t>
  </si>
  <si>
    <t xml:space="preserve">Angle </t>
  </si>
  <si>
    <r>
      <rPr>
        <b/>
        <sz val="10"/>
        <rFont val="Arial"/>
        <family val="2"/>
      </rPr>
      <t>2)</t>
    </r>
    <r>
      <rPr>
        <sz val="10"/>
        <rFont val="Arial"/>
        <family val="2"/>
      </rPr>
      <t xml:space="preserve"> Input fetch lengths and angle ranges. If copying from previous job, please document the path to the original file.</t>
    </r>
  </si>
  <si>
    <r>
      <rPr>
        <b/>
        <sz val="10"/>
        <rFont val="Arial"/>
        <family val="2"/>
      </rPr>
      <t>1)</t>
    </r>
    <r>
      <rPr>
        <sz val="10"/>
        <rFont val="Arial"/>
        <family val="2"/>
      </rPr>
      <t xml:space="preserve"> Input project details and fix any input errors.</t>
    </r>
  </si>
  <si>
    <t>Instructions for export:</t>
  </si>
  <si>
    <t>Source File:</t>
  </si>
  <si>
    <t>Model Scale        1:</t>
  </si>
  <si>
    <t>Sector Calculation - Create EDOX</t>
  </si>
  <si>
    <t>Fetch Lengths (m)</t>
  </si>
  <si>
    <r>
      <rPr>
        <b/>
        <sz val="10"/>
        <rFont val="Arial"/>
        <family val="2"/>
      </rPr>
      <t xml:space="preserve">3) </t>
    </r>
    <r>
      <rPr>
        <sz val="10"/>
        <rFont val="Arial"/>
        <family val="2"/>
      </rPr>
      <t>Run Export ESDUView File</t>
    </r>
  </si>
  <si>
    <t>begin compiling</t>
  </si>
  <si>
    <t>Added in backwards compatilibity to create EDOX files from EXCEL. Pages "Export Old Projects" and "Create EDOX" were added for this. Also added in automatically calculated angle ranges.</t>
  </si>
  <si>
    <t>Nov 27/15</t>
  </si>
  <si>
    <t>Openwater wtmkA</t>
  </si>
  <si>
    <t>Open wtmkA</t>
  </si>
  <si>
    <t>Opsub wtmkA</t>
  </si>
  <si>
    <t>Suburban wtmkA</t>
  </si>
  <si>
    <t>Openwater wtmkB</t>
  </si>
  <si>
    <t>Open wtmkB</t>
  </si>
  <si>
    <t>Opsub wtmkB</t>
  </si>
  <si>
    <t>Suburban wtmkB</t>
  </si>
  <si>
    <t>Spire Dimensions</t>
  </si>
  <si>
    <t>Profile</t>
  </si>
  <si>
    <t>Bottom Width</t>
  </si>
  <si>
    <t>Top Width</t>
  </si>
  <si>
    <t>Colour</t>
  </si>
  <si>
    <t>blue</t>
  </si>
  <si>
    <t>brown</t>
  </si>
  <si>
    <t>Open Suburban</t>
  </si>
  <si>
    <t>green</t>
  </si>
  <si>
    <t>red</t>
  </si>
  <si>
    <t>Floor</t>
  </si>
  <si>
    <t>Alternating "Light Floor" with spaces starting with "Light Floor" at spires. Final two "Light Floor" sheets removed</t>
  </si>
  <si>
    <t>First 17 space with  "Light Floor" the alternating with"Light Floor" and spaces .</t>
  </si>
  <si>
    <t>All Spaces with  "Light Floor".</t>
  </si>
  <si>
    <t>Alternating "Dense" and "Light Floor" for the first 24 sheets (ie 12 "dense" sheets) beginning with "dense" sheet at spires.</t>
  </si>
  <si>
    <t>mka</t>
  </si>
  <si>
    <t>mkb</t>
  </si>
  <si>
    <t>Updated readEdoxFile() to prevent error on some stations generated by WorkSheet.Find()</t>
  </si>
  <si>
    <t>Added Mean Roof Factor as per UK PLW requirment</t>
  </si>
  <si>
    <t>WNY</t>
  </si>
  <si>
    <t>Final</t>
  </si>
  <si>
    <t>Concatenate rows</t>
  </si>
  <si>
    <t>|</t>
  </si>
  <si>
    <t>v</t>
  </si>
  <si>
    <t>Concatenate columns -----------&gt;</t>
  </si>
  <si>
    <t>X:/BGEE\Wolfpoint_1601381_exported.edox</t>
  </si>
  <si>
    <t>String Length</t>
  </si>
  <si>
    <t>Hyphen Position 1</t>
  </si>
  <si>
    <t>Hyphen Position 2</t>
  </si>
  <si>
    <t>Comma Position 1</t>
  </si>
  <si>
    <t>Comma Position 2</t>
  </si>
  <si>
    <t>Hyphen Position 3</t>
  </si>
  <si>
    <t>Remove Possible Angles from sectors</t>
  </si>
  <si>
    <t>5th Angle</t>
  </si>
  <si>
    <t>6th Angle</t>
  </si>
  <si>
    <t>Convert text to number</t>
  </si>
  <si>
    <t>First Contiguous Range</t>
  </si>
  <si>
    <t>Determine Key Points in Range</t>
  </si>
  <si>
    <t>Second Contiguous Range</t>
  </si>
  <si>
    <t>Third Contiguous Range</t>
  </si>
  <si>
    <t>Assigned Sector</t>
  </si>
  <si>
    <t>Some pre-ESDUView projects may have used more than 16 angle ranges. It is possible to export these projects to ESDUView. However, these projects cannot be saved through ESDUView unless the angle ranges are reduced to 16 or fewer.</t>
  </si>
  <si>
    <t>This table calculates the the longitude and latitude in decimal degrees of the points in each sector according to the fetches.</t>
  </si>
  <si>
    <t>This table gathers the inputted fetch lengths for each sector.</t>
  </si>
  <si>
    <t>This table assembles each of the angles and their points with the proper syntax.</t>
  </si>
  <si>
    <t>This table gathers the prescribed Z0 value for each sector and assembles it with proper syntax.</t>
  </si>
  <si>
    <t>This table groups the angles based on their prescribed sectors and assembles them with the proper syntax.</t>
  </si>
  <si>
    <t>This table assembles each of the sections of the edox file and displays them for debugging. The final edox header line to be exported is assembled in cell I25</t>
  </si>
  <si>
    <t>Do NOT move this cell.</t>
  </si>
  <si>
    <t>This table is used in the automatic calculation of the angle ranges.</t>
  </si>
  <si>
    <t>########</t>
  </si>
  <si>
    <t>"to" 1</t>
  </si>
  <si>
    <t>"to" 2</t>
  </si>
  <si>
    <t>"to" 3</t>
  </si>
  <si>
    <t xml:space="preserve">Group </t>
  </si>
  <si>
    <t>Change groups with "to" into hyphen</t>
  </si>
  <si>
    <t>5/6/2016</t>
  </si>
  <si>
    <t>Fixed problem occurring in "Sector Groups" on Export Old Projects. Updated new automatic calculation of angle ranges to account for more syntax possibilities.</t>
  </si>
  <si>
    <t>MF</t>
  </si>
  <si>
    <t>Study Type</t>
  </si>
  <si>
    <t>LE</t>
  </si>
  <si>
    <t>gp=</t>
  </si>
  <si>
    <t>WT1 Profile Data</t>
  </si>
  <si>
    <t>Full Scale Heights (m)</t>
  </si>
  <si>
    <t>Model Scale Heights (in)</t>
  </si>
  <si>
    <t>Height Above/below</t>
  </si>
  <si>
    <t>ESDU Profile Data</t>
  </si>
  <si>
    <t>Windspeed (m/s)</t>
  </si>
  <si>
    <t>Average</t>
  </si>
  <si>
    <t>COV</t>
  </si>
  <si>
    <t>Suburban Factors</t>
  </si>
  <si>
    <t>On Speed</t>
  </si>
  <si>
    <t>Wind Tunnel MKa</t>
  </si>
  <si>
    <t>Wind Tunnel MKb</t>
  </si>
  <si>
    <t>added guelph PLW</t>
  </si>
  <si>
    <t>added UK PLW</t>
  </si>
  <si>
    <t>GUE PLW FACTORS</t>
  </si>
  <si>
    <t>LE FACTORS</t>
  </si>
  <si>
    <t>DIR.</t>
  </si>
  <si>
    <t>DIR</t>
  </si>
  <si>
    <t>5/31/2016</t>
  </si>
  <si>
    <t>2 minor edits: formula in cell RWDI_FACTORS!A1 and moving a "Map Instance and Rose Instance" table on Export Old Projects! Sheet</t>
  </si>
  <si>
    <t>MTB/BGEE</t>
  </si>
  <si>
    <t>Openwater India</t>
  </si>
  <si>
    <t>Open India</t>
  </si>
  <si>
    <t>Suburban india</t>
  </si>
  <si>
    <t>Urban india</t>
  </si>
  <si>
    <t>Wind Tunnel India July 2016</t>
  </si>
  <si>
    <t>ind</t>
  </si>
  <si>
    <t>Wind Tunnel India</t>
  </si>
  <si>
    <t>Half Spire</t>
  </si>
  <si>
    <t>Dark Blue</t>
  </si>
  <si>
    <t>Whitish Yellow</t>
  </si>
  <si>
    <t>yellow</t>
  </si>
  <si>
    <t>sky Blue Light</t>
  </si>
  <si>
    <t>Gap between the spires and the 0.5 inch profile sheet where it started</t>
  </si>
  <si>
    <t># of 0.5 inch sheets used after the gap</t>
  </si>
  <si>
    <t># of Plan sheet used after 0.5 inch cubes</t>
  </si>
  <si>
    <t># of 0.5 inch cube sheets used after the gap</t>
  </si>
  <si>
    <t># of 2 inch cube sheets used after the gap</t>
  </si>
  <si>
    <t># of 4 inch cube sheets used after the 2 inch cube sheets</t>
  </si>
  <si>
    <t>Spires</t>
  </si>
  <si>
    <t>Fingers</t>
  </si>
  <si>
    <t>Openwater B12</t>
  </si>
  <si>
    <t>Open B12</t>
  </si>
  <si>
    <t>Suburban B12</t>
  </si>
  <si>
    <t>Urban B12</t>
  </si>
  <si>
    <t>Iu_cobra</t>
  </si>
  <si>
    <t>Number_of_records:</t>
  </si>
  <si>
    <t>Turntable</t>
  </si>
  <si>
    <t>Calibration</t>
  </si>
  <si>
    <t>Alpha</t>
  </si>
  <si>
    <t>Descriptor</t>
  </si>
  <si>
    <t>Z</t>
  </si>
  <si>
    <t>Model Scale</t>
  </si>
  <si>
    <t>Fan Speed</t>
  </si>
  <si>
    <t xml:space="preserve">Openwater </t>
  </si>
  <si>
    <t xml:space="preserve">Open </t>
  </si>
  <si>
    <t xml:space="preserve">Suburban </t>
  </si>
  <si>
    <t xml:space="preserve">Urban </t>
  </si>
  <si>
    <t>Path</t>
  </si>
  <si>
    <t>27/09/2016</t>
  </si>
  <si>
    <t>added export macro for tunnel.ctl file</t>
  </si>
  <si>
    <t>wny</t>
  </si>
  <si>
    <t>2 inch floor</t>
  </si>
  <si>
    <t>1 inch floor</t>
  </si>
  <si>
    <t>0.5 inch floor</t>
  </si>
  <si>
    <t>0 inch floor</t>
  </si>
  <si>
    <t>Wind Tunnel A24 Feb, 2017 1:300</t>
  </si>
  <si>
    <t>Wind Tunnel A24ER</t>
  </si>
  <si>
    <t>Wind Tunnel A24LE</t>
  </si>
  <si>
    <t>Openwater A24LE</t>
  </si>
  <si>
    <t>Open A24LE</t>
  </si>
  <si>
    <t>Suburban A24LE</t>
  </si>
  <si>
    <t>Urban A24LE</t>
  </si>
  <si>
    <t>Open A24ER</t>
  </si>
  <si>
    <t>Suburban A24ER</t>
  </si>
  <si>
    <t>Urban A24ER</t>
  </si>
  <si>
    <t>A24LE</t>
  </si>
  <si>
    <t>A24ER</t>
  </si>
  <si>
    <t>2 + 3  inch floor</t>
  </si>
  <si>
    <t>OpenR14</t>
  </si>
  <si>
    <t>OpenR14 A24ER</t>
  </si>
  <si>
    <t xml:space="preserve">10 of 0.5 inch </t>
  </si>
  <si>
    <t>7 of1 inch cubes</t>
  </si>
  <si>
    <t>Profile Description</t>
  </si>
  <si>
    <t>Modified Sheets 9|10</t>
  </si>
  <si>
    <t>Sheet10-Typical Urban</t>
  </si>
  <si>
    <t>Sheet10-Heavy Urban</t>
  </si>
  <si>
    <t>Sheet9-Typical Urban</t>
  </si>
  <si>
    <t>Sheet9-Heavy Urban</t>
  </si>
  <si>
    <t>Sheets9&amp;10-Typical Urban</t>
  </si>
  <si>
    <t>Sheets9&amp;10-Heavy Urban</t>
  </si>
  <si>
    <t>Sheet9-Heavy Urban; Sheet10-Typical Urban</t>
  </si>
  <si>
    <t xml:space="preserve">Sheet9-Typical Urban; Sheet10-Heavy Urban </t>
  </si>
  <si>
    <t>Urban wtmkA</t>
  </si>
  <si>
    <t>"Dense" with extra sheet at mouth of tunnel</t>
  </si>
  <si>
    <t>Urban wtmkB</t>
  </si>
  <si>
    <t>Water Mod1 B12</t>
  </si>
  <si>
    <t>Water Mod2 B12</t>
  </si>
  <si>
    <t>Open Mod1 B12</t>
  </si>
  <si>
    <t>Open Mod2 B12</t>
  </si>
  <si>
    <t>Opsub Mod1 B12</t>
  </si>
  <si>
    <t>Opsub Mod2 B12</t>
  </si>
  <si>
    <t>Sub Mod1 B12</t>
  </si>
  <si>
    <t>Urban Mod1 B12</t>
  </si>
  <si>
    <t>Auto Water Mod1 - .5" + T10</t>
  </si>
  <si>
    <t>Auto Water Mod2 - T9 + T10</t>
  </si>
  <si>
    <t>Auto Open Mod1 - .5" + T10</t>
  </si>
  <si>
    <t>Auto Open Mod2 - T9 + T10</t>
  </si>
  <si>
    <t>OpSub Mod1 - 1" + T10</t>
  </si>
  <si>
    <t>OpSub Mod2 - T9 + T10</t>
  </si>
  <si>
    <t>Auto Sub Mod1 (2" + T10, T9+ T10)</t>
  </si>
  <si>
    <t>Urb Mod1 (2" + T10, T9+ T10)</t>
  </si>
  <si>
    <t>Opsub india</t>
  </si>
  <si>
    <t>Opsub B12</t>
  </si>
  <si>
    <t>FS Height</t>
  </si>
  <si>
    <t>gust</t>
  </si>
  <si>
    <t>Old Method</t>
  </si>
  <si>
    <t>Selected Profile Number</t>
  </si>
  <si>
    <t xml:space="preserve">Water Mod1 </t>
  </si>
  <si>
    <t xml:space="preserve">Water Mod2 </t>
  </si>
  <si>
    <t xml:space="preserve">Open Mod1 </t>
  </si>
  <si>
    <t xml:space="preserve">Open Mod2 </t>
  </si>
  <si>
    <t xml:space="preserve">Opsub Mod1 </t>
  </si>
  <si>
    <t xml:space="preserve">Opsub Mod2 </t>
  </si>
  <si>
    <t xml:space="preserve">Urban Mod1 </t>
  </si>
  <si>
    <t xml:space="preserve">Sub Mod1 </t>
  </si>
  <si>
    <t>Target Wind Speed</t>
  </si>
  <si>
    <t>Sub Mod2 B12</t>
  </si>
  <si>
    <t>Auto Sub Mod2 (2" + T9)</t>
  </si>
  <si>
    <t>inches</t>
  </si>
  <si>
    <t xml:space="preserve">Sub Mod2 </t>
  </si>
  <si>
    <t>Number of Angles</t>
  </si>
  <si>
    <t>Increment</t>
  </si>
  <si>
    <t>Error</t>
  </si>
  <si>
    <t>Profile Selection</t>
  </si>
  <si>
    <t>Wind Tunnel MKA June 2019</t>
  </si>
  <si>
    <t>Wind Tunnel MKB June 2019</t>
  </si>
  <si>
    <t xml:space="preserve">Opsub </t>
  </si>
  <si>
    <t xml:space="preserve">OpenR14 ER </t>
  </si>
  <si>
    <t xml:space="preserve">Open ER </t>
  </si>
  <si>
    <t xml:space="preserve">Suburban ER </t>
  </si>
  <si>
    <t xml:space="preserve">Urban ER </t>
  </si>
  <si>
    <t>Physical Modified Sheets</t>
  </si>
  <si>
    <t/>
  </si>
  <si>
    <t>Opsub A24LE</t>
  </si>
  <si>
    <t>OpenR14 B12ER</t>
  </si>
  <si>
    <t>Suburban B12ER</t>
  </si>
  <si>
    <t>Urban B12ER</t>
  </si>
  <si>
    <t>tunnel</t>
  </si>
  <si>
    <t>OPWATER</t>
  </si>
  <si>
    <t>OPSUB</t>
  </si>
  <si>
    <t>SUB</t>
  </si>
  <si>
    <t>URB</t>
  </si>
  <si>
    <t>OPWATERM</t>
  </si>
  <si>
    <t>OPENM</t>
  </si>
  <si>
    <t>OPSUBM</t>
  </si>
  <si>
    <t>SUBM</t>
  </si>
  <si>
    <t>URBM</t>
  </si>
  <si>
    <t>Guelph</t>
  </si>
  <si>
    <t>UK/IND</t>
  </si>
  <si>
    <t>Wind Tunnel B12 July, 2020 1:300</t>
  </si>
  <si>
    <t>low alpha</t>
  </si>
  <si>
    <t>Wind Tunnel MKB Sept 2020</t>
  </si>
  <si>
    <t>Light Urban wtmkB</t>
  </si>
  <si>
    <t>Wind Tunnel A24 oct, 2020 1:400</t>
  </si>
  <si>
    <t>Reference Height</t>
  </si>
  <si>
    <t>Wind Tunnel B12 Nov, 2020</t>
  </si>
  <si>
    <t>Wind Tunnel B12 Mod Nov, 2020</t>
  </si>
  <si>
    <t>C12</t>
  </si>
  <si>
    <t>Wind Tunnel C12</t>
  </si>
  <si>
    <t>Wind Tunnel C12 Nov, 2020</t>
  </si>
  <si>
    <t>Openwater C12</t>
  </si>
  <si>
    <t>Open C12</t>
  </si>
  <si>
    <t>Opsub C12</t>
  </si>
  <si>
    <t>Suburban C12</t>
  </si>
  <si>
    <t>Urban C12</t>
  </si>
  <si>
    <t>Wind Tunnel C12 Mod Nov, 2020</t>
  </si>
  <si>
    <t>Water Mod1 C12</t>
  </si>
  <si>
    <t>Water Mod2 C12</t>
  </si>
  <si>
    <t>Open Mod1 C12</t>
  </si>
  <si>
    <t>Open Mod2 C12</t>
  </si>
  <si>
    <t>Opsub Mod1 C12</t>
  </si>
  <si>
    <t>Opsub Mod2 C12</t>
  </si>
  <si>
    <t>Sub Mod1 C12</t>
  </si>
  <si>
    <t>Sub Mod2 C12</t>
  </si>
  <si>
    <t>Urban Mod1 C12</t>
  </si>
  <si>
    <t>Light Urban</t>
  </si>
  <si>
    <t>WT alpha =</t>
  </si>
  <si>
    <t>10-30</t>
  </si>
  <si>
    <t>40-60</t>
  </si>
  <si>
    <t>70-90</t>
  </si>
  <si>
    <t>100-120</t>
  </si>
  <si>
    <t>130-150</t>
  </si>
  <si>
    <t>160-180.</t>
  </si>
  <si>
    <t>190-210</t>
  </si>
  <si>
    <t>220-240</t>
  </si>
  <si>
    <t>250-270</t>
  </si>
  <si>
    <t>280-300</t>
  </si>
  <si>
    <t>310-330</t>
  </si>
  <si>
    <t>340-360</t>
  </si>
  <si>
    <t>LURB</t>
  </si>
  <si>
    <t>LURBM</t>
  </si>
  <si>
    <t xml:space="preserve">Light Urban </t>
  </si>
  <si>
    <t xml:space="preserve"> est. effective U*</t>
  </si>
  <si>
    <t>est. effective Zo</t>
  </si>
  <si>
    <t>f</t>
  </si>
  <si>
    <t>C:\Users\wny\Desktop\ESDUC12</t>
  </si>
  <si>
    <t>Light Urban C12</t>
  </si>
  <si>
    <r>
      <t>z</t>
    </r>
    <r>
      <rPr>
        <vertAlign val="subscript"/>
        <sz val="10"/>
        <rFont val="Arial"/>
        <family val="2"/>
      </rPr>
      <t xml:space="preserve">06 </t>
    </r>
    <r>
      <rPr>
        <sz val="10"/>
        <rFont val="Arial"/>
        <family val="2"/>
      </rPr>
      <t>(m)</t>
    </r>
  </si>
  <si>
    <r>
      <t>x6</t>
    </r>
    <r>
      <rPr>
        <sz val="10"/>
        <rFont val="Arial"/>
        <family val="2"/>
      </rPr>
      <t xml:space="preserve"> (m)</t>
    </r>
  </si>
  <si>
    <t>B12ER</t>
  </si>
  <si>
    <t>Wind Tunnel B12ER</t>
  </si>
  <si>
    <t>B12LE</t>
  </si>
  <si>
    <t>Wind Tunnel B12LE</t>
  </si>
  <si>
    <t>Light Urban B12</t>
  </si>
  <si>
    <t>est. effective Kz (ASCE)</t>
  </si>
  <si>
    <t>std ASCE Kz</t>
  </si>
  <si>
    <t>-</t>
  </si>
  <si>
    <r>
      <t>U</t>
    </r>
    <r>
      <rPr>
        <vertAlign val="subscript"/>
        <sz val="10"/>
        <color indexed="14"/>
        <rFont val="Arial"/>
        <family val="2"/>
      </rPr>
      <t>600m</t>
    </r>
    <r>
      <rPr>
        <sz val="10"/>
        <color indexed="14"/>
        <rFont val="Arial"/>
        <family val="2"/>
      </rPr>
      <t>/U5</t>
    </r>
    <r>
      <rPr>
        <vertAlign val="subscript"/>
        <sz val="10"/>
        <color indexed="14"/>
        <rFont val="Arial"/>
        <family val="2"/>
      </rPr>
      <t>0m</t>
    </r>
  </si>
  <si>
    <r>
      <t>Simple A</t>
    </r>
    <r>
      <rPr>
        <sz val="10"/>
        <color indexed="14"/>
        <rFont val="Arial"/>
        <family val="2"/>
      </rPr>
      <t>lpha (based on U600m and U50m only)</t>
    </r>
  </si>
  <si>
    <t>Light Urban wtmkA</t>
  </si>
  <si>
    <t>Light Urban A24LE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</si>
</sst>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
    <numFmt numFmtId="166" formatCode="0.00000"/>
    <numFmt numFmtId="167" formatCode="0.000"/>
    <numFmt numFmtId="168" formatCode="[$-409]mmmm\ d\,\ yyyy;@"/>
    <numFmt numFmtId="169" formatCode="[$$-1009]\ #,##0"/>
    <numFmt numFmtId="170" formatCode="0.000000"/>
    <numFmt numFmtId="171" formatCode="[$-F800]dddd\,\ mmmm\ dd\,\ yyyy"/>
    <numFmt numFmtId="172" formatCode="0.0000000"/>
    <numFmt numFmtId="173" formatCode="[$-409]dd\-mmm\-yy;@"/>
  </numFmts>
  <fonts count="11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i/>
      <sz val="10"/>
      <name val="Arial"/>
      <family val="2"/>
    </font>
    <font>
      <vertAlign val="subscript"/>
      <sz val="10"/>
      <name val="Arial"/>
      <family val="2"/>
    </font>
    <font>
      <sz val="10"/>
      <name val="Arial"/>
      <family val="2"/>
    </font>
    <font>
      <i/>
      <vertAlign val="subscript"/>
      <sz val="10"/>
      <name val="Arial"/>
      <family val="2"/>
    </font>
    <font>
      <sz val="9"/>
      <name val="Arial"/>
      <family val="2"/>
    </font>
    <font>
      <b/>
      <sz val="10"/>
      <name val="Arial"/>
      <family val="2"/>
    </font>
    <font>
      <i/>
      <vertAlign val="superscript"/>
      <sz val="10"/>
      <name val="Arial"/>
      <family val="2"/>
    </font>
    <font>
      <b/>
      <i/>
      <vertAlign val="superscript"/>
      <sz val="10"/>
      <name val="Arial"/>
      <family val="2"/>
    </font>
    <font>
      <b/>
      <i/>
      <sz val="10"/>
      <name val="Arial"/>
      <family val="2"/>
    </font>
    <font>
      <b/>
      <i/>
      <vertAlign val="subscript"/>
      <sz val="10"/>
      <name val="Arial"/>
      <family val="2"/>
    </font>
    <font>
      <sz val="8"/>
      <color indexed="81"/>
      <name val="Tahoma"/>
      <family val="2"/>
    </font>
    <font>
      <sz val="8"/>
      <name val="Arial"/>
      <family val="2"/>
    </font>
    <font>
      <b/>
      <sz val="12"/>
      <name val="Arial"/>
      <family val="2"/>
    </font>
    <font>
      <b/>
      <vertAlign val="superscript"/>
      <sz val="10"/>
      <name val="Arial"/>
      <family val="2"/>
    </font>
    <font>
      <sz val="10"/>
      <color indexed="8"/>
      <name val="Arial"/>
      <family val="2"/>
    </font>
    <font>
      <sz val="10"/>
      <color indexed="9"/>
      <name val="Arial"/>
      <family val="2"/>
    </font>
    <font>
      <sz val="10"/>
      <name val="Symbol"/>
      <family val="1"/>
      <charset val="2"/>
    </font>
    <font>
      <i/>
      <sz val="10"/>
      <color indexed="10"/>
      <name val="Arial"/>
      <family val="2"/>
    </font>
    <font>
      <sz val="8"/>
      <color indexed="10"/>
      <name val="Arial"/>
      <family val="2"/>
    </font>
    <font>
      <sz val="8"/>
      <color indexed="57"/>
      <name val="Arial"/>
      <family val="2"/>
    </font>
    <font>
      <sz val="10"/>
      <color indexed="10"/>
      <name val="Arial"/>
      <family val="2"/>
    </font>
    <font>
      <vertAlign val="subscript"/>
      <sz val="8"/>
      <color indexed="81"/>
      <name val="Tahoma"/>
      <family val="2"/>
    </font>
    <font>
      <vertAlign val="subscript"/>
      <sz val="9"/>
      <color indexed="81"/>
      <name val="Tahoma"/>
      <family val="2"/>
    </font>
    <font>
      <i/>
      <sz val="8"/>
      <color indexed="81"/>
      <name val="Tahoma"/>
      <family val="2"/>
    </font>
    <font>
      <i/>
      <vertAlign val="subscript"/>
      <sz val="9"/>
      <color indexed="81"/>
      <name val="Tahoma"/>
      <family val="2"/>
    </font>
    <font>
      <sz val="10"/>
      <color indexed="39"/>
      <name val="Arial"/>
      <family val="2"/>
    </font>
    <font>
      <sz val="8"/>
      <color indexed="81"/>
      <name val="Arial"/>
      <family val="2"/>
    </font>
    <font>
      <vertAlign val="subscript"/>
      <sz val="9"/>
      <color indexed="81"/>
      <name val="Arial"/>
      <family val="2"/>
    </font>
    <font>
      <vertAlign val="subscript"/>
      <sz val="8"/>
      <color indexed="81"/>
      <name val="Arial"/>
      <family val="2"/>
    </font>
    <font>
      <sz val="10"/>
      <color indexed="12"/>
      <name val="Arial"/>
      <family val="2"/>
    </font>
    <font>
      <vertAlign val="subscript"/>
      <sz val="10"/>
      <color indexed="12"/>
      <name val="Arial"/>
      <family val="2"/>
    </font>
    <font>
      <b/>
      <sz val="10"/>
      <color indexed="10"/>
      <name val="Arial"/>
      <family val="2"/>
    </font>
    <font>
      <sz val="8"/>
      <color indexed="8"/>
      <name val="Arial"/>
      <family val="2"/>
    </font>
    <font>
      <sz val="10"/>
      <color indexed="41"/>
      <name val="Arial"/>
      <family val="2"/>
    </font>
    <font>
      <sz val="8"/>
      <color indexed="12"/>
      <name val="Arial"/>
      <family val="2"/>
    </font>
    <font>
      <sz val="8"/>
      <color indexed="53"/>
      <name val="Arial"/>
      <family val="2"/>
    </font>
    <font>
      <vertAlign val="subscript"/>
      <sz val="8"/>
      <color indexed="12"/>
      <name val="Arial"/>
      <family val="2"/>
    </font>
    <font>
      <b/>
      <vertAlign val="subscript"/>
      <sz val="10"/>
      <name val="Arial"/>
      <family val="2"/>
    </font>
    <font>
      <b/>
      <sz val="10"/>
      <color indexed="8"/>
      <name val="Arial"/>
      <family val="2"/>
    </font>
    <font>
      <vertAlign val="subscript"/>
      <sz val="8"/>
      <name val="Arial"/>
      <family val="2"/>
    </font>
    <font>
      <vertAlign val="subscript"/>
      <sz val="11"/>
      <name val="Arial"/>
      <family val="2"/>
    </font>
    <font>
      <vertAlign val="subscript"/>
      <sz val="10"/>
      <color indexed="81"/>
      <name val="Tahoma"/>
      <family val="2"/>
    </font>
    <font>
      <b/>
      <u/>
      <sz val="10"/>
      <name val="Arial"/>
      <family val="2"/>
    </font>
    <font>
      <b/>
      <sz val="14"/>
      <name val="Arial"/>
      <family val="2"/>
    </font>
    <font>
      <b/>
      <sz val="9"/>
      <name val="Arial"/>
      <family val="2"/>
    </font>
    <font>
      <u/>
      <sz val="10"/>
      <name val="Arial"/>
      <family val="2"/>
    </font>
    <font>
      <sz val="10"/>
      <color indexed="14"/>
      <name val="Arial"/>
      <family val="2"/>
    </font>
    <font>
      <vertAlign val="subscript"/>
      <sz val="10"/>
      <color indexed="14"/>
      <name val="Arial"/>
      <family val="2"/>
    </font>
    <font>
      <b/>
      <sz val="10"/>
      <color indexed="14"/>
      <name val="Arial"/>
      <family val="2"/>
    </font>
    <font>
      <sz val="10"/>
      <color indexed="55"/>
      <name val="Arial"/>
      <family val="2"/>
    </font>
    <font>
      <b/>
      <sz val="10"/>
      <color indexed="55"/>
      <name val="Arial"/>
      <family val="2"/>
    </font>
    <font>
      <b/>
      <sz val="9"/>
      <color indexed="55"/>
      <name val="Arial"/>
      <family val="2"/>
    </font>
    <font>
      <sz val="10"/>
      <color indexed="81"/>
      <name val="Tahoma"/>
      <family val="2"/>
    </font>
    <font>
      <b/>
      <sz val="10"/>
      <color indexed="81"/>
      <name val="Tahoma"/>
      <family val="2"/>
    </font>
    <font>
      <b/>
      <sz val="8"/>
      <color indexed="81"/>
      <name val="Tahoma"/>
      <family val="2"/>
    </font>
    <font>
      <b/>
      <sz val="11"/>
      <name val="Arial"/>
      <family val="2"/>
    </font>
    <font>
      <b/>
      <sz val="11"/>
      <name val="Times New Roman"/>
      <family val="1"/>
    </font>
    <font>
      <i/>
      <sz val="10"/>
      <color indexed="48"/>
      <name val="Arial"/>
      <family val="2"/>
    </font>
    <font>
      <b/>
      <u/>
      <sz val="12"/>
      <name val="Arial"/>
      <family val="2"/>
    </font>
    <font>
      <b/>
      <sz val="10"/>
      <color indexed="9"/>
      <name val="Arial"/>
      <family val="2"/>
    </font>
    <font>
      <b/>
      <sz val="12"/>
      <color indexed="9"/>
      <name val="Arial"/>
      <family val="2"/>
    </font>
    <font>
      <sz val="11"/>
      <color indexed="81"/>
      <name val="Tahoma"/>
      <family val="2"/>
    </font>
    <font>
      <b/>
      <sz val="11"/>
      <color indexed="81"/>
      <name val="Tahoma"/>
      <family val="2"/>
    </font>
    <font>
      <sz val="12"/>
      <name val="Arial"/>
      <family val="2"/>
    </font>
    <font>
      <sz val="7"/>
      <name val="Arial"/>
      <family val="2"/>
    </font>
    <font>
      <b/>
      <sz val="18"/>
      <name val="Arial"/>
      <family val="2"/>
    </font>
    <font>
      <sz val="14"/>
      <name val="Arial"/>
      <family val="2"/>
    </font>
    <font>
      <sz val="10"/>
      <color theme="0"/>
      <name val="Arial"/>
      <family val="2"/>
    </font>
    <font>
      <b/>
      <sz val="18"/>
      <color theme="0"/>
      <name val="Arial"/>
      <family val="2"/>
    </font>
    <font>
      <b/>
      <sz val="10"/>
      <color theme="4"/>
      <name val="Arial"/>
      <family val="2"/>
    </font>
    <font>
      <sz val="10"/>
      <color theme="4"/>
      <name val="Arial"/>
      <family val="2"/>
    </font>
    <font>
      <sz val="10"/>
      <color rgb="FFFF0000"/>
      <name val="Arial"/>
      <family val="2"/>
    </font>
    <font>
      <b/>
      <sz val="14"/>
      <name val="Calibri"/>
      <family val="2"/>
      <scheme val="minor"/>
    </font>
    <font>
      <b/>
      <sz val="14"/>
      <color theme="1"/>
      <name val="Calibri"/>
      <family val="2"/>
      <scheme val="minor"/>
    </font>
    <font>
      <i/>
      <sz val="9"/>
      <color theme="4"/>
      <name val="Arial"/>
      <family val="2"/>
    </font>
    <font>
      <b/>
      <i/>
      <sz val="14"/>
      <name val="Arial"/>
      <family val="2"/>
    </font>
    <font>
      <sz val="9"/>
      <color indexed="81"/>
      <name val="Tahoma"/>
      <family val="2"/>
    </font>
    <font>
      <sz val="10"/>
      <color rgb="FF0000FF"/>
      <name val="Arial"/>
      <family val="2"/>
    </font>
    <font>
      <sz val="10"/>
      <color rgb="FF000000"/>
      <name val="Arial"/>
      <family val="2"/>
    </font>
    <font>
      <sz val="8"/>
      <color rgb="FF000000"/>
      <name val="Tahoma"/>
      <family val="2"/>
    </font>
    <font>
      <sz val="12"/>
      <color rgb="FF0000FF"/>
      <name val="Arial"/>
      <family val="2"/>
    </font>
    <font>
      <sz val="10"/>
      <color theme="1"/>
      <name val="Arial"/>
      <family val="2"/>
    </font>
    <font>
      <b/>
      <sz val="12"/>
      <name val="Calibri"/>
      <family val="2"/>
      <scheme val="minor"/>
    </font>
    <font>
      <b/>
      <sz val="16"/>
      <name val="Arial"/>
      <family val="2"/>
    </font>
    <font>
      <b/>
      <sz val="12"/>
      <name val="Times New Roman"/>
      <family val="1"/>
    </font>
    <font>
      <b/>
      <u/>
      <sz val="12"/>
      <name val="Times New Roman"/>
      <family val="1"/>
    </font>
    <font>
      <b/>
      <sz val="12"/>
      <color rgb="FFFF0000"/>
      <name val="Arial"/>
      <family val="2"/>
    </font>
    <font>
      <sz val="14"/>
      <color indexed="81"/>
      <name val="Tahoma"/>
      <family val="2"/>
    </font>
    <font>
      <b/>
      <sz val="12"/>
      <color indexed="81"/>
      <name val="Tahoma"/>
      <family val="2"/>
    </font>
    <font>
      <sz val="11"/>
      <name val="Arial"/>
      <family val="2"/>
    </font>
    <font>
      <b/>
      <sz val="20"/>
      <name val="Arial"/>
      <family val="2"/>
    </font>
    <font>
      <b/>
      <sz val="10"/>
      <color rgb="FFFF0000"/>
      <name val="Arial"/>
      <family val="2"/>
    </font>
    <font>
      <b/>
      <sz val="11"/>
      <color rgb="FFFF0000"/>
      <name val="Arial"/>
      <family val="2"/>
    </font>
    <font>
      <b/>
      <sz val="10"/>
      <color theme="1"/>
      <name val="Arial"/>
      <family val="2"/>
    </font>
    <font>
      <sz val="6"/>
      <name val="Arial"/>
      <family val="2"/>
    </font>
    <font>
      <b/>
      <sz val="10"/>
      <color rgb="FF0000FF"/>
      <name val="Arial"/>
      <family val="2"/>
    </font>
    <font>
      <sz val="12"/>
      <name val="Times New Roman"/>
      <family val="1"/>
    </font>
    <font>
      <b/>
      <sz val="9"/>
      <color indexed="81"/>
      <name val="Tahoma"/>
      <family val="2"/>
    </font>
    <font>
      <b/>
      <sz val="11"/>
      <color indexed="81"/>
      <name val="Arial"/>
      <family val="2"/>
    </font>
    <font>
      <sz val="11"/>
      <color indexed="81"/>
      <name val="Arial"/>
      <family val="2"/>
    </font>
    <font>
      <sz val="10"/>
      <color indexed="81"/>
      <name val="Arial"/>
      <family val="2"/>
    </font>
    <font>
      <b/>
      <sz val="10"/>
      <color indexed="81"/>
      <name val="Arial"/>
      <family val="2"/>
    </font>
    <font>
      <b/>
      <sz val="10"/>
      <color theme="0"/>
      <name val="Arial"/>
      <family val="2"/>
    </font>
    <font>
      <b/>
      <sz val="9.5"/>
      <name val="Arial"/>
      <family val="2"/>
    </font>
    <font>
      <b/>
      <sz val="14"/>
      <color theme="0"/>
      <name val="Calibri"/>
      <family val="2"/>
      <scheme val="minor"/>
    </font>
    <font>
      <sz val="11"/>
      <name val="Calibri"/>
      <family val="2"/>
      <scheme val="minor"/>
    </font>
    <font>
      <sz val="11"/>
      <color rgb="FF000000"/>
      <name val="Calibri"/>
      <family val="2"/>
    </font>
    <font>
      <b/>
      <sz val="15"/>
      <name val="Arial"/>
      <family val="2"/>
    </font>
    <font>
      <sz val="10"/>
      <name val="Open Sans"/>
      <family val="2"/>
    </font>
  </fonts>
  <fills count="49">
    <fill>
      <patternFill patternType="none"/>
    </fill>
    <fill>
      <patternFill patternType="gray125"/>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
      <patternFill patternType="solid">
        <fgColor indexed="43"/>
        <bgColor indexed="64"/>
      </patternFill>
    </fill>
    <fill>
      <patternFill patternType="solid">
        <fgColor indexed="15"/>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53"/>
        <bgColor indexed="64"/>
      </patternFill>
    </fill>
    <fill>
      <patternFill patternType="solid">
        <fgColor indexed="45"/>
        <bgColor indexed="64"/>
      </patternFill>
    </fill>
    <fill>
      <patternFill patternType="solid">
        <fgColor indexed="10"/>
        <bgColor indexed="64"/>
      </patternFill>
    </fill>
    <fill>
      <patternFill patternType="solid">
        <fgColor rgb="FFFFFF00"/>
        <bgColor indexed="64"/>
      </patternFill>
    </fill>
    <fill>
      <patternFill patternType="solid">
        <fgColor theme="9"/>
        <bgColor indexed="64"/>
      </patternFill>
    </fill>
    <fill>
      <patternFill patternType="solid">
        <fgColor rgb="FFFFC000"/>
        <bgColor indexed="64"/>
      </patternFill>
    </fill>
    <fill>
      <patternFill patternType="solid">
        <fgColor theme="1"/>
        <bgColor indexed="64"/>
      </patternFill>
    </fill>
    <fill>
      <patternFill patternType="solid">
        <fgColor theme="0" tint="-0.34998626667073579"/>
        <bgColor indexed="64"/>
      </patternFill>
    </fill>
    <fill>
      <patternFill patternType="solid">
        <fgColor rgb="FF66FFFF"/>
        <bgColor indexed="64"/>
      </patternFill>
    </fill>
    <fill>
      <patternFill patternType="solid">
        <fgColor theme="9" tint="-0.249977111117893"/>
        <bgColor indexed="64"/>
      </patternFill>
    </fill>
    <fill>
      <patternFill patternType="solid">
        <fgColor theme="0" tint="-0.49998474074526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00B0F0"/>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rgb="FF92D05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rgb="FF00FFFF"/>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0070C0"/>
        <bgColor indexed="64"/>
      </patternFill>
    </fill>
    <fill>
      <patternFill patternType="solid">
        <fgColor theme="6" tint="-0.499984740745262"/>
        <bgColor indexed="64"/>
      </patternFill>
    </fill>
    <fill>
      <patternFill patternType="solid">
        <fgColor theme="8" tint="0.39997558519241921"/>
        <bgColor indexed="64"/>
      </patternFill>
    </fill>
    <fill>
      <patternFill patternType="solid">
        <fgColor rgb="FFFF0000"/>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rgb="FF00B050"/>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double">
        <color indexed="11"/>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s>
  <cellStyleXfs count="23">
    <xf numFmtId="0" fontId="0" fillId="0" borderId="0"/>
    <xf numFmtId="9" fontId="5" fillId="0" borderId="0" applyFont="0" applyFill="0" applyBorder="0" applyAlignment="0" applyProtection="0"/>
    <xf numFmtId="0" fontId="5" fillId="0" borderId="0"/>
    <xf numFmtId="3" fontId="5" fillId="0" borderId="0"/>
    <xf numFmtId="169" fontId="5" fillId="0" borderId="0"/>
    <xf numFmtId="14" fontId="5" fillId="0" borderId="0"/>
    <xf numFmtId="2" fontId="5" fillId="0" borderId="0"/>
    <xf numFmtId="0" fontId="71" fillId="0" borderId="0"/>
    <xf numFmtId="0" fontId="18" fillId="0" borderId="0"/>
    <xf numFmtId="0" fontId="4" fillId="0" borderId="0"/>
    <xf numFmtId="0" fontId="4" fillId="0" borderId="0"/>
    <xf numFmtId="0" fontId="4" fillId="0" borderId="0"/>
    <xf numFmtId="0" fontId="4" fillId="0" borderId="0"/>
    <xf numFmtId="0" fontId="5" fillId="0" borderId="0"/>
    <xf numFmtId="10" fontId="5" fillId="0" borderId="0"/>
    <xf numFmtId="9" fontId="5" fillId="0" borderId="0" applyFont="0" applyFill="0" applyBorder="0" applyAlignment="0" applyProtection="0"/>
    <xf numFmtId="0" fontId="5" fillId="0" borderId="44"/>
    <xf numFmtId="0" fontId="3" fillId="0" borderId="0"/>
    <xf numFmtId="0" fontId="3" fillId="0" borderId="0"/>
    <xf numFmtId="0" fontId="3" fillId="0" borderId="0"/>
    <xf numFmtId="0" fontId="3" fillId="0" borderId="0"/>
    <xf numFmtId="0" fontId="2" fillId="0" borderId="0"/>
    <xf numFmtId="0" fontId="1" fillId="0" borderId="0"/>
  </cellStyleXfs>
  <cellXfs count="1298">
    <xf numFmtId="0" fontId="0" fillId="0" borderId="0" xfId="0"/>
    <xf numFmtId="0" fontId="0" fillId="2" borderId="0" xfId="0" applyFill="1" applyAlignment="1">
      <alignment horizontal="center"/>
    </xf>
    <xf numFmtId="0" fontId="0" fillId="2" borderId="0" xfId="0" applyFill="1"/>
    <xf numFmtId="0" fontId="0" fillId="2" borderId="0" xfId="0" applyFill="1" applyBorder="1" applyAlignment="1">
      <alignment horizontal="center"/>
    </xf>
    <xf numFmtId="0" fontId="0" fillId="2" borderId="0" xfId="0" applyFill="1" applyBorder="1"/>
    <xf numFmtId="0" fontId="0" fillId="2" borderId="0" xfId="0" applyFill="1" applyBorder="1" applyAlignment="1">
      <alignment horizontal="centerContinuous" vertical="center"/>
    </xf>
    <xf numFmtId="0" fontId="0" fillId="2" borderId="0" xfId="0" applyFill="1" applyBorder="1" applyAlignment="1">
      <alignment vertical="center"/>
    </xf>
    <xf numFmtId="0" fontId="0" fillId="0" borderId="1" xfId="0" applyFill="1" applyBorder="1" applyAlignment="1">
      <alignment horizontal="center"/>
    </xf>
    <xf numFmtId="0" fontId="0" fillId="0" borderId="2"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0" fillId="0" borderId="7" xfId="0" applyFill="1" applyBorder="1" applyAlignment="1">
      <alignment horizontal="center"/>
    </xf>
    <xf numFmtId="0" fontId="6" fillId="0" borderId="2" xfId="0" applyFont="1" applyFill="1" applyBorder="1" applyAlignment="1">
      <alignment horizontal="center"/>
    </xf>
    <xf numFmtId="0" fontId="6" fillId="0" borderId="6" xfId="0" applyFont="1" applyFill="1" applyBorder="1" applyAlignment="1">
      <alignment horizontal="center"/>
    </xf>
    <xf numFmtId="0" fontId="0" fillId="0" borderId="8" xfId="0"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0" fontId="8" fillId="0" borderId="2" xfId="0" applyFont="1" applyFill="1" applyBorder="1" applyAlignment="1">
      <alignment horizontal="center"/>
    </xf>
    <xf numFmtId="0" fontId="8" fillId="0" borderId="6" xfId="0" applyFont="1" applyFill="1" applyBorder="1" applyAlignment="1">
      <alignment horizontal="center"/>
    </xf>
    <xf numFmtId="0" fontId="6" fillId="2" borderId="0" xfId="0" applyFont="1" applyFill="1" applyAlignment="1">
      <alignment horizontal="center"/>
    </xf>
    <xf numFmtId="0" fontId="12" fillId="2" borderId="0" xfId="0" applyFont="1" applyFill="1" applyAlignment="1">
      <alignment horizontal="center"/>
    </xf>
    <xf numFmtId="0" fontId="0" fillId="0" borderId="0" xfId="0" applyFill="1" applyBorder="1" applyAlignment="1">
      <alignment horizontal="center"/>
    </xf>
    <xf numFmtId="0" fontId="0" fillId="0" borderId="10" xfId="0" applyFill="1" applyBorder="1" applyAlignment="1">
      <alignment horizontal="right"/>
    </xf>
    <xf numFmtId="0" fontId="0" fillId="0" borderId="11" xfId="0" applyFill="1" applyBorder="1" applyAlignment="1">
      <alignment horizontal="center"/>
    </xf>
    <xf numFmtId="0" fontId="6" fillId="0" borderId="0" xfId="0" applyFont="1" applyFill="1" applyBorder="1" applyAlignment="1">
      <alignment horizontal="center"/>
    </xf>
    <xf numFmtId="0" fontId="0" fillId="0" borderId="12" xfId="0" applyFill="1" applyBorder="1" applyAlignment="1">
      <alignment horizontal="center"/>
    </xf>
    <xf numFmtId="0" fontId="0" fillId="3" borderId="1" xfId="0" applyFill="1" applyBorder="1" applyAlignment="1">
      <alignment horizontal="center"/>
    </xf>
    <xf numFmtId="0" fontId="0" fillId="2" borderId="13" xfId="0" applyFill="1" applyBorder="1" applyAlignment="1">
      <alignment horizontal="center"/>
    </xf>
    <xf numFmtId="0" fontId="0" fillId="3" borderId="2" xfId="0" applyFill="1" applyBorder="1" applyAlignment="1">
      <alignment horizontal="center"/>
    </xf>
    <xf numFmtId="0" fontId="10" fillId="3" borderId="14" xfId="0" applyFont="1" applyFill="1" applyBorder="1" applyAlignment="1">
      <alignment horizontal="left"/>
    </xf>
    <xf numFmtId="0" fontId="0" fillId="3" borderId="15" xfId="0" applyFill="1" applyBorder="1" applyAlignment="1">
      <alignment horizontal="center"/>
    </xf>
    <xf numFmtId="0" fontId="0" fillId="3" borderId="13" xfId="0" applyFill="1" applyBorder="1" applyAlignment="1">
      <alignment horizontal="center"/>
    </xf>
    <xf numFmtId="0" fontId="0" fillId="3" borderId="7" xfId="0" applyFill="1" applyBorder="1" applyAlignment="1">
      <alignment horizontal="center"/>
    </xf>
    <xf numFmtId="0" fontId="0" fillId="2" borderId="15" xfId="0" applyFill="1" applyBorder="1" applyAlignment="1">
      <alignment horizontal="center"/>
    </xf>
    <xf numFmtId="0" fontId="8" fillId="0" borderId="3" xfId="0" applyFont="1" applyFill="1" applyBorder="1" applyAlignment="1">
      <alignment horizontal="center"/>
    </xf>
    <xf numFmtId="0" fontId="8" fillId="0" borderId="7" xfId="0" applyFont="1" applyFill="1" applyBorder="1" applyAlignment="1">
      <alignment horizontal="center"/>
    </xf>
    <xf numFmtId="0" fontId="6" fillId="0" borderId="3" xfId="0" applyFont="1" applyFill="1" applyBorder="1" applyAlignment="1">
      <alignment horizontal="center"/>
    </xf>
    <xf numFmtId="0" fontId="6" fillId="0" borderId="7" xfId="0" applyFont="1" applyFill="1" applyBorder="1" applyAlignment="1">
      <alignment horizontal="center"/>
    </xf>
    <xf numFmtId="0" fontId="10" fillId="3" borderId="13" xfId="0" applyFont="1" applyFill="1" applyBorder="1" applyAlignment="1">
      <alignment horizontal="center"/>
    </xf>
    <xf numFmtId="0" fontId="0" fillId="0" borderId="0" xfId="0" applyFill="1" applyBorder="1" applyAlignment="1">
      <alignment horizontal="left"/>
    </xf>
    <xf numFmtId="0" fontId="8" fillId="0" borderId="0" xfId="0" applyFont="1" applyFill="1" applyBorder="1" applyAlignment="1">
      <alignment horizontal="center"/>
    </xf>
    <xf numFmtId="0" fontId="0" fillId="2" borderId="11" xfId="0" applyFill="1" applyBorder="1" applyAlignment="1">
      <alignment horizontal="center"/>
    </xf>
    <xf numFmtId="0" fontId="8" fillId="0" borderId="10" xfId="0" applyFont="1" applyFill="1" applyBorder="1" applyAlignment="1">
      <alignment horizontal="right"/>
    </xf>
    <xf numFmtId="0" fontId="12" fillId="0" borderId="0" xfId="0" applyFont="1" applyFill="1" applyBorder="1" applyAlignment="1">
      <alignment horizontal="center"/>
    </xf>
    <xf numFmtId="0" fontId="11" fillId="0" borderId="10" xfId="0" applyFont="1" applyFill="1" applyBorder="1" applyAlignment="1">
      <alignment horizontal="left"/>
    </xf>
    <xf numFmtId="0" fontId="12" fillId="2" borderId="0" xfId="0" applyFont="1" applyFill="1" applyAlignment="1">
      <alignment horizontal="right"/>
    </xf>
    <xf numFmtId="0" fontId="0" fillId="2" borderId="0" xfId="0" applyFill="1" applyAlignment="1">
      <alignment horizontal="right"/>
    </xf>
    <xf numFmtId="0" fontId="0" fillId="0" borderId="9" xfId="0" applyFill="1" applyBorder="1" applyAlignment="1">
      <alignment horizontal="right"/>
    </xf>
    <xf numFmtId="0" fontId="8" fillId="0" borderId="11" xfId="0" applyFont="1" applyFill="1" applyBorder="1" applyAlignment="1">
      <alignment horizontal="center"/>
    </xf>
    <xf numFmtId="0" fontId="11" fillId="2" borderId="0" xfId="0" applyFont="1" applyFill="1" applyAlignment="1">
      <alignment horizontal="left"/>
    </xf>
    <xf numFmtId="0" fontId="11" fillId="2" borderId="0" xfId="0" applyFont="1" applyFill="1" applyAlignment="1">
      <alignment horizontal="right"/>
    </xf>
    <xf numFmtId="164" fontId="8" fillId="0" borderId="0" xfId="0" applyNumberFormat="1" applyFont="1" applyFill="1" applyBorder="1" applyAlignment="1">
      <alignment horizontal="center"/>
    </xf>
    <xf numFmtId="165" fontId="8" fillId="0" borderId="0" xfId="0" applyNumberFormat="1" applyFont="1" applyFill="1" applyBorder="1" applyAlignment="1">
      <alignment horizontal="center"/>
    </xf>
    <xf numFmtId="165" fontId="12" fillId="0" borderId="0" xfId="0" applyNumberFormat="1" applyFont="1" applyFill="1" applyBorder="1" applyAlignment="1">
      <alignment horizontal="center"/>
    </xf>
    <xf numFmtId="0" fontId="8" fillId="0" borderId="4" xfId="0" applyFont="1" applyFill="1" applyBorder="1" applyAlignment="1">
      <alignment horizontal="center"/>
    </xf>
    <xf numFmtId="0" fontId="20" fillId="0" borderId="2" xfId="0" applyFont="1" applyFill="1" applyBorder="1" applyAlignment="1">
      <alignment horizontal="center"/>
    </xf>
    <xf numFmtId="0" fontId="0" fillId="0" borderId="0" xfId="0" applyAlignment="1">
      <alignment horizontal="center"/>
    </xf>
    <xf numFmtId="0" fontId="17" fillId="0" borderId="10" xfId="0" applyFont="1" applyFill="1" applyBorder="1" applyAlignment="1">
      <alignment horizontal="right"/>
    </xf>
    <xf numFmtId="0" fontId="0" fillId="0" borderId="14" xfId="0" applyFill="1" applyBorder="1" applyAlignment="1">
      <alignment horizontal="center"/>
    </xf>
    <xf numFmtId="0" fontId="21" fillId="0" borderId="6" xfId="0" applyFont="1" applyFill="1" applyBorder="1" applyAlignment="1">
      <alignment horizontal="center"/>
    </xf>
    <xf numFmtId="0" fontId="11" fillId="2" borderId="0" xfId="0" applyFont="1" applyFill="1" applyAlignment="1">
      <alignment horizontal="center"/>
    </xf>
    <xf numFmtId="0" fontId="24" fillId="2" borderId="11" xfId="0" applyFont="1" applyFill="1" applyBorder="1" applyAlignment="1">
      <alignment horizontal="left"/>
    </xf>
    <xf numFmtId="0" fontId="0" fillId="2" borderId="11" xfId="0" applyFill="1" applyBorder="1"/>
    <xf numFmtId="0" fontId="0" fillId="4" borderId="0" xfId="0" applyFill="1" applyBorder="1" applyAlignment="1">
      <alignment horizontal="center"/>
    </xf>
    <xf numFmtId="0" fontId="0" fillId="4" borderId="5" xfId="0" applyFill="1" applyBorder="1" applyAlignment="1">
      <alignment horizontal="center"/>
    </xf>
    <xf numFmtId="0" fontId="17" fillId="0" borderId="4" xfId="0" applyFont="1" applyFill="1" applyBorder="1" applyAlignment="1">
      <alignment horizontal="center"/>
    </xf>
    <xf numFmtId="0" fontId="0" fillId="0" borderId="4" xfId="0" applyFill="1" applyBorder="1" applyAlignment="1">
      <alignment horizontal="left"/>
    </xf>
    <xf numFmtId="0" fontId="6" fillId="0" borderId="5" xfId="0" applyFont="1" applyFill="1" applyBorder="1" applyAlignment="1">
      <alignment horizontal="center"/>
    </xf>
    <xf numFmtId="0" fontId="21" fillId="0" borderId="8" xfId="0" applyFont="1"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1" fillId="0" borderId="5" xfId="0" applyFont="1" applyFill="1" applyBorder="1" applyAlignment="1">
      <alignment horizontal="center"/>
    </xf>
    <xf numFmtId="0" fontId="21" fillId="0" borderId="4" xfId="0" applyFont="1" applyFill="1" applyBorder="1" applyAlignment="1">
      <alignment horizontal="center"/>
    </xf>
    <xf numFmtId="0" fontId="31" fillId="2" borderId="0" xfId="0" applyFont="1" applyFill="1" applyAlignment="1">
      <alignment horizontal="center"/>
    </xf>
    <xf numFmtId="0" fontId="8" fillId="0" borderId="0" xfId="0" applyFont="1" applyFill="1" applyBorder="1" applyAlignment="1">
      <alignment horizontal="left"/>
    </xf>
    <xf numFmtId="165" fontId="0" fillId="0" borderId="0" xfId="0" applyNumberFormat="1" applyFill="1" applyBorder="1" applyAlignment="1">
      <alignment horizontal="center"/>
    </xf>
    <xf numFmtId="165" fontId="0" fillId="0" borderId="5" xfId="0" applyNumberFormat="1" applyFill="1" applyBorder="1" applyAlignment="1">
      <alignment horizontal="center"/>
    </xf>
    <xf numFmtId="165" fontId="0" fillId="0" borderId="11" xfId="0" applyNumberFormat="1" applyFill="1" applyBorder="1" applyAlignment="1">
      <alignment horizontal="center"/>
    </xf>
    <xf numFmtId="165" fontId="0" fillId="0" borderId="7" xfId="0" applyNumberFormat="1" applyFill="1" applyBorder="1" applyAlignment="1">
      <alignment horizontal="center"/>
    </xf>
    <xf numFmtId="0" fontId="17" fillId="0" borderId="10" xfId="0" applyFont="1" applyFill="1" applyBorder="1" applyAlignment="1">
      <alignment horizontal="left"/>
    </xf>
    <xf numFmtId="0" fontId="0" fillId="0" borderId="0" xfId="0" applyFill="1" applyAlignment="1">
      <alignment horizontal="center"/>
    </xf>
    <xf numFmtId="0" fontId="0" fillId="0" borderId="0" xfId="0" applyFill="1"/>
    <xf numFmtId="165" fontId="0" fillId="0" borderId="0" xfId="0" applyNumberFormat="1" applyFill="1" applyAlignment="1">
      <alignment horizontal="center"/>
    </xf>
    <xf numFmtId="2" fontId="0" fillId="0" borderId="0" xfId="0" applyNumberFormat="1" applyFill="1" applyAlignment="1">
      <alignment horizontal="center"/>
    </xf>
    <xf numFmtId="0" fontId="0" fillId="0" borderId="5" xfId="0" applyBorder="1" applyAlignment="1">
      <alignment horizontal="center"/>
    </xf>
    <xf numFmtId="0" fontId="17" fillId="0" borderId="19" xfId="0" applyFont="1" applyFill="1" applyBorder="1" applyAlignment="1">
      <alignment horizontal="center"/>
    </xf>
    <xf numFmtId="0" fontId="0" fillId="0" borderId="19" xfId="0" applyFill="1" applyBorder="1" applyAlignment="1">
      <alignment horizontal="center"/>
    </xf>
    <xf numFmtId="2" fontId="0" fillId="0" borderId="5" xfId="0" applyNumberFormat="1" applyFill="1" applyBorder="1" applyAlignment="1">
      <alignment horizontal="center"/>
    </xf>
    <xf numFmtId="0" fontId="0" fillId="0" borderId="5" xfId="0" applyFill="1" applyBorder="1"/>
    <xf numFmtId="0" fontId="17" fillId="0" borderId="0" xfId="0" applyFont="1" applyFill="1" applyBorder="1" applyAlignment="1">
      <alignment horizontal="center"/>
    </xf>
    <xf numFmtId="0" fontId="17" fillId="2" borderId="0" xfId="0" applyFont="1" applyFill="1" applyAlignment="1">
      <alignment horizontal="center"/>
    </xf>
    <xf numFmtId="0" fontId="20" fillId="0" borderId="7" xfId="0" applyFont="1" applyFill="1" applyBorder="1" applyAlignment="1">
      <alignment horizontal="center"/>
    </xf>
    <xf numFmtId="0" fontId="0" fillId="2" borderId="14" xfId="0" applyFill="1" applyBorder="1" applyAlignment="1">
      <alignment horizontal="center"/>
    </xf>
    <xf numFmtId="0" fontId="0" fillId="2" borderId="15" xfId="0" applyFill="1" applyBorder="1"/>
    <xf numFmtId="0" fontId="0" fillId="2" borderId="13" xfId="0" applyFill="1" applyBorder="1"/>
    <xf numFmtId="0" fontId="21" fillId="6" borderId="1" xfId="0" applyFont="1" applyFill="1" applyBorder="1" applyAlignment="1">
      <alignment horizontal="center"/>
    </xf>
    <xf numFmtId="0" fontId="17" fillId="4" borderId="0" xfId="0" applyFont="1" applyFill="1" applyBorder="1" applyAlignment="1">
      <alignment horizontal="left"/>
    </xf>
    <xf numFmtId="0" fontId="10" fillId="2" borderId="15" xfId="0" applyFont="1" applyFill="1" applyBorder="1"/>
    <xf numFmtId="0" fontId="10" fillId="2" borderId="14" xfId="0" applyFont="1" applyFill="1" applyBorder="1" applyAlignment="1">
      <alignment horizontal="left"/>
    </xf>
    <xf numFmtId="0" fontId="10" fillId="2" borderId="15" xfId="0" applyFont="1" applyFill="1" applyBorder="1" applyAlignment="1">
      <alignment horizontal="left"/>
    </xf>
    <xf numFmtId="0" fontId="37" fillId="0" borderId="0" xfId="0" applyFont="1" applyFill="1" applyAlignment="1">
      <alignment horizontal="center"/>
    </xf>
    <xf numFmtId="0" fontId="17" fillId="0" borderId="0" xfId="0" applyFont="1" applyFill="1" applyBorder="1" applyAlignment="1">
      <alignment horizontal="left"/>
    </xf>
    <xf numFmtId="0" fontId="38" fillId="0" borderId="4" xfId="0" applyFont="1" applyFill="1" applyBorder="1" applyAlignment="1">
      <alignment horizontal="center"/>
    </xf>
    <xf numFmtId="0" fontId="38" fillId="0" borderId="0" xfId="0" applyFont="1" applyFill="1" applyBorder="1" applyAlignment="1">
      <alignment horizontal="center"/>
    </xf>
    <xf numFmtId="0" fontId="39" fillId="2" borderId="0" xfId="0" applyFont="1" applyFill="1" applyAlignment="1">
      <alignment horizontal="center"/>
    </xf>
    <xf numFmtId="0" fontId="8" fillId="2" borderId="1" xfId="0" applyFont="1" applyFill="1" applyBorder="1" applyAlignment="1">
      <alignment horizontal="center"/>
    </xf>
    <xf numFmtId="0" fontId="0" fillId="2" borderId="5" xfId="0" applyFill="1" applyBorder="1" applyAlignment="1">
      <alignment horizontal="center"/>
    </xf>
    <xf numFmtId="0" fontId="0" fillId="0" borderId="7" xfId="0" applyFill="1" applyBorder="1"/>
    <xf numFmtId="0" fontId="0" fillId="2" borderId="7" xfId="0" applyFill="1" applyBorder="1" applyAlignment="1">
      <alignment horizontal="center"/>
    </xf>
    <xf numFmtId="0" fontId="0" fillId="2" borderId="1" xfId="0" applyFill="1" applyBorder="1" applyAlignment="1">
      <alignment horizontal="center"/>
    </xf>
    <xf numFmtId="0" fontId="6" fillId="4" borderId="10" xfId="0" applyFont="1" applyFill="1" applyBorder="1" applyAlignment="1">
      <alignment horizontal="center"/>
    </xf>
    <xf numFmtId="0" fontId="10" fillId="2" borderId="8" xfId="0" applyFont="1" applyFill="1" applyBorder="1" applyAlignment="1">
      <alignment horizontal="left"/>
    </xf>
    <xf numFmtId="0" fontId="10" fillId="2" borderId="12" xfId="0" applyFont="1" applyFill="1" applyBorder="1"/>
    <xf numFmtId="0" fontId="0" fillId="4" borderId="3" xfId="0" applyFill="1" applyBorder="1" applyAlignment="1">
      <alignment horizontal="center"/>
    </xf>
    <xf numFmtId="0" fontId="6" fillId="2" borderId="0" xfId="0" applyFont="1" applyFill="1" applyBorder="1" applyAlignment="1">
      <alignment horizontal="center"/>
    </xf>
    <xf numFmtId="0" fontId="0" fillId="2" borderId="0" xfId="0" applyFill="1" applyBorder="1" applyAlignment="1">
      <alignment horizontal="left"/>
    </xf>
    <xf numFmtId="0" fontId="26" fillId="2" borderId="0" xfId="0" applyFont="1" applyFill="1" applyAlignment="1">
      <alignment horizontal="center"/>
    </xf>
    <xf numFmtId="165" fontId="17" fillId="4" borderId="8" xfId="0" applyNumberFormat="1" applyFont="1" applyFill="1" applyBorder="1" applyAlignment="1">
      <alignment horizontal="center"/>
    </xf>
    <xf numFmtId="165" fontId="17" fillId="4" borderId="3" xfId="0" applyNumberFormat="1" applyFont="1" applyFill="1" applyBorder="1" applyAlignment="1">
      <alignment horizontal="center"/>
    </xf>
    <xf numFmtId="165" fontId="17" fillId="4" borderId="9" xfId="0" applyNumberFormat="1" applyFont="1" applyFill="1" applyBorder="1" applyAlignment="1">
      <alignment horizontal="center"/>
    </xf>
    <xf numFmtId="165" fontId="17" fillId="4" borderId="7" xfId="0" applyNumberFormat="1" applyFont="1" applyFill="1" applyBorder="1" applyAlignment="1">
      <alignment horizontal="center"/>
    </xf>
    <xf numFmtId="165" fontId="17" fillId="4" borderId="0" xfId="0" applyNumberFormat="1" applyFont="1" applyFill="1" applyAlignment="1">
      <alignment horizontal="center"/>
    </xf>
    <xf numFmtId="165" fontId="17" fillId="4" borderId="0" xfId="0" applyNumberFormat="1" applyFont="1" applyFill="1" applyBorder="1" applyAlignment="1">
      <alignment horizontal="center"/>
    </xf>
    <xf numFmtId="0" fontId="17" fillId="4" borderId="0" xfId="0" applyFont="1" applyFill="1" applyBorder="1" applyAlignment="1">
      <alignment horizontal="center"/>
    </xf>
    <xf numFmtId="0" fontId="17" fillId="4" borderId="0" xfId="0" applyFont="1" applyFill="1" applyBorder="1"/>
    <xf numFmtId="0" fontId="17" fillId="4" borderId="8" xfId="0" applyFont="1" applyFill="1" applyBorder="1" applyAlignment="1">
      <alignment horizontal="center"/>
    </xf>
    <xf numFmtId="0" fontId="17" fillId="4" borderId="3" xfId="0" applyFont="1" applyFill="1" applyBorder="1" applyAlignment="1">
      <alignment horizontal="center"/>
    </xf>
    <xf numFmtId="0" fontId="17" fillId="4" borderId="9" xfId="0" applyFont="1" applyFill="1" applyBorder="1" applyAlignment="1">
      <alignment horizontal="center"/>
    </xf>
    <xf numFmtId="0" fontId="17" fillId="4" borderId="7" xfId="0" applyFont="1" applyFill="1" applyBorder="1" applyAlignment="1">
      <alignment horizontal="center"/>
    </xf>
    <xf numFmtId="0" fontId="10" fillId="0" borderId="0" xfId="0" applyFont="1" applyFill="1" applyBorder="1" applyAlignment="1">
      <alignment horizontal="left"/>
    </xf>
    <xf numFmtId="0" fontId="10" fillId="0" borderId="0" xfId="0" applyFont="1" applyFill="1" applyBorder="1"/>
    <xf numFmtId="0" fontId="0" fillId="0" borderId="0" xfId="0" applyBorder="1" applyAlignment="1">
      <alignment horizontal="center"/>
    </xf>
    <xf numFmtId="0" fontId="0" fillId="2" borderId="13" xfId="0" applyFill="1" applyBorder="1" applyAlignment="1">
      <alignment horizontal="left"/>
    </xf>
    <xf numFmtId="0" fontId="0" fillId="6" borderId="4" xfId="0" applyFill="1" applyBorder="1" applyAlignment="1">
      <alignment horizontal="center" vertical="center"/>
    </xf>
    <xf numFmtId="0" fontId="25" fillId="6" borderId="4" xfId="0" applyFont="1" applyFill="1" applyBorder="1" applyAlignment="1">
      <alignment horizontal="left"/>
    </xf>
    <xf numFmtId="0" fontId="0" fillId="6" borderId="4" xfId="0" applyFill="1" applyBorder="1" applyAlignment="1">
      <alignment horizontal="center"/>
    </xf>
    <xf numFmtId="0" fontId="8" fillId="6" borderId="4" xfId="0" applyFont="1" applyFill="1" applyBorder="1" applyAlignment="1">
      <alignment horizontal="left"/>
    </xf>
    <xf numFmtId="0" fontId="17" fillId="6" borderId="4" xfId="0" applyFont="1" applyFill="1" applyBorder="1" applyAlignment="1">
      <alignment horizontal="left"/>
    </xf>
    <xf numFmtId="0" fontId="17" fillId="6" borderId="10" xfId="0" applyFont="1" applyFill="1" applyBorder="1" applyAlignment="1">
      <alignment horizontal="center"/>
    </xf>
    <xf numFmtId="165" fontId="8" fillId="6" borderId="10" xfId="0" applyNumberFormat="1" applyFont="1" applyFill="1" applyBorder="1" applyAlignment="1">
      <alignment horizontal="center"/>
    </xf>
    <xf numFmtId="165" fontId="0" fillId="6" borderId="10" xfId="0" applyNumberFormat="1" applyFill="1" applyBorder="1" applyAlignment="1">
      <alignment horizontal="center"/>
    </xf>
    <xf numFmtId="0" fontId="0" fillId="6" borderId="0" xfId="0" applyFill="1" applyBorder="1" applyAlignment="1">
      <alignment horizontal="center"/>
    </xf>
    <xf numFmtId="0" fontId="0" fillId="6" borderId="9" xfId="0" applyFill="1" applyBorder="1" applyAlignment="1">
      <alignment horizontal="center"/>
    </xf>
    <xf numFmtId="0" fontId="17" fillId="0" borderId="9" xfId="0" applyFont="1" applyFill="1" applyBorder="1" applyAlignment="1">
      <alignment horizontal="right"/>
    </xf>
    <xf numFmtId="0" fontId="0" fillId="6" borderId="8" xfId="0" applyFill="1" applyBorder="1" applyAlignment="1">
      <alignment horizontal="center"/>
    </xf>
    <xf numFmtId="0" fontId="18" fillId="6" borderId="12" xfId="0" applyFont="1" applyFill="1" applyBorder="1" applyAlignment="1">
      <alignment horizontal="left"/>
    </xf>
    <xf numFmtId="0" fontId="0" fillId="6" borderId="12" xfId="0" applyFill="1" applyBorder="1" applyAlignment="1">
      <alignment horizontal="center"/>
    </xf>
    <xf numFmtId="0" fontId="0" fillId="6" borderId="3" xfId="0" applyFill="1" applyBorder="1" applyAlignment="1">
      <alignment horizontal="center"/>
    </xf>
    <xf numFmtId="0" fontId="11" fillId="6" borderId="11" xfId="0" applyFont="1" applyFill="1" applyBorder="1" applyAlignment="1">
      <alignment horizontal="right"/>
    </xf>
    <xf numFmtId="0" fontId="11" fillId="6" borderId="11" xfId="0" applyFont="1" applyFill="1" applyBorder="1" applyAlignment="1">
      <alignment horizontal="left"/>
    </xf>
    <xf numFmtId="0" fontId="0" fillId="6" borderId="11" xfId="0" applyFill="1" applyBorder="1" applyAlignment="1">
      <alignment horizontal="center"/>
    </xf>
    <xf numFmtId="0" fontId="0" fillId="6" borderId="7" xfId="0" applyFill="1" applyBorder="1" applyAlignment="1">
      <alignment horizontal="center"/>
    </xf>
    <xf numFmtId="1" fontId="17" fillId="4" borderId="8" xfId="0" applyNumberFormat="1" applyFont="1" applyFill="1" applyBorder="1" applyAlignment="1">
      <alignment horizontal="center"/>
    </xf>
    <xf numFmtId="1" fontId="17" fillId="4" borderId="3" xfId="0" applyNumberFormat="1" applyFont="1" applyFill="1" applyBorder="1" applyAlignment="1">
      <alignment horizontal="center"/>
    </xf>
    <xf numFmtId="1" fontId="17" fillId="4" borderId="9" xfId="0" applyNumberFormat="1" applyFont="1" applyFill="1" applyBorder="1" applyAlignment="1">
      <alignment horizontal="center"/>
    </xf>
    <xf numFmtId="1" fontId="17" fillId="4" borderId="7" xfId="0" applyNumberFormat="1" applyFont="1" applyFill="1" applyBorder="1" applyAlignment="1">
      <alignment horizontal="center"/>
    </xf>
    <xf numFmtId="1" fontId="17" fillId="4" borderId="0" xfId="0" applyNumberFormat="1" applyFont="1" applyFill="1" applyBorder="1" applyAlignment="1">
      <alignment horizontal="center"/>
    </xf>
    <xf numFmtId="2" fontId="0" fillId="0" borderId="0" xfId="0" applyNumberFormat="1" applyFill="1" applyBorder="1" applyAlignment="1">
      <alignment horizontal="center"/>
    </xf>
    <xf numFmtId="0" fontId="6" fillId="2" borderId="11" xfId="0" applyFont="1" applyFill="1" applyBorder="1" applyAlignment="1">
      <alignment horizontal="center"/>
    </xf>
    <xf numFmtId="0" fontId="6" fillId="3" borderId="1" xfId="0" applyFont="1" applyFill="1" applyBorder="1" applyAlignment="1">
      <alignment horizontal="left"/>
    </xf>
    <xf numFmtId="0" fontId="0" fillId="3" borderId="9" xfId="0" applyFill="1" applyBorder="1" applyAlignment="1">
      <alignment horizontal="center"/>
    </xf>
    <xf numFmtId="0" fontId="0" fillId="3" borderId="14" xfId="0" applyFill="1" applyBorder="1" applyAlignment="1">
      <alignment horizontal="center"/>
    </xf>
    <xf numFmtId="0" fontId="22" fillId="4" borderId="0" xfId="0" applyFont="1" applyFill="1" applyBorder="1" applyAlignment="1">
      <alignment horizontal="center"/>
    </xf>
    <xf numFmtId="0" fontId="0" fillId="0" borderId="0" xfId="0" applyBorder="1"/>
    <xf numFmtId="0" fontId="6" fillId="3" borderId="6" xfId="0" applyFont="1" applyFill="1" applyBorder="1" applyAlignment="1">
      <alignment horizontal="left"/>
    </xf>
    <xf numFmtId="0" fontId="0" fillId="3" borderId="11" xfId="0"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xf numFmtId="0" fontId="6" fillId="2" borderId="1" xfId="0" applyFont="1" applyFill="1" applyBorder="1" applyAlignment="1">
      <alignment horizontal="center"/>
    </xf>
    <xf numFmtId="0" fontId="24" fillId="6" borderId="4" xfId="0" applyFont="1" applyFill="1" applyBorder="1" applyAlignment="1">
      <alignment horizontal="left"/>
    </xf>
    <xf numFmtId="0" fontId="35" fillId="6" borderId="4" xfId="0" applyFont="1" applyFill="1" applyBorder="1" applyAlignment="1">
      <alignment horizontal="left"/>
    </xf>
    <xf numFmtId="0" fontId="18" fillId="6" borderId="8" xfId="0" applyFont="1" applyFill="1" applyBorder="1" applyAlignment="1">
      <alignment horizontal="left"/>
    </xf>
    <xf numFmtId="0" fontId="17" fillId="0" borderId="0" xfId="0" applyFont="1"/>
    <xf numFmtId="0" fontId="17" fillId="7" borderId="2" xfId="0" applyFont="1" applyFill="1" applyBorder="1"/>
    <xf numFmtId="0" fontId="17" fillId="7" borderId="6" xfId="0" applyFont="1" applyFill="1" applyBorder="1"/>
    <xf numFmtId="0" fontId="17" fillId="7" borderId="4" xfId="0" applyFont="1" applyFill="1" applyBorder="1"/>
    <xf numFmtId="0" fontId="40" fillId="7" borderId="6" xfId="0" applyFont="1" applyFill="1" applyBorder="1"/>
    <xf numFmtId="0" fontId="40" fillId="7" borderId="6" xfId="0" applyFont="1" applyFill="1" applyBorder="1" applyAlignment="1">
      <alignment horizontal="right"/>
    </xf>
    <xf numFmtId="0" fontId="20" fillId="7" borderId="4" xfId="0" applyFont="1" applyFill="1" applyBorder="1"/>
    <xf numFmtId="0" fontId="20" fillId="7" borderId="6" xfId="0" applyFont="1" applyFill="1" applyBorder="1"/>
    <xf numFmtId="0" fontId="0" fillId="7" borderId="0" xfId="0" applyFill="1"/>
    <xf numFmtId="0" fontId="0" fillId="7" borderId="2" xfId="0" applyFill="1" applyBorder="1"/>
    <xf numFmtId="0" fontId="0" fillId="7" borderId="4" xfId="0" applyFill="1" applyBorder="1"/>
    <xf numFmtId="0" fontId="0" fillId="7" borderId="8" xfId="0" applyFill="1" applyBorder="1"/>
    <xf numFmtId="0" fontId="0" fillId="7" borderId="10" xfId="0" applyFill="1" applyBorder="1"/>
    <xf numFmtId="0" fontId="40" fillId="7" borderId="9" xfId="0" applyFont="1" applyFill="1" applyBorder="1"/>
    <xf numFmtId="0" fontId="17" fillId="7" borderId="8" xfId="0" applyFont="1" applyFill="1" applyBorder="1"/>
    <xf numFmtId="0" fontId="0" fillId="7" borderId="6" xfId="0" applyFill="1" applyBorder="1"/>
    <xf numFmtId="0" fontId="41" fillId="7" borderId="2" xfId="0" applyFont="1" applyFill="1" applyBorder="1"/>
    <xf numFmtId="0" fontId="17" fillId="7" borderId="10" xfId="0" applyFont="1" applyFill="1" applyBorder="1"/>
    <xf numFmtId="0" fontId="41" fillId="7" borderId="4" xfId="0" applyFont="1" applyFill="1" applyBorder="1"/>
    <xf numFmtId="0" fontId="0" fillId="7" borderId="9" xfId="0" applyFill="1" applyBorder="1"/>
    <xf numFmtId="0" fontId="40" fillId="7" borderId="10" xfId="0" applyFont="1" applyFill="1" applyBorder="1"/>
    <xf numFmtId="22" fontId="8" fillId="2" borderId="0" xfId="0" applyNumberFormat="1" applyFont="1" applyFill="1" applyAlignment="1">
      <alignment horizontal="center"/>
    </xf>
    <xf numFmtId="0" fontId="24" fillId="6" borderId="10" xfId="0" applyFont="1" applyFill="1" applyBorder="1" applyAlignment="1">
      <alignment horizontal="left"/>
    </xf>
    <xf numFmtId="0" fontId="11" fillId="7" borderId="2" xfId="0" applyFont="1" applyFill="1" applyBorder="1"/>
    <xf numFmtId="0" fontId="44" fillId="7" borderId="2" xfId="0" applyFont="1" applyFill="1" applyBorder="1"/>
    <xf numFmtId="0" fontId="11" fillId="7" borderId="8" xfId="0" applyFont="1" applyFill="1" applyBorder="1"/>
    <xf numFmtId="0" fontId="11" fillId="7" borderId="6" xfId="0" applyFont="1" applyFill="1" applyBorder="1"/>
    <xf numFmtId="0" fontId="35" fillId="0" borderId="0" xfId="0" applyFont="1" applyAlignment="1">
      <alignment horizontal="center"/>
    </xf>
    <xf numFmtId="0" fontId="0" fillId="6" borderId="20" xfId="0" applyFill="1" applyBorder="1" applyAlignment="1">
      <alignment horizontal="center"/>
    </xf>
    <xf numFmtId="0" fontId="0" fillId="0" borderId="21" xfId="0"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7" xfId="0" applyBorder="1" applyAlignment="1">
      <alignment horizontal="center"/>
    </xf>
    <xf numFmtId="0" fontId="0" fillId="6" borderId="22" xfId="0" applyFill="1" applyBorder="1" applyAlignment="1">
      <alignment horizontal="center"/>
    </xf>
    <xf numFmtId="0" fontId="0" fillId="6" borderId="23" xfId="0" applyFill="1" applyBorder="1" applyAlignment="1">
      <alignment horizontal="center"/>
    </xf>
    <xf numFmtId="0" fontId="0" fillId="6" borderId="24" xfId="0" applyFill="1" applyBorder="1" applyAlignment="1">
      <alignment horizontal="center"/>
    </xf>
    <xf numFmtId="0" fontId="0" fillId="6" borderId="25" xfId="0" applyFill="1" applyBorder="1" applyAlignment="1">
      <alignment horizontal="center"/>
    </xf>
    <xf numFmtId="0" fontId="0" fillId="6" borderId="21" xfId="0" applyFill="1" applyBorder="1" applyAlignment="1">
      <alignment horizontal="center"/>
    </xf>
    <xf numFmtId="0" fontId="22" fillId="6" borderId="26" xfId="0" applyFont="1" applyFill="1" applyBorder="1" applyAlignment="1">
      <alignment horizontal="center"/>
    </xf>
    <xf numFmtId="0" fontId="22" fillId="6" borderId="27" xfId="0" applyFont="1" applyFill="1" applyBorder="1" applyAlignment="1">
      <alignment horizontal="center"/>
    </xf>
    <xf numFmtId="0" fontId="22" fillId="6" borderId="28" xfId="0" applyFont="1" applyFill="1" applyBorder="1" applyAlignment="1">
      <alignment horizontal="center"/>
    </xf>
    <xf numFmtId="0" fontId="40" fillId="0" borderId="23" xfId="0" applyFont="1" applyBorder="1" applyAlignment="1">
      <alignment horizontal="center"/>
    </xf>
    <xf numFmtId="0" fontId="17" fillId="0" borderId="27" xfId="0" applyFont="1" applyFill="1" applyBorder="1" applyAlignment="1">
      <alignment horizontal="center"/>
    </xf>
    <xf numFmtId="0" fontId="0" fillId="0" borderId="4" xfId="0" applyBorder="1" applyAlignment="1">
      <alignment horizontal="center"/>
    </xf>
    <xf numFmtId="0" fontId="0" fillId="2" borderId="0" xfId="0" applyFill="1" applyAlignment="1">
      <alignment horizontal="left"/>
    </xf>
    <xf numFmtId="0" fontId="17" fillId="2" borderId="0" xfId="0" applyFont="1" applyFill="1" applyBorder="1" applyAlignment="1">
      <alignment horizontal="left"/>
    </xf>
    <xf numFmtId="0" fontId="0" fillId="0" borderId="0" xfId="0" applyAlignment="1">
      <alignment horizontal="left"/>
    </xf>
    <xf numFmtId="0" fontId="24" fillId="2" borderId="0" xfId="0" applyFont="1" applyFill="1" applyAlignment="1">
      <alignment horizontal="left"/>
    </xf>
    <xf numFmtId="0" fontId="0" fillId="0" borderId="10" xfId="0" applyBorder="1"/>
    <xf numFmtId="0" fontId="0" fillId="0" borderId="11" xfId="0" applyBorder="1"/>
    <xf numFmtId="0" fontId="0" fillId="0" borderId="29" xfId="0" applyBorder="1" applyAlignment="1">
      <alignment horizontal="center"/>
    </xf>
    <xf numFmtId="0" fontId="0" fillId="0" borderId="24" xfId="0" applyBorder="1" applyAlignment="1">
      <alignment horizontal="center"/>
    </xf>
    <xf numFmtId="0" fontId="0" fillId="0" borderId="29" xfId="0" applyFill="1" applyBorder="1" applyAlignment="1">
      <alignment horizontal="center"/>
    </xf>
    <xf numFmtId="0" fontId="0" fillId="7" borderId="0" xfId="0" applyFill="1" applyBorder="1"/>
    <xf numFmtId="0" fontId="0" fillId="7" borderId="12" xfId="0" applyFill="1" applyBorder="1"/>
    <xf numFmtId="0" fontId="17" fillId="7" borderId="12" xfId="0" applyFont="1" applyFill="1" applyBorder="1"/>
    <xf numFmtId="0" fontId="17" fillId="7" borderId="3" xfId="0" applyFont="1" applyFill="1" applyBorder="1"/>
    <xf numFmtId="0" fontId="8" fillId="7" borderId="10" xfId="0" applyFont="1" applyFill="1" applyBorder="1"/>
    <xf numFmtId="11" fontId="17" fillId="7" borderId="0" xfId="0" applyNumberFormat="1" applyFont="1" applyFill="1" applyBorder="1"/>
    <xf numFmtId="0" fontId="17" fillId="7" borderId="0" xfId="0" applyFont="1" applyFill="1" applyBorder="1"/>
    <xf numFmtId="0" fontId="17" fillId="7" borderId="5" xfId="0" applyFont="1" applyFill="1" applyBorder="1"/>
    <xf numFmtId="0" fontId="11" fillId="2" borderId="8" xfId="0" applyFont="1" applyFill="1" applyBorder="1"/>
    <xf numFmtId="0" fontId="0" fillId="2" borderId="12" xfId="0" applyFill="1" applyBorder="1"/>
    <xf numFmtId="0" fontId="0" fillId="2" borderId="3" xfId="0" applyFill="1" applyBorder="1"/>
    <xf numFmtId="0" fontId="0" fillId="2" borderId="10" xfId="0" applyFill="1" applyBorder="1" applyAlignment="1">
      <alignment horizontal="left"/>
    </xf>
    <xf numFmtId="0" fontId="0" fillId="2" borderId="5" xfId="0" applyFill="1" applyBorder="1"/>
    <xf numFmtId="0" fontId="0" fillId="2" borderId="14" xfId="0" applyFill="1" applyBorder="1"/>
    <xf numFmtId="0" fontId="8" fillId="2" borderId="14" xfId="0" applyFont="1" applyFill="1" applyBorder="1"/>
    <xf numFmtId="0" fontId="0" fillId="2" borderId="1" xfId="0" applyFill="1" applyBorder="1"/>
    <xf numFmtId="11" fontId="0" fillId="2" borderId="1" xfId="0" applyNumberFormat="1" applyFill="1" applyBorder="1" applyAlignment="1">
      <alignment horizontal="center"/>
    </xf>
    <xf numFmtId="22" fontId="0" fillId="2" borderId="0" xfId="0" applyNumberFormat="1" applyFill="1" applyAlignment="1">
      <alignment horizontal="left"/>
    </xf>
    <xf numFmtId="0" fontId="0" fillId="4" borderId="0" xfId="0" applyFill="1" applyBorder="1" applyAlignment="1">
      <alignment horizontal="left"/>
    </xf>
    <xf numFmtId="0" fontId="0" fillId="0" borderId="0" xfId="0" applyNumberFormat="1"/>
    <xf numFmtId="0" fontId="0" fillId="0" borderId="0" xfId="0" applyNumberFormat="1" applyAlignment="1">
      <alignment horizontal="center"/>
    </xf>
    <xf numFmtId="0" fontId="0" fillId="0" borderId="0" xfId="0" applyNumberFormat="1" applyBorder="1" applyAlignment="1">
      <alignment horizontal="center"/>
    </xf>
    <xf numFmtId="0" fontId="0" fillId="0" borderId="5" xfId="0" applyNumberFormat="1" applyBorder="1" applyAlignment="1">
      <alignment horizontal="center"/>
    </xf>
    <xf numFmtId="0" fontId="0" fillId="0" borderId="0" xfId="0" applyNumberFormat="1" applyFill="1" applyBorder="1" applyAlignment="1">
      <alignment horizontal="center"/>
    </xf>
    <xf numFmtId="0" fontId="0" fillId="0" borderId="5" xfId="0" applyNumberFormat="1" applyFill="1" applyBorder="1" applyAlignment="1">
      <alignment horizontal="center"/>
    </xf>
    <xf numFmtId="0" fontId="0" fillId="0" borderId="0" xfId="0" applyNumberFormat="1" applyBorder="1"/>
    <xf numFmtId="0" fontId="0" fillId="0" borderId="10" xfId="0" applyNumberFormat="1" applyFill="1" applyBorder="1" applyAlignment="1">
      <alignment horizontal="center"/>
    </xf>
    <xf numFmtId="0" fontId="0" fillId="0" borderId="5" xfId="0" applyNumberFormat="1" applyBorder="1"/>
    <xf numFmtId="0" fontId="17" fillId="6" borderId="4" xfId="0" applyFont="1" applyFill="1" applyBorder="1" applyAlignment="1">
      <alignment horizontal="center"/>
    </xf>
    <xf numFmtId="165" fontId="8" fillId="6" borderId="4" xfId="0" applyNumberFormat="1" applyFont="1" applyFill="1" applyBorder="1" applyAlignment="1">
      <alignment horizontal="center"/>
    </xf>
    <xf numFmtId="165" fontId="0" fillId="6" borderId="4" xfId="0" applyNumberFormat="1" applyFill="1" applyBorder="1" applyAlignment="1">
      <alignment horizontal="center"/>
    </xf>
    <xf numFmtId="0" fontId="17" fillId="6" borderId="2" xfId="0" applyFont="1" applyFill="1" applyBorder="1" applyAlignment="1">
      <alignment horizontal="left"/>
    </xf>
    <xf numFmtId="0" fontId="17" fillId="6" borderId="6" xfId="0" applyFont="1" applyFill="1" applyBorder="1" applyAlignment="1">
      <alignment horizontal="left"/>
    </xf>
    <xf numFmtId="164" fontId="0" fillId="0" borderId="10" xfId="0" applyNumberFormat="1" applyBorder="1" applyAlignment="1">
      <alignment horizontal="center"/>
    </xf>
    <xf numFmtId="164" fontId="0" fillId="0" borderId="0" xfId="0" applyNumberFormat="1" applyBorder="1" applyAlignment="1">
      <alignment horizontal="center"/>
    </xf>
    <xf numFmtId="164" fontId="0" fillId="0" borderId="5" xfId="0" applyNumberFormat="1" applyBorder="1" applyAlignment="1">
      <alignment horizontal="center"/>
    </xf>
    <xf numFmtId="0" fontId="38" fillId="0" borderId="0" xfId="0" applyFont="1" applyFill="1" applyBorder="1" applyAlignment="1">
      <alignment horizontal="left"/>
    </xf>
    <xf numFmtId="0" fontId="20" fillId="6" borderId="16" xfId="0" applyFont="1" applyFill="1" applyBorder="1" applyAlignment="1">
      <alignment horizontal="center"/>
    </xf>
    <xf numFmtId="0" fontId="17" fillId="6" borderId="17" xfId="0" applyFont="1" applyFill="1" applyBorder="1" applyAlignment="1">
      <alignment horizontal="center"/>
    </xf>
    <xf numFmtId="0" fontId="38" fillId="6" borderId="18" xfId="0" applyFont="1" applyFill="1" applyBorder="1" applyAlignment="1">
      <alignment horizontal="center"/>
    </xf>
    <xf numFmtId="164" fontId="0" fillId="0" borderId="10" xfId="0" applyNumberFormat="1" applyBorder="1"/>
    <xf numFmtId="164" fontId="0" fillId="0" borderId="0" xfId="0" applyNumberFormat="1" applyBorder="1"/>
    <xf numFmtId="164" fontId="0" fillId="0" borderId="0" xfId="0" applyNumberFormat="1" applyAlignment="1">
      <alignment horizontal="center"/>
    </xf>
    <xf numFmtId="164" fontId="0" fillId="0" borderId="30" xfId="0" applyNumberFormat="1" applyBorder="1" applyAlignment="1">
      <alignment horizontal="center"/>
    </xf>
    <xf numFmtId="164" fontId="0" fillId="2" borderId="0" xfId="0" applyNumberFormat="1" applyFill="1" applyBorder="1" applyAlignment="1">
      <alignment horizontal="center"/>
    </xf>
    <xf numFmtId="0" fontId="11" fillId="0" borderId="0" xfId="0" applyFont="1"/>
    <xf numFmtId="0" fontId="48" fillId="0" borderId="0" xfId="0" applyFont="1"/>
    <xf numFmtId="0" fontId="0" fillId="0" borderId="0" xfId="0" applyAlignment="1">
      <alignment horizontal="right"/>
    </xf>
    <xf numFmtId="167" fontId="0" fillId="0" borderId="0" xfId="0" applyNumberForma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10" fillId="0" borderId="0" xfId="0" applyFont="1" applyAlignment="1">
      <alignment horizontal="center"/>
    </xf>
    <xf numFmtId="0" fontId="49" fillId="0" borderId="0" xfId="0" applyFont="1"/>
    <xf numFmtId="2" fontId="0" fillId="0" borderId="0" xfId="0" applyNumberFormat="1" applyBorder="1" applyAlignment="1">
      <alignment horizontal="center"/>
    </xf>
    <xf numFmtId="165" fontId="0" fillId="0" borderId="9" xfId="0" applyNumberFormat="1" applyBorder="1" applyAlignment="1">
      <alignment horizontal="center"/>
    </xf>
    <xf numFmtId="0" fontId="50" fillId="0" borderId="1" xfId="0" applyFont="1" applyBorder="1" applyAlignment="1">
      <alignment horizontal="center"/>
    </xf>
    <xf numFmtId="0" fontId="51" fillId="0" borderId="0" xfId="0" applyFont="1"/>
    <xf numFmtId="0" fontId="52" fillId="0" borderId="0" xfId="0" applyFont="1"/>
    <xf numFmtId="167" fontId="52" fillId="0" borderId="0" xfId="0" applyNumberFormat="1" applyFont="1" applyAlignment="1">
      <alignment horizontal="center"/>
    </xf>
    <xf numFmtId="0" fontId="6" fillId="0" borderId="0" xfId="0" applyFont="1"/>
    <xf numFmtId="0" fontId="11" fillId="0" borderId="0" xfId="0" applyFont="1" applyAlignment="1">
      <alignment horizontal="right"/>
    </xf>
    <xf numFmtId="167" fontId="0" fillId="0" borderId="0" xfId="0" applyNumberFormat="1"/>
    <xf numFmtId="0" fontId="55" fillId="0" borderId="0" xfId="0" applyFont="1" applyAlignment="1">
      <alignment horizontal="center"/>
    </xf>
    <xf numFmtId="0" fontId="55" fillId="0" borderId="0" xfId="0" applyFont="1"/>
    <xf numFmtId="167" fontId="55" fillId="0" borderId="0" xfId="0" applyNumberFormat="1" applyFont="1" applyAlignment="1">
      <alignment horizontal="center"/>
    </xf>
    <xf numFmtId="0" fontId="50" fillId="0" borderId="0" xfId="0" applyFont="1" applyAlignment="1">
      <alignment horizontal="center"/>
    </xf>
    <xf numFmtId="2" fontId="50" fillId="0" borderId="0" xfId="0" applyNumberFormat="1" applyFont="1" applyAlignment="1">
      <alignment horizontal="center"/>
    </xf>
    <xf numFmtId="0" fontId="57" fillId="0" borderId="0" xfId="0" applyFont="1" applyAlignment="1">
      <alignment horizontal="center"/>
    </xf>
    <xf numFmtId="2" fontId="57" fillId="0" borderId="0" xfId="0" applyNumberFormat="1" applyFont="1" applyAlignment="1">
      <alignment horizontal="center"/>
    </xf>
    <xf numFmtId="167" fontId="55" fillId="0" borderId="0" xfId="0" applyNumberFormat="1" applyFont="1"/>
    <xf numFmtId="0" fontId="6" fillId="0" borderId="0" xfId="0" applyFont="1" applyAlignment="1">
      <alignment horizontal="right"/>
    </xf>
    <xf numFmtId="0" fontId="0" fillId="8" borderId="0" xfId="0" applyFill="1" applyAlignment="1">
      <alignment horizontal="center"/>
    </xf>
    <xf numFmtId="0" fontId="0" fillId="9" borderId="0" xfId="0" applyFill="1"/>
    <xf numFmtId="0" fontId="0" fillId="9" borderId="3" xfId="0" applyFill="1" applyBorder="1" applyAlignment="1">
      <alignment horizontal="center"/>
    </xf>
    <xf numFmtId="0" fontId="0" fillId="9" borderId="5" xfId="0" applyFill="1" applyBorder="1" applyAlignment="1">
      <alignment horizontal="center"/>
    </xf>
    <xf numFmtId="0" fontId="0" fillId="9" borderId="13" xfId="0" applyFill="1" applyBorder="1" applyAlignment="1">
      <alignment horizontal="center" vertical="center"/>
    </xf>
    <xf numFmtId="0" fontId="0" fillId="9" borderId="6" xfId="0" applyFill="1" applyBorder="1" applyAlignment="1">
      <alignment horizontal="center"/>
    </xf>
    <xf numFmtId="0" fontId="0" fillId="9" borderId="0" xfId="0" applyFill="1" applyBorder="1" applyAlignment="1">
      <alignment horizontal="left"/>
    </xf>
    <xf numFmtId="0" fontId="0" fillId="9" borderId="0" xfId="0" applyFill="1" applyBorder="1" applyAlignment="1">
      <alignment horizontal="center"/>
    </xf>
    <xf numFmtId="0" fontId="17" fillId="9" borderId="0" xfId="0" applyFont="1" applyFill="1" applyBorder="1" applyAlignment="1">
      <alignment horizontal="left" vertical="top"/>
    </xf>
    <xf numFmtId="0" fontId="0" fillId="8" borderId="0" xfId="0" applyFill="1"/>
    <xf numFmtId="0" fontId="18" fillId="0" borderId="0" xfId="0" applyFont="1" applyAlignment="1">
      <alignment horizontal="right"/>
    </xf>
    <xf numFmtId="165" fontId="18" fillId="0" borderId="10" xfId="0" applyNumberFormat="1" applyFont="1" applyBorder="1" applyAlignment="1">
      <alignment horizontal="center"/>
    </xf>
    <xf numFmtId="0" fontId="18" fillId="0" borderId="0" xfId="0" applyFont="1" applyAlignment="1">
      <alignment horizontal="left"/>
    </xf>
    <xf numFmtId="0" fontId="0" fillId="9" borderId="0" xfId="0" applyFill="1" applyAlignment="1">
      <alignment horizontal="center"/>
    </xf>
    <xf numFmtId="165" fontId="0" fillId="9" borderId="0" xfId="0" quotePrefix="1" applyNumberFormat="1" applyFill="1" applyAlignment="1">
      <alignment horizontal="center"/>
    </xf>
    <xf numFmtId="165" fontId="0" fillId="9" borderId="0" xfId="0" applyNumberFormat="1" applyFill="1" applyAlignment="1">
      <alignment horizontal="center"/>
    </xf>
    <xf numFmtId="0" fontId="0" fillId="9" borderId="1" xfId="0" applyFill="1" applyBorder="1" applyAlignment="1">
      <alignment horizontal="center"/>
    </xf>
    <xf numFmtId="0" fontId="10" fillId="9" borderId="14" xfId="0" applyFont="1" applyFill="1" applyBorder="1" applyAlignment="1">
      <alignment horizontal="right"/>
    </xf>
    <xf numFmtId="0" fontId="10" fillId="9" borderId="0" xfId="0" applyFont="1" applyFill="1" applyAlignment="1">
      <alignment horizontal="center"/>
    </xf>
    <xf numFmtId="165" fontId="0" fillId="9" borderId="9" xfId="0" applyNumberFormat="1" applyFill="1" applyBorder="1" applyAlignment="1">
      <alignment horizontal="center"/>
    </xf>
    <xf numFmtId="165" fontId="0" fillId="7" borderId="0" xfId="0" applyNumberFormat="1" applyFill="1"/>
    <xf numFmtId="0" fontId="0" fillId="9" borderId="4" xfId="0" applyFill="1" applyBorder="1" applyAlignment="1">
      <alignment horizontal="center"/>
    </xf>
    <xf numFmtId="0" fontId="11" fillId="8" borderId="0" xfId="0" applyFont="1" applyFill="1"/>
    <xf numFmtId="0" fontId="18" fillId="8" borderId="0" xfId="0" applyFont="1" applyFill="1" applyAlignment="1">
      <alignment horizontal="center"/>
    </xf>
    <xf numFmtId="0" fontId="18" fillId="8" borderId="0" xfId="0" applyFont="1" applyFill="1"/>
    <xf numFmtId="167" fontId="0" fillId="3" borderId="0" xfId="0" applyNumberFormat="1" applyFill="1" applyAlignment="1">
      <alignment horizontal="center"/>
    </xf>
    <xf numFmtId="0" fontId="50" fillId="0" borderId="10" xfId="0" applyFont="1" applyBorder="1" applyAlignment="1">
      <alignment horizontal="center"/>
    </xf>
    <xf numFmtId="2" fontId="50" fillId="0" borderId="0" xfId="0" applyNumberFormat="1" applyFont="1" applyBorder="1" applyAlignment="1">
      <alignment horizontal="center"/>
    </xf>
    <xf numFmtId="0" fontId="50" fillId="0" borderId="0" xfId="0" applyFont="1" applyBorder="1" applyAlignment="1">
      <alignment horizontal="center"/>
    </xf>
    <xf numFmtId="0" fontId="50" fillId="0" borderId="5" xfId="0" applyFont="1" applyBorder="1" applyAlignment="1">
      <alignment horizontal="center"/>
    </xf>
    <xf numFmtId="167" fontId="0" fillId="0" borderId="10" xfId="0" applyNumberFormat="1" applyBorder="1"/>
    <xf numFmtId="167" fontId="0" fillId="0" borderId="0" xfId="0" applyNumberFormat="1" applyBorder="1"/>
    <xf numFmtId="167" fontId="0" fillId="0" borderId="5" xfId="0" applyNumberFormat="1" applyBorder="1"/>
    <xf numFmtId="167" fontId="0" fillId="0" borderId="9" xfId="0" applyNumberFormat="1" applyBorder="1"/>
    <xf numFmtId="167" fontId="0" fillId="0" borderId="11" xfId="0" applyNumberFormat="1" applyBorder="1"/>
    <xf numFmtId="0" fontId="57" fillId="0" borderId="31" xfId="0" applyFont="1" applyBorder="1" applyAlignment="1">
      <alignment horizontal="center"/>
    </xf>
    <xf numFmtId="2" fontId="57" fillId="0" borderId="0" xfId="0" applyNumberFormat="1" applyFont="1" applyBorder="1" applyAlignment="1">
      <alignment horizontal="center"/>
    </xf>
    <xf numFmtId="0" fontId="57" fillId="0" borderId="0" xfId="0" applyFont="1" applyBorder="1" applyAlignment="1">
      <alignment horizontal="center"/>
    </xf>
    <xf numFmtId="0" fontId="57" fillId="0" borderId="32" xfId="0" applyFont="1" applyBorder="1" applyAlignment="1">
      <alignment horizontal="center"/>
    </xf>
    <xf numFmtId="167" fontId="55" fillId="0" borderId="31" xfId="0" applyNumberFormat="1" applyFont="1" applyBorder="1"/>
    <xf numFmtId="167" fontId="55" fillId="0" borderId="0" xfId="0" applyNumberFormat="1" applyFont="1" applyBorder="1"/>
    <xf numFmtId="167" fontId="55" fillId="0" borderId="32" xfId="0" applyNumberFormat="1" applyFont="1" applyBorder="1"/>
    <xf numFmtId="167" fontId="55" fillId="0" borderId="33" xfId="0" applyNumberFormat="1" applyFont="1" applyBorder="1"/>
    <xf numFmtId="167" fontId="55" fillId="0" borderId="34" xfId="0" applyNumberFormat="1" applyFont="1" applyBorder="1"/>
    <xf numFmtId="167" fontId="55" fillId="0" borderId="35" xfId="0" applyNumberFormat="1" applyFont="1" applyBorder="1"/>
    <xf numFmtId="0" fontId="11" fillId="2" borderId="0" xfId="0" quotePrefix="1" applyFont="1" applyFill="1"/>
    <xf numFmtId="0" fontId="11" fillId="0" borderId="0" xfId="0" applyFont="1" applyBorder="1" applyAlignment="1">
      <alignment horizontal="right"/>
    </xf>
    <xf numFmtId="0" fontId="6" fillId="0" borderId="0" xfId="0" applyFont="1" applyBorder="1" applyAlignment="1">
      <alignment horizontal="right"/>
    </xf>
    <xf numFmtId="0" fontId="11" fillId="9" borderId="0" xfId="0" applyFont="1" applyFill="1" applyBorder="1" applyAlignment="1">
      <alignment horizontal="right"/>
    </xf>
    <xf numFmtId="0" fontId="0" fillId="0" borderId="9" xfId="0" applyBorder="1"/>
    <xf numFmtId="0" fontId="8" fillId="0" borderId="10" xfId="0" applyFont="1" applyBorder="1"/>
    <xf numFmtId="0" fontId="8" fillId="0" borderId="0" xfId="0" applyFont="1" applyBorder="1"/>
    <xf numFmtId="0" fontId="8" fillId="9" borderId="0" xfId="0" applyFont="1" applyFill="1" applyBorder="1"/>
    <xf numFmtId="0" fontId="8" fillId="0" borderId="0" xfId="0" applyFont="1" applyBorder="1" applyAlignment="1">
      <alignment horizontal="right"/>
    </xf>
    <xf numFmtId="167" fontId="8" fillId="0" borderId="0" xfId="0" applyNumberFormat="1" applyFont="1" applyBorder="1"/>
    <xf numFmtId="167" fontId="8" fillId="9" borderId="0" xfId="0" applyNumberFormat="1" applyFont="1" applyFill="1" applyBorder="1"/>
    <xf numFmtId="0" fontId="8" fillId="2" borderId="8" xfId="0" applyFont="1" applyFill="1" applyBorder="1"/>
    <xf numFmtId="0" fontId="8" fillId="2" borderId="12" xfId="0" applyFont="1" applyFill="1" applyBorder="1"/>
    <xf numFmtId="0" fontId="8" fillId="2" borderId="10" xfId="0" applyFont="1" applyFill="1" applyBorder="1"/>
    <xf numFmtId="0" fontId="11" fillId="2" borderId="0" xfId="0" applyFont="1" applyFill="1" applyBorder="1" applyAlignment="1">
      <alignment horizontal="right"/>
    </xf>
    <xf numFmtId="0" fontId="8" fillId="2" borderId="0" xfId="0" applyFont="1" applyFill="1" applyBorder="1"/>
    <xf numFmtId="0" fontId="8" fillId="2" borderId="5" xfId="0" applyFont="1" applyFill="1" applyBorder="1"/>
    <xf numFmtId="0" fontId="18" fillId="2" borderId="12" xfId="0" applyFont="1" applyFill="1" applyBorder="1"/>
    <xf numFmtId="167" fontId="8" fillId="2" borderId="0" xfId="0" applyNumberFormat="1" applyFont="1" applyFill="1" applyBorder="1"/>
    <xf numFmtId="0" fontId="0" fillId="3" borderId="0" xfId="0" applyFill="1"/>
    <xf numFmtId="0" fontId="18" fillId="0" borderId="0" xfId="0" applyFont="1"/>
    <xf numFmtId="0" fontId="0" fillId="3" borderId="0" xfId="0" applyFill="1" applyAlignment="1">
      <alignment horizontal="right"/>
    </xf>
    <xf numFmtId="0" fontId="0" fillId="3" borderId="0" xfId="0" applyFill="1" applyAlignment="1">
      <alignment horizontal="center"/>
    </xf>
    <xf numFmtId="167" fontId="0" fillId="3" borderId="19" xfId="0" applyNumberFormat="1" applyFill="1" applyBorder="1" applyAlignment="1">
      <alignment horizontal="center"/>
    </xf>
    <xf numFmtId="165" fontId="11" fillId="9" borderId="17" xfId="0" applyNumberFormat="1" applyFont="1" applyFill="1" applyBorder="1" applyAlignment="1">
      <alignment horizontal="center"/>
    </xf>
    <xf numFmtId="0" fontId="0" fillId="0" borderId="3" xfId="0" applyFill="1" applyBorder="1" applyAlignment="1">
      <alignment horizontal="right"/>
    </xf>
    <xf numFmtId="0" fontId="0" fillId="10" borderId="13" xfId="0" applyFill="1" applyBorder="1" applyAlignment="1">
      <alignment horizontal="center" vertical="center"/>
    </xf>
    <xf numFmtId="0" fontId="0" fillId="9" borderId="13" xfId="0" applyFill="1" applyBorder="1" applyAlignment="1">
      <alignment horizontal="center"/>
    </xf>
    <xf numFmtId="0" fontId="11" fillId="5" borderId="0" xfId="0" applyFont="1" applyFill="1"/>
    <xf numFmtId="0" fontId="11" fillId="5" borderId="0" xfId="0" applyFont="1" applyFill="1" applyAlignment="1">
      <alignment horizontal="center"/>
    </xf>
    <xf numFmtId="167" fontId="0" fillId="5" borderId="0" xfId="0" applyNumberFormat="1" applyFill="1" applyAlignment="1">
      <alignment horizontal="center"/>
    </xf>
    <xf numFmtId="0" fontId="0" fillId="5" borderId="0" xfId="0" applyFill="1"/>
    <xf numFmtId="167" fontId="61" fillId="9" borderId="10" xfId="0" applyNumberFormat="1" applyFont="1" applyFill="1" applyBorder="1" applyAlignment="1">
      <alignment horizontal="center"/>
    </xf>
    <xf numFmtId="167" fontId="61" fillId="0" borderId="10" xfId="0" applyNumberFormat="1" applyFont="1" applyBorder="1" applyAlignment="1">
      <alignment horizontal="center"/>
    </xf>
    <xf numFmtId="0" fontId="61" fillId="0" borderId="0" xfId="0" applyFont="1" applyAlignment="1">
      <alignment horizontal="right"/>
    </xf>
    <xf numFmtId="167" fontId="61" fillId="3" borderId="0" xfId="0" applyNumberFormat="1" applyFont="1" applyFill="1" applyAlignment="1">
      <alignment horizontal="center"/>
    </xf>
    <xf numFmtId="0" fontId="62" fillId="3" borderId="0" xfId="0" applyFont="1" applyFill="1" applyAlignment="1">
      <alignment horizontal="center"/>
    </xf>
    <xf numFmtId="167" fontId="0" fillId="11" borderId="19" xfId="0" applyNumberFormat="1" applyFill="1" applyBorder="1" applyAlignment="1">
      <alignment horizontal="center"/>
    </xf>
    <xf numFmtId="0" fontId="0" fillId="11" borderId="0" xfId="0" applyFill="1"/>
    <xf numFmtId="0" fontId="61" fillId="4" borderId="0" xfId="0" applyFont="1" applyFill="1" applyAlignment="1">
      <alignment horizontal="right"/>
    </xf>
    <xf numFmtId="0" fontId="0" fillId="0" borderId="8" xfId="0" applyBorder="1"/>
    <xf numFmtId="0" fontId="0" fillId="0" borderId="12" xfId="0" applyBorder="1"/>
    <xf numFmtId="0" fontId="8" fillId="12" borderId="0" xfId="0" applyFont="1" applyFill="1" applyBorder="1"/>
    <xf numFmtId="1" fontId="0" fillId="9" borderId="0" xfId="0" applyNumberFormat="1" applyFill="1" applyAlignment="1">
      <alignment horizontal="center"/>
    </xf>
    <xf numFmtId="0" fontId="0" fillId="13" borderId="0" xfId="0" applyFill="1" applyAlignment="1">
      <alignment horizontal="center"/>
    </xf>
    <xf numFmtId="0" fontId="61" fillId="3" borderId="0" xfId="0" applyFont="1" applyFill="1" applyAlignment="1">
      <alignment horizontal="center"/>
    </xf>
    <xf numFmtId="0" fontId="10" fillId="0" borderId="0" xfId="0" applyFont="1"/>
    <xf numFmtId="2" fontId="0" fillId="12" borderId="0" xfId="0" applyNumberFormat="1" applyFill="1" applyAlignment="1">
      <alignment horizontal="center"/>
    </xf>
    <xf numFmtId="0" fontId="63" fillId="0" borderId="0" xfId="0" applyFont="1"/>
    <xf numFmtId="0" fontId="0" fillId="10" borderId="0" xfId="0" applyFill="1"/>
    <xf numFmtId="0" fontId="11" fillId="10" borderId="0" xfId="0" applyFont="1" applyFill="1" applyAlignment="1">
      <alignment horizontal="right"/>
    </xf>
    <xf numFmtId="0" fontId="0" fillId="10" borderId="0" xfId="0" applyFill="1" applyAlignment="1">
      <alignment horizontal="right"/>
    </xf>
    <xf numFmtId="0" fontId="37" fillId="0" borderId="21" xfId="0" applyFont="1" applyBorder="1"/>
    <xf numFmtId="0" fontId="26" fillId="0" borderId="24" xfId="0" applyFont="1" applyBorder="1"/>
    <xf numFmtId="0" fontId="26" fillId="0" borderId="25" xfId="0" applyFont="1" applyBorder="1"/>
    <xf numFmtId="0" fontId="26" fillId="9" borderId="36" xfId="0" applyFont="1" applyFill="1" applyBorder="1"/>
    <xf numFmtId="0" fontId="23" fillId="0" borderId="0" xfId="0" applyFont="1" applyBorder="1" applyAlignment="1">
      <alignment horizontal="right"/>
    </xf>
    <xf numFmtId="0" fontId="26" fillId="0" borderId="0" xfId="0" applyFont="1" applyBorder="1"/>
    <xf numFmtId="0" fontId="26" fillId="0" borderId="37" xfId="0" applyFont="1" applyBorder="1"/>
    <xf numFmtId="0" fontId="26" fillId="0" borderId="38" xfId="0" applyFont="1" applyBorder="1"/>
    <xf numFmtId="0" fontId="23" fillId="0" borderId="39" xfId="0" applyFont="1" applyBorder="1" applyAlignment="1">
      <alignment horizontal="right"/>
    </xf>
    <xf numFmtId="0" fontId="26" fillId="0" borderId="39" xfId="0" applyFont="1" applyBorder="1"/>
    <xf numFmtId="0" fontId="26" fillId="0" borderId="40" xfId="0" applyFont="1" applyBorder="1"/>
    <xf numFmtId="0" fontId="26" fillId="0" borderId="0" xfId="0" applyFont="1" applyAlignment="1">
      <alignment horizontal="right"/>
    </xf>
    <xf numFmtId="0" fontId="37" fillId="0" borderId="0" xfId="0" applyFont="1" applyAlignment="1">
      <alignment horizontal="right"/>
    </xf>
    <xf numFmtId="167" fontId="26" fillId="0" borderId="0" xfId="0" applyNumberFormat="1" applyFont="1" applyAlignment="1">
      <alignment horizontal="right"/>
    </xf>
    <xf numFmtId="167" fontId="26" fillId="0" borderId="0" xfId="0" applyNumberFormat="1" applyFont="1"/>
    <xf numFmtId="0" fontId="0" fillId="0" borderId="0" xfId="0" applyFill="1" applyBorder="1"/>
    <xf numFmtId="167" fontId="26" fillId="9" borderId="11" xfId="0" applyNumberFormat="1" applyFont="1" applyFill="1" applyBorder="1"/>
    <xf numFmtId="0" fontId="37" fillId="9" borderId="11" xfId="0" applyFont="1" applyFill="1" applyBorder="1" applyAlignment="1">
      <alignment horizontal="right"/>
    </xf>
    <xf numFmtId="0" fontId="64" fillId="0" borderId="0" xfId="0" applyFont="1"/>
    <xf numFmtId="167" fontId="0" fillId="9" borderId="19" xfId="0" applyNumberFormat="1" applyFill="1" applyBorder="1" applyAlignment="1">
      <alignment horizontal="center"/>
    </xf>
    <xf numFmtId="0" fontId="65" fillId="14" borderId="0" xfId="0" applyFont="1" applyFill="1"/>
    <xf numFmtId="0" fontId="65" fillId="14" borderId="0" xfId="0" applyFont="1" applyFill="1" applyAlignment="1">
      <alignment horizontal="center"/>
    </xf>
    <xf numFmtId="0" fontId="21" fillId="14" borderId="0" xfId="0" applyFont="1" applyFill="1"/>
    <xf numFmtId="167" fontId="21" fillId="14" borderId="0" xfId="0" applyNumberFormat="1" applyFont="1" applyFill="1" applyAlignment="1">
      <alignment horizontal="center"/>
    </xf>
    <xf numFmtId="0" fontId="0" fillId="9" borderId="0" xfId="0" applyFill="1" applyAlignment="1">
      <alignment horizontal="right"/>
    </xf>
    <xf numFmtId="0" fontId="48" fillId="9" borderId="0" xfId="0" applyFont="1" applyFill="1"/>
    <xf numFmtId="0" fontId="0" fillId="9" borderId="0" xfId="0" quotePrefix="1" applyFill="1" applyAlignment="1">
      <alignment horizontal="left"/>
    </xf>
    <xf numFmtId="0" fontId="0" fillId="15" borderId="17" xfId="0" applyFill="1" applyBorder="1" applyAlignment="1">
      <alignment horizontal="center"/>
    </xf>
    <xf numFmtId="165" fontId="11" fillId="16" borderId="17" xfId="0" applyNumberFormat="1" applyFont="1" applyFill="1" applyBorder="1" applyAlignment="1">
      <alignment horizontal="center"/>
    </xf>
    <xf numFmtId="0" fontId="0" fillId="15" borderId="13" xfId="0" applyFill="1" applyBorder="1" applyAlignment="1">
      <alignment horizontal="center" vertical="center"/>
    </xf>
    <xf numFmtId="166" fontId="6" fillId="0" borderId="0" xfId="0" applyNumberFormat="1" applyFont="1" applyFill="1" applyBorder="1" applyAlignment="1">
      <alignment horizontal="center"/>
    </xf>
    <xf numFmtId="165" fontId="17" fillId="0" borderId="0" xfId="0" applyNumberFormat="1" applyFont="1" applyFill="1" applyBorder="1" applyAlignment="1">
      <alignment horizontal="left"/>
    </xf>
    <xf numFmtId="0" fontId="8" fillId="17" borderId="0" xfId="0" applyFont="1" applyFill="1" applyBorder="1"/>
    <xf numFmtId="0" fontId="8" fillId="17" borderId="0" xfId="0" quotePrefix="1" applyFont="1" applyFill="1" applyBorder="1" applyAlignment="1">
      <alignment horizontal="right"/>
    </xf>
    <xf numFmtId="0" fontId="73" fillId="18" borderId="0" xfId="0" applyFont="1" applyFill="1"/>
    <xf numFmtId="0" fontId="74" fillId="18" borderId="0" xfId="0" applyFont="1" applyFill="1"/>
    <xf numFmtId="0" fontId="69" fillId="0" borderId="0" xfId="0" applyFont="1"/>
    <xf numFmtId="0" fontId="0" fillId="19" borderId="0" xfId="0" applyFill="1"/>
    <xf numFmtId="0" fontId="75" fillId="19" borderId="0" xfId="0" applyFont="1" applyFill="1" applyProtection="1"/>
    <xf numFmtId="0" fontId="76" fillId="19" borderId="0" xfId="0" applyFont="1" applyFill="1" applyProtection="1"/>
    <xf numFmtId="0" fontId="8" fillId="19" borderId="0" xfId="0" quotePrefix="1" applyFont="1" applyFill="1" applyAlignment="1" applyProtection="1">
      <alignment horizontal="left"/>
    </xf>
    <xf numFmtId="0" fontId="11" fillId="19" borderId="0" xfId="0" quotePrefix="1" applyFont="1" applyFill="1" applyAlignment="1" applyProtection="1">
      <alignment horizontal="left"/>
    </xf>
    <xf numFmtId="0" fontId="0" fillId="19" borderId="0" xfId="0" applyFill="1" applyProtection="1"/>
    <xf numFmtId="165" fontId="0" fillId="19" borderId="0" xfId="0" applyNumberFormat="1" applyFill="1" applyProtection="1"/>
    <xf numFmtId="165" fontId="70" fillId="19" borderId="0" xfId="0" applyNumberFormat="1" applyFont="1" applyFill="1" applyProtection="1"/>
    <xf numFmtId="0" fontId="70" fillId="19" borderId="0" xfId="0" applyFont="1" applyFill="1" applyProtection="1"/>
    <xf numFmtId="165" fontId="11" fillId="19" borderId="0" xfId="0" applyNumberFormat="1" applyFont="1" applyFill="1" applyProtection="1"/>
    <xf numFmtId="165" fontId="76" fillId="19" borderId="0" xfId="0" applyNumberFormat="1" applyFont="1" applyFill="1" applyProtection="1"/>
    <xf numFmtId="0" fontId="76" fillId="19" borderId="0" xfId="0" applyFont="1" applyFill="1"/>
    <xf numFmtId="0" fontId="8" fillId="19" borderId="0" xfId="0" applyFont="1" applyFill="1" applyProtection="1"/>
    <xf numFmtId="0" fontId="17" fillId="19" borderId="0" xfId="0" applyFont="1" applyFill="1" applyProtection="1"/>
    <xf numFmtId="0" fontId="74" fillId="18" borderId="0" xfId="0" quotePrefix="1" applyFont="1" applyFill="1" applyAlignment="1">
      <alignment horizontal="left"/>
    </xf>
    <xf numFmtId="0" fontId="11" fillId="3" borderId="0" xfId="0" applyFont="1" applyFill="1" applyAlignment="1">
      <alignment horizontal="center"/>
    </xf>
    <xf numFmtId="0" fontId="76" fillId="19" borderId="0" xfId="0" applyFont="1" applyFill="1" applyAlignment="1" applyProtection="1">
      <alignment horizontal="center"/>
    </xf>
    <xf numFmtId="0" fontId="0" fillId="19" borderId="0" xfId="0" applyFill="1" applyAlignment="1" applyProtection="1">
      <alignment horizontal="center"/>
    </xf>
    <xf numFmtId="0" fontId="75" fillId="19" borderId="0" xfId="0" applyFont="1" applyFill="1" applyAlignment="1" applyProtection="1">
      <alignment horizontal="center"/>
    </xf>
    <xf numFmtId="0" fontId="76" fillId="19" borderId="0" xfId="0" applyNumberFormat="1" applyFont="1" applyFill="1" applyAlignment="1" applyProtection="1">
      <alignment horizontal="center"/>
    </xf>
    <xf numFmtId="0" fontId="71" fillId="0" borderId="0" xfId="0" applyFont="1"/>
    <xf numFmtId="0" fontId="8" fillId="0" borderId="0" xfId="0" applyFont="1"/>
    <xf numFmtId="0" fontId="11" fillId="20" borderId="0" xfId="0" applyFont="1" applyFill="1"/>
    <xf numFmtId="0" fontId="77" fillId="19" borderId="0" xfId="0" applyFont="1" applyFill="1"/>
    <xf numFmtId="0" fontId="0" fillId="15" borderId="0" xfId="0" applyFill="1"/>
    <xf numFmtId="165" fontId="0" fillId="15" borderId="0" xfId="0" applyNumberFormat="1" applyFill="1"/>
    <xf numFmtId="0" fontId="71" fillId="15" borderId="0" xfId="0" applyFont="1" applyFill="1"/>
    <xf numFmtId="0" fontId="49" fillId="0" borderId="0" xfId="0" quotePrefix="1" applyFont="1" applyAlignment="1">
      <alignment horizontal="left"/>
    </xf>
    <xf numFmtId="0" fontId="8" fillId="0" borderId="0" xfId="0" applyFont="1" applyFill="1"/>
    <xf numFmtId="0" fontId="72" fillId="0" borderId="0" xfId="0" applyFont="1"/>
    <xf numFmtId="0" fontId="76" fillId="0" borderId="0" xfId="0" applyFont="1"/>
    <xf numFmtId="0" fontId="11" fillId="17" borderId="0" xfId="0" applyFont="1" applyFill="1"/>
    <xf numFmtId="0" fontId="0" fillId="0" borderId="0" xfId="0" applyAlignment="1">
      <alignment horizontal="center"/>
    </xf>
    <xf numFmtId="0" fontId="5" fillId="0" borderId="10" xfId="0" applyFont="1" applyFill="1" applyBorder="1" applyAlignment="1">
      <alignment horizontal="right"/>
    </xf>
    <xf numFmtId="0" fontId="5" fillId="0" borderId="10" xfId="0" applyFont="1" applyFill="1" applyBorder="1" applyAlignment="1">
      <alignment horizontal="left"/>
    </xf>
    <xf numFmtId="2" fontId="5" fillId="0" borderId="0" xfId="0" applyNumberFormat="1" applyFont="1" applyFill="1" applyBorder="1" applyAlignment="1">
      <alignment horizontal="center"/>
    </xf>
    <xf numFmtId="165"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0" fontId="5" fillId="9" borderId="1" xfId="0" applyFont="1" applyFill="1" applyBorder="1" applyAlignment="1">
      <alignment horizontal="center"/>
    </xf>
    <xf numFmtId="166" fontId="5" fillId="0" borderId="0" xfId="0" applyNumberFormat="1" applyFont="1" applyFill="1" applyBorder="1" applyAlignment="1">
      <alignment horizontal="center"/>
    </xf>
    <xf numFmtId="0" fontId="11" fillId="21" borderId="0" xfId="0" applyFont="1" applyFill="1" applyAlignment="1">
      <alignment horizontal="center"/>
    </xf>
    <xf numFmtId="0" fontId="50" fillId="21" borderId="0" xfId="0" applyFont="1" applyFill="1" applyAlignment="1">
      <alignment horizontal="center"/>
    </xf>
    <xf numFmtId="0" fontId="50" fillId="21" borderId="1" xfId="0" applyFont="1" applyFill="1" applyBorder="1" applyAlignment="1">
      <alignment horizontal="center"/>
    </xf>
    <xf numFmtId="167" fontId="50" fillId="21" borderId="10" xfId="0" applyNumberFormat="1" applyFont="1" applyFill="1" applyBorder="1" applyAlignment="1">
      <alignment horizontal="center"/>
    </xf>
    <xf numFmtId="165" fontId="50" fillId="21" borderId="9" xfId="0" applyNumberFormat="1" applyFont="1" applyFill="1" applyBorder="1" applyAlignment="1">
      <alignment horizontal="center"/>
    </xf>
    <xf numFmtId="165" fontId="50" fillId="21" borderId="0" xfId="0" applyNumberFormat="1" applyFont="1" applyFill="1" applyAlignment="1">
      <alignment horizontal="center"/>
    </xf>
    <xf numFmtId="165" fontId="0" fillId="22" borderId="0" xfId="0" applyNumberFormat="1" applyFill="1" applyAlignment="1">
      <alignment horizontal="center"/>
    </xf>
    <xf numFmtId="167" fontId="0" fillId="23" borderId="19" xfId="0" applyNumberFormat="1" applyFill="1" applyBorder="1" applyAlignment="1">
      <alignment horizontal="center"/>
    </xf>
    <xf numFmtId="165" fontId="11" fillId="0" borderId="0" xfId="0" applyNumberFormat="1" applyFont="1" applyFill="1" applyAlignment="1">
      <alignment horizontal="center"/>
    </xf>
    <xf numFmtId="167" fontId="11" fillId="11" borderId="0" xfId="0" applyNumberFormat="1" applyFont="1" applyFill="1" applyAlignment="1">
      <alignment horizontal="center"/>
    </xf>
    <xf numFmtId="0" fontId="5" fillId="3" borderId="0" xfId="0" applyFont="1" applyFill="1" applyAlignment="1">
      <alignment horizontal="center"/>
    </xf>
    <xf numFmtId="0" fontId="11" fillId="9" borderId="0" xfId="0" applyFont="1" applyFill="1" applyAlignment="1">
      <alignment horizontal="right"/>
    </xf>
    <xf numFmtId="0" fontId="0" fillId="24" borderId="0" xfId="0" applyFill="1"/>
    <xf numFmtId="0" fontId="0" fillId="24" borderId="31" xfId="0" applyFill="1" applyBorder="1"/>
    <xf numFmtId="167" fontId="0" fillId="24" borderId="0" xfId="0" applyNumberFormat="1" applyFill="1"/>
    <xf numFmtId="0" fontId="80" fillId="0" borderId="0" xfId="0" applyFont="1"/>
    <xf numFmtId="0" fontId="5" fillId="25" borderId="0" xfId="0" applyFont="1" applyFill="1" applyBorder="1"/>
    <xf numFmtId="0" fontId="0" fillId="25" borderId="31" xfId="0" applyFill="1" applyBorder="1"/>
    <xf numFmtId="0" fontId="0" fillId="25" borderId="0" xfId="0" quotePrefix="1" applyFill="1" applyAlignment="1">
      <alignment horizontal="left"/>
    </xf>
    <xf numFmtId="0" fontId="0" fillId="25" borderId="0" xfId="0" applyFill="1"/>
    <xf numFmtId="0" fontId="0" fillId="21" borderId="0" xfId="0" applyFill="1"/>
    <xf numFmtId="0" fontId="81" fillId="2" borderId="0" xfId="0" applyFont="1" applyFill="1" applyBorder="1"/>
    <xf numFmtId="0" fontId="0" fillId="0" borderId="0" xfId="0" quotePrefix="1" applyFill="1" applyAlignment="1">
      <alignment horizontal="left"/>
    </xf>
    <xf numFmtId="0" fontId="5" fillId="2" borderId="0" xfId="0" applyFont="1" applyFill="1" applyBorder="1"/>
    <xf numFmtId="0" fontId="49" fillId="16" borderId="0" xfId="0" applyFont="1" applyFill="1"/>
    <xf numFmtId="0" fontId="11" fillId="0" borderId="0" xfId="0" quotePrefix="1" applyFont="1" applyAlignment="1">
      <alignment horizontal="left"/>
    </xf>
    <xf numFmtId="167" fontId="0" fillId="25" borderId="0" xfId="0" applyNumberFormat="1" applyFill="1"/>
    <xf numFmtId="0" fontId="5" fillId="0" borderId="0" xfId="0" applyFont="1"/>
    <xf numFmtId="0" fontId="11" fillId="21" borderId="0" xfId="0" applyFont="1" applyFill="1" applyAlignment="1">
      <alignment horizontal="right"/>
    </xf>
    <xf numFmtId="165" fontId="0" fillId="17" borderId="0" xfId="0" applyNumberFormat="1" applyFill="1" applyAlignment="1">
      <alignment horizontal="center"/>
    </xf>
    <xf numFmtId="167" fontId="0" fillId="21" borderId="0" xfId="0" applyNumberFormat="1" applyFill="1" applyAlignment="1">
      <alignment horizontal="center"/>
    </xf>
    <xf numFmtId="167" fontId="61" fillId="21" borderId="0" xfId="0" applyNumberFormat="1" applyFont="1" applyFill="1" applyAlignment="1">
      <alignment horizontal="center"/>
    </xf>
    <xf numFmtId="0" fontId="5" fillId="21" borderId="0" xfId="0" applyFont="1" applyFill="1" applyAlignment="1">
      <alignment horizontal="right"/>
    </xf>
    <xf numFmtId="0" fontId="0" fillId="17" borderId="0" xfId="0" applyFill="1" applyAlignment="1">
      <alignment horizontal="center"/>
    </xf>
    <xf numFmtId="0" fontId="10" fillId="21" borderId="0" xfId="0" applyFont="1" applyFill="1" applyAlignment="1">
      <alignment horizontal="center"/>
    </xf>
    <xf numFmtId="0" fontId="0" fillId="21" borderId="13" xfId="0" applyFill="1" applyBorder="1" applyAlignment="1">
      <alignment horizontal="center" vertical="center"/>
    </xf>
    <xf numFmtId="0" fontId="0" fillId="21" borderId="1" xfId="0" applyFill="1" applyBorder="1" applyAlignment="1">
      <alignment horizontal="center"/>
    </xf>
    <xf numFmtId="167" fontId="61" fillId="21" borderId="10" xfId="0" applyNumberFormat="1" applyFont="1" applyFill="1" applyBorder="1" applyAlignment="1">
      <alignment horizontal="center"/>
    </xf>
    <xf numFmtId="165" fontId="0" fillId="21" borderId="9" xfId="0" applyNumberFormat="1" applyFill="1" applyBorder="1" applyAlignment="1">
      <alignment horizontal="center"/>
    </xf>
    <xf numFmtId="165" fontId="0" fillId="21" borderId="0" xfId="0" applyNumberFormat="1" applyFill="1" applyAlignment="1">
      <alignment horizontal="center"/>
    </xf>
    <xf numFmtId="0" fontId="11" fillId="0" borderId="0" xfId="0" applyFont="1" applyFill="1" applyAlignment="1">
      <alignment horizontal="right"/>
    </xf>
    <xf numFmtId="0" fontId="18" fillId="16" borderId="0" xfId="0" quotePrefix="1" applyFont="1" applyFill="1" applyAlignment="1">
      <alignment horizontal="right"/>
    </xf>
    <xf numFmtId="16" fontId="76" fillId="19" borderId="0" xfId="0" applyNumberFormat="1" applyFont="1" applyFill="1" applyAlignment="1" applyProtection="1">
      <alignment horizontal="center"/>
    </xf>
    <xf numFmtId="0" fontId="52" fillId="17" borderId="0" xfId="0" quotePrefix="1" applyFont="1" applyFill="1" applyBorder="1" applyAlignment="1">
      <alignment horizontal="right"/>
    </xf>
    <xf numFmtId="0" fontId="54" fillId="17" borderId="0" xfId="0" quotePrefix="1" applyFont="1" applyFill="1" applyBorder="1" applyAlignment="1">
      <alignment horizontal="right"/>
    </xf>
    <xf numFmtId="0" fontId="0" fillId="0" borderId="0" xfId="0" applyFill="1" applyAlignment="1">
      <alignment horizontal="right"/>
    </xf>
    <xf numFmtId="167" fontId="8" fillId="0" borderId="0" xfId="0" applyNumberFormat="1" applyFont="1" applyFill="1" applyBorder="1"/>
    <xf numFmtId="0" fontId="8" fillId="0" borderId="0" xfId="0" applyFont="1" applyFill="1" applyBorder="1"/>
    <xf numFmtId="0" fontId="8" fillId="0" borderId="5" xfId="0" applyFont="1" applyFill="1" applyBorder="1"/>
    <xf numFmtId="0" fontId="0" fillId="17" borderId="21" xfId="0" applyFill="1" applyBorder="1"/>
    <xf numFmtId="0" fontId="0" fillId="17" borderId="24" xfId="0" applyFill="1" applyBorder="1"/>
    <xf numFmtId="0" fontId="0" fillId="17" borderId="25" xfId="0" applyFill="1" applyBorder="1"/>
    <xf numFmtId="0" fontId="0" fillId="17" borderId="36" xfId="0" applyFill="1" applyBorder="1"/>
    <xf numFmtId="0" fontId="0" fillId="17" borderId="37" xfId="0" applyFill="1" applyBorder="1"/>
    <xf numFmtId="0" fontId="0" fillId="17" borderId="38" xfId="0" applyFill="1" applyBorder="1"/>
    <xf numFmtId="0" fontId="0" fillId="17" borderId="39" xfId="0" applyFill="1" applyBorder="1"/>
    <xf numFmtId="0" fontId="0" fillId="17" borderId="40" xfId="0" applyFill="1" applyBorder="1"/>
    <xf numFmtId="0" fontId="8" fillId="0" borderId="5" xfId="0" applyNumberFormat="1" applyFont="1" applyFill="1" applyBorder="1"/>
    <xf numFmtId="0" fontId="0" fillId="17" borderId="0" xfId="0" applyFill="1"/>
    <xf numFmtId="0" fontId="5" fillId="0" borderId="0" xfId="0" quotePrefix="1" applyFont="1" applyAlignment="1">
      <alignment horizontal="left"/>
    </xf>
    <xf numFmtId="0" fontId="0" fillId="27" borderId="0" xfId="0" applyFill="1"/>
    <xf numFmtId="0" fontId="49" fillId="27" borderId="0" xfId="0" applyFont="1" applyFill="1" applyAlignment="1">
      <alignment horizontal="right"/>
    </xf>
    <xf numFmtId="0" fontId="11" fillId="27" borderId="19" xfId="0" applyFont="1" applyFill="1" applyBorder="1" applyAlignment="1">
      <alignment horizontal="center"/>
    </xf>
    <xf numFmtId="0" fontId="5" fillId="27" borderId="0" xfId="0" applyFont="1" applyFill="1" applyAlignment="1">
      <alignment horizontal="right"/>
    </xf>
    <xf numFmtId="0" fontId="5" fillId="27" borderId="0" xfId="0" quotePrefix="1" applyFont="1" applyFill="1" applyAlignment="1">
      <alignment horizontal="left"/>
    </xf>
    <xf numFmtId="0" fontId="5" fillId="27" borderId="0" xfId="0" applyFont="1" applyFill="1" applyAlignment="1">
      <alignment horizontal="center"/>
    </xf>
    <xf numFmtId="17" fontId="78" fillId="24" borderId="0" xfId="0" quotePrefix="1" applyNumberFormat="1" applyFont="1" applyFill="1" applyAlignment="1">
      <alignment horizontal="right"/>
    </xf>
    <xf numFmtId="0" fontId="88" fillId="24" borderId="0" xfId="0" quotePrefix="1" applyNumberFormat="1" applyFont="1" applyFill="1" applyAlignment="1">
      <alignment horizontal="right"/>
    </xf>
    <xf numFmtId="0" fontId="5" fillId="17" borderId="0" xfId="0" quotePrefix="1" applyFont="1" applyFill="1" applyAlignment="1">
      <alignment horizontal="left"/>
    </xf>
    <xf numFmtId="0" fontId="11" fillId="17" borderId="0" xfId="0" applyFont="1" applyFill="1" applyAlignment="1">
      <alignment horizontal="right"/>
    </xf>
    <xf numFmtId="0" fontId="5" fillId="17" borderId="19" xfId="0" applyFont="1" applyFill="1" applyBorder="1"/>
    <xf numFmtId="0" fontId="0" fillId="0" borderId="25" xfId="0" applyFill="1" applyBorder="1"/>
    <xf numFmtId="0" fontId="0" fillId="0" borderId="37" xfId="0" applyFill="1" applyBorder="1"/>
    <xf numFmtId="0" fontId="0" fillId="0" borderId="40" xfId="0" applyFill="1" applyBorder="1"/>
    <xf numFmtId="0" fontId="5" fillId="0" borderId="0" xfId="0" applyFont="1" applyFill="1" applyBorder="1" applyAlignment="1"/>
    <xf numFmtId="0" fontId="0" fillId="0" borderId="24" xfId="0" applyFill="1" applyBorder="1"/>
    <xf numFmtId="0" fontId="0" fillId="0" borderId="39" xfId="0" applyFill="1" applyBorder="1"/>
    <xf numFmtId="0" fontId="90" fillId="0" borderId="0" xfId="0" quotePrefix="1" applyFont="1" applyAlignment="1">
      <alignment horizontal="left" vertical="center"/>
    </xf>
    <xf numFmtId="0" fontId="91" fillId="0" borderId="0" xfId="0" quotePrefix="1" applyFont="1" applyAlignment="1">
      <alignment horizontal="left"/>
    </xf>
    <xf numFmtId="0" fontId="11" fillId="28" borderId="0" xfId="0" applyFont="1" applyFill="1"/>
    <xf numFmtId="0" fontId="0" fillId="28" borderId="0" xfId="0" applyFill="1"/>
    <xf numFmtId="0" fontId="26" fillId="0" borderId="0" xfId="0" applyFont="1" applyBorder="1" applyAlignment="1">
      <alignment horizontal="right"/>
    </xf>
    <xf numFmtId="0" fontId="37" fillId="0" borderId="0" xfId="0" applyFont="1" applyBorder="1" applyAlignment="1">
      <alignment horizontal="right"/>
    </xf>
    <xf numFmtId="167" fontId="26" fillId="0" borderId="0" xfId="0" applyNumberFormat="1" applyFont="1" applyBorder="1" applyAlignment="1">
      <alignment horizontal="right"/>
    </xf>
    <xf numFmtId="167" fontId="5" fillId="0" borderId="0" xfId="0" applyNumberFormat="1" applyFont="1" applyBorder="1"/>
    <xf numFmtId="0" fontId="37" fillId="0" borderId="11" xfId="0" applyFont="1" applyFill="1" applyBorder="1" applyAlignment="1">
      <alignment horizontal="right"/>
    </xf>
    <xf numFmtId="167" fontId="26" fillId="0" borderId="11" xfId="0" applyNumberFormat="1" applyFont="1" applyFill="1" applyBorder="1"/>
    <xf numFmtId="167" fontId="0" fillId="28" borderId="0" xfId="0" applyNumberFormat="1" applyFill="1" applyAlignment="1">
      <alignment horizontal="center"/>
    </xf>
    <xf numFmtId="0" fontId="8" fillId="0" borderId="12" xfId="0" applyFont="1" applyBorder="1"/>
    <xf numFmtId="0" fontId="11" fillId="9" borderId="11" xfId="0" applyFont="1" applyFill="1" applyBorder="1" applyAlignment="1">
      <alignment horizontal="right"/>
    </xf>
    <xf numFmtId="0" fontId="11" fillId="0" borderId="10" xfId="0" applyFont="1" applyBorder="1"/>
    <xf numFmtId="0" fontId="11" fillId="0" borderId="0" xfId="0" applyFont="1" applyFill="1"/>
    <xf numFmtId="164" fontId="8" fillId="9" borderId="11" xfId="0" applyNumberFormat="1" applyFont="1" applyFill="1" applyBorder="1"/>
    <xf numFmtId="0" fontId="5" fillId="0" borderId="0" xfId="0" applyFont="1" applyAlignment="1">
      <alignment horizontal="right"/>
    </xf>
    <xf numFmtId="0" fontId="5" fillId="0" borderId="0" xfId="2" applyFont="1" applyAlignment="1">
      <alignment horizontal="right"/>
    </xf>
    <xf numFmtId="0" fontId="5" fillId="29" borderId="0" xfId="2" applyFill="1"/>
    <xf numFmtId="0" fontId="18" fillId="15" borderId="0" xfId="0" applyFont="1" applyFill="1" applyAlignment="1">
      <alignment horizontal="right"/>
    </xf>
    <xf numFmtId="0" fontId="18" fillId="15" borderId="0" xfId="0" applyFont="1" applyFill="1"/>
    <xf numFmtId="0" fontId="69" fillId="15" borderId="0" xfId="0" applyFont="1" applyFill="1"/>
    <xf numFmtId="0" fontId="5" fillId="0" borderId="0" xfId="2" applyAlignment="1">
      <alignment horizontal="right"/>
    </xf>
    <xf numFmtId="0" fontId="0" fillId="38" borderId="1" xfId="0" applyFill="1" applyBorder="1" applyAlignment="1">
      <alignment horizontal="center"/>
    </xf>
    <xf numFmtId="0" fontId="0" fillId="0" borderId="0" xfId="0" applyFill="1" applyBorder="1" applyAlignment="1"/>
    <xf numFmtId="0" fontId="97" fillId="0" borderId="0" xfId="0" applyFont="1" applyFill="1" applyBorder="1" applyAlignment="1">
      <alignment wrapText="1"/>
    </xf>
    <xf numFmtId="0" fontId="5" fillId="0" borderId="0" xfId="2"/>
    <xf numFmtId="0" fontId="11" fillId="0" borderId="0" xfId="2" applyFont="1"/>
    <xf numFmtId="0" fontId="5" fillId="0" borderId="0" xfId="2" applyFont="1"/>
    <xf numFmtId="0" fontId="5" fillId="0" borderId="0" xfId="2" quotePrefix="1" applyFont="1"/>
    <xf numFmtId="0" fontId="49" fillId="0" borderId="0" xfId="2" applyFont="1" applyFill="1" applyBorder="1" applyAlignment="1"/>
    <xf numFmtId="0" fontId="49" fillId="0" borderId="0" xfId="2" applyFont="1" applyFill="1" applyBorder="1" applyAlignment="1">
      <alignment horizontal="center" wrapText="1"/>
    </xf>
    <xf numFmtId="0" fontId="5" fillId="0" borderId="0" xfId="2" applyFont="1" applyFill="1" applyBorder="1" applyAlignment="1">
      <alignment vertical="center"/>
    </xf>
    <xf numFmtId="0" fontId="5" fillId="0" borderId="0" xfId="2" applyAlignment="1">
      <alignment vertical="center"/>
    </xf>
    <xf numFmtId="0" fontId="5" fillId="0" borderId="36" xfId="2" applyBorder="1"/>
    <xf numFmtId="2" fontId="5" fillId="0" borderId="0" xfId="2" applyNumberFormat="1" applyBorder="1"/>
    <xf numFmtId="0" fontId="5" fillId="0" borderId="0" xfId="2" applyBorder="1"/>
    <xf numFmtId="0" fontId="5" fillId="0" borderId="37" xfId="2" applyBorder="1"/>
    <xf numFmtId="0" fontId="5" fillId="0" borderId="0" xfId="2" applyFont="1" applyFill="1" applyBorder="1"/>
    <xf numFmtId="1" fontId="5" fillId="32" borderId="21" xfId="2" applyNumberFormat="1" applyFill="1" applyBorder="1"/>
    <xf numFmtId="1" fontId="5" fillId="32" borderId="24" xfId="2" applyNumberFormat="1" applyFill="1" applyBorder="1"/>
    <xf numFmtId="1" fontId="5" fillId="32" borderId="25" xfId="2" applyNumberFormat="1" applyFill="1" applyBorder="1"/>
    <xf numFmtId="0" fontId="5" fillId="32" borderId="17" xfId="2" applyFill="1" applyBorder="1" applyAlignment="1">
      <alignment horizontal="center"/>
    </xf>
    <xf numFmtId="170" fontId="5" fillId="32" borderId="36" xfId="2" applyNumberFormat="1" applyFill="1" applyBorder="1"/>
    <xf numFmtId="170" fontId="5" fillId="32" borderId="0" xfId="2" applyNumberFormat="1" applyFill="1" applyBorder="1"/>
    <xf numFmtId="170" fontId="5" fillId="32" borderId="37" xfId="2" applyNumberFormat="1" applyFill="1" applyBorder="1"/>
    <xf numFmtId="0" fontId="5" fillId="32" borderId="18" xfId="2" applyFill="1" applyBorder="1" applyAlignment="1">
      <alignment horizontal="center"/>
    </xf>
    <xf numFmtId="170" fontId="5" fillId="32" borderId="38" xfId="2" applyNumberFormat="1" applyFill="1" applyBorder="1"/>
    <xf numFmtId="170" fontId="5" fillId="32" borderId="39" xfId="2" applyNumberFormat="1" applyFill="1" applyBorder="1"/>
    <xf numFmtId="170" fontId="5" fillId="32" borderId="40" xfId="2" applyNumberFormat="1" applyFill="1" applyBorder="1"/>
    <xf numFmtId="1" fontId="5" fillId="35" borderId="24" xfId="2" applyNumberFormat="1" applyFill="1" applyBorder="1"/>
    <xf numFmtId="1" fontId="5" fillId="35" borderId="25" xfId="2" applyNumberFormat="1" applyFill="1" applyBorder="1"/>
    <xf numFmtId="0" fontId="5" fillId="35" borderId="17" xfId="2" applyFont="1" applyFill="1" applyBorder="1" applyAlignment="1">
      <alignment horizontal="center"/>
    </xf>
    <xf numFmtId="170" fontId="5" fillId="35" borderId="0" xfId="2" applyNumberFormat="1" applyFill="1" applyBorder="1"/>
    <xf numFmtId="170" fontId="5" fillId="35" borderId="37" xfId="2" applyNumberFormat="1" applyFill="1" applyBorder="1"/>
    <xf numFmtId="0" fontId="5" fillId="0" borderId="0" xfId="2" applyFill="1"/>
    <xf numFmtId="0" fontId="5" fillId="35" borderId="18" xfId="2" applyFont="1" applyFill="1" applyBorder="1" applyAlignment="1">
      <alignment horizontal="center"/>
    </xf>
    <xf numFmtId="1" fontId="5" fillId="33" borderId="24" xfId="2" applyNumberFormat="1" applyFill="1" applyBorder="1"/>
    <xf numFmtId="1" fontId="5" fillId="33" borderId="25" xfId="2" applyNumberFormat="1" applyFill="1" applyBorder="1"/>
    <xf numFmtId="0" fontId="5" fillId="33" borderId="17" xfId="2" applyFont="1" applyFill="1" applyBorder="1" applyAlignment="1">
      <alignment horizontal="center"/>
    </xf>
    <xf numFmtId="170" fontId="5" fillId="33" borderId="0" xfId="2" applyNumberFormat="1" applyFill="1" applyBorder="1"/>
    <xf numFmtId="170" fontId="5" fillId="33" borderId="37" xfId="2" applyNumberFormat="1" applyFill="1" applyBorder="1"/>
    <xf numFmtId="0" fontId="5" fillId="33" borderId="18" xfId="2" applyFont="1" applyFill="1" applyBorder="1" applyAlignment="1">
      <alignment horizontal="center"/>
    </xf>
    <xf numFmtId="2" fontId="5" fillId="0" borderId="0" xfId="2" applyNumberFormat="1" applyFill="1" applyBorder="1"/>
    <xf numFmtId="0" fontId="5" fillId="30" borderId="17" xfId="2" applyFont="1" applyFill="1" applyBorder="1" applyAlignment="1">
      <alignment horizontal="center"/>
    </xf>
    <xf numFmtId="170" fontId="5" fillId="30" borderId="0" xfId="2" applyNumberFormat="1" applyFont="1" applyFill="1" applyBorder="1"/>
    <xf numFmtId="170" fontId="5" fillId="30" borderId="37" xfId="2" applyNumberFormat="1" applyFont="1" applyFill="1" applyBorder="1"/>
    <xf numFmtId="0" fontId="5" fillId="0" borderId="0" xfId="2" applyFont="1" applyBorder="1"/>
    <xf numFmtId="0" fontId="5" fillId="0" borderId="37" xfId="2" applyFont="1" applyBorder="1"/>
    <xf numFmtId="0" fontId="5" fillId="30" borderId="18" xfId="2" applyFont="1" applyFill="1" applyBorder="1" applyAlignment="1">
      <alignment horizontal="center"/>
    </xf>
    <xf numFmtId="1" fontId="5" fillId="31" borderId="24" xfId="2" applyNumberFormat="1" applyFill="1" applyBorder="1"/>
    <xf numFmtId="1" fontId="5" fillId="31" borderId="25" xfId="2" applyNumberFormat="1" applyFill="1" applyBorder="1"/>
    <xf numFmtId="0" fontId="5" fillId="31" borderId="17" xfId="2" applyFont="1" applyFill="1" applyBorder="1" applyAlignment="1">
      <alignment horizontal="center"/>
    </xf>
    <xf numFmtId="170" fontId="5" fillId="31" borderId="0" xfId="2" applyNumberFormat="1" applyFill="1" applyBorder="1"/>
    <xf numFmtId="170" fontId="5" fillId="31" borderId="37" xfId="2" applyNumberFormat="1" applyFill="1" applyBorder="1"/>
    <xf numFmtId="0" fontId="73" fillId="0" borderId="0" xfId="2" applyFont="1" applyFill="1" applyAlignment="1">
      <alignment wrapText="1"/>
    </xf>
    <xf numFmtId="0" fontId="5" fillId="31" borderId="18" xfId="2" applyFont="1" applyFill="1" applyBorder="1" applyAlignment="1">
      <alignment horizontal="center"/>
    </xf>
    <xf numFmtId="1" fontId="5" fillId="0" borderId="0" xfId="2" applyNumberFormat="1"/>
    <xf numFmtId="0" fontId="5" fillId="34" borderId="17" xfId="2" applyFont="1" applyFill="1" applyBorder="1" applyAlignment="1">
      <alignment horizontal="center"/>
    </xf>
    <xf numFmtId="170" fontId="5" fillId="34" borderId="0" xfId="2" applyNumberFormat="1" applyFill="1" applyBorder="1"/>
    <xf numFmtId="170" fontId="5" fillId="34" borderId="37" xfId="2" applyNumberFormat="1" applyFill="1" applyBorder="1"/>
    <xf numFmtId="0" fontId="5" fillId="34" borderId="18" xfId="2" applyFont="1" applyFill="1" applyBorder="1" applyAlignment="1">
      <alignment horizontal="center"/>
    </xf>
    <xf numFmtId="0" fontId="5" fillId="36" borderId="24" xfId="2" applyFill="1" applyBorder="1"/>
    <xf numFmtId="0" fontId="5" fillId="36" borderId="25" xfId="2" applyFill="1" applyBorder="1"/>
    <xf numFmtId="0" fontId="5" fillId="36" borderId="17" xfId="2" applyFont="1" applyFill="1" applyBorder="1" applyAlignment="1">
      <alignment horizontal="center"/>
    </xf>
    <xf numFmtId="170" fontId="5" fillId="36" borderId="0" xfId="2" applyNumberFormat="1" applyFill="1" applyBorder="1"/>
    <xf numFmtId="170" fontId="5" fillId="36" borderId="37" xfId="2" applyNumberFormat="1" applyFill="1" applyBorder="1"/>
    <xf numFmtId="0" fontId="5" fillId="36" borderId="18" xfId="2" applyFont="1" applyFill="1" applyBorder="1" applyAlignment="1">
      <alignment horizontal="center"/>
    </xf>
    <xf numFmtId="170" fontId="5" fillId="36" borderId="39" xfId="2" applyNumberFormat="1" applyFill="1" applyBorder="1"/>
    <xf numFmtId="170" fontId="5" fillId="36" borderId="40" xfId="2" applyNumberFormat="1" applyFill="1" applyBorder="1"/>
    <xf numFmtId="0" fontId="5" fillId="37" borderId="24" xfId="2" applyFont="1" applyFill="1" applyBorder="1" applyAlignment="1">
      <alignment horizontal="left"/>
    </xf>
    <xf numFmtId="0" fontId="5" fillId="0" borderId="36" xfId="2" applyFont="1" applyBorder="1"/>
    <xf numFmtId="0" fontId="5" fillId="0" borderId="22" xfId="2" applyFont="1" applyBorder="1"/>
    <xf numFmtId="0" fontId="5" fillId="0" borderId="19" xfId="2" applyFont="1" applyBorder="1"/>
    <xf numFmtId="0" fontId="5" fillId="32" borderId="21" xfId="2" applyFont="1" applyFill="1" applyBorder="1"/>
    <xf numFmtId="0" fontId="5" fillId="32" borderId="24" xfId="2" applyFont="1" applyFill="1" applyBorder="1"/>
    <xf numFmtId="0" fontId="5" fillId="32" borderId="25" xfId="2" applyFont="1" applyFill="1" applyBorder="1"/>
    <xf numFmtId="0" fontId="5" fillId="32" borderId="36" xfId="2" applyFont="1" applyFill="1" applyBorder="1"/>
    <xf numFmtId="0" fontId="5" fillId="32" borderId="0" xfId="2" applyFont="1" applyFill="1" applyBorder="1"/>
    <xf numFmtId="0" fontId="5" fillId="32" borderId="37" xfId="2" applyFont="1" applyFill="1" applyBorder="1"/>
    <xf numFmtId="166" fontId="5" fillId="32" borderId="36" xfId="2" applyNumberFormat="1" applyFill="1" applyBorder="1"/>
    <xf numFmtId="166" fontId="5" fillId="32" borderId="0" xfId="2" applyNumberFormat="1" applyFill="1" applyBorder="1"/>
    <xf numFmtId="166" fontId="5" fillId="32" borderId="37" xfId="2" applyNumberFormat="1" applyFill="1" applyBorder="1"/>
    <xf numFmtId="166" fontId="5" fillId="37" borderId="38" xfId="2" applyNumberFormat="1" applyFill="1" applyBorder="1"/>
    <xf numFmtId="166" fontId="5" fillId="37" borderId="39" xfId="2" applyNumberFormat="1" applyFill="1" applyBorder="1"/>
    <xf numFmtId="166" fontId="5" fillId="37" borderId="40" xfId="2" applyNumberFormat="1" applyFill="1" applyBorder="1"/>
    <xf numFmtId="0" fontId="5" fillId="35" borderId="21" xfId="2" applyFont="1" applyFill="1" applyBorder="1"/>
    <xf numFmtId="0" fontId="5" fillId="35" borderId="24" xfId="2" applyFont="1" applyFill="1" applyBorder="1"/>
    <xf numFmtId="0" fontId="5" fillId="35" borderId="25" xfId="2" applyFont="1" applyFill="1" applyBorder="1"/>
    <xf numFmtId="0" fontId="5" fillId="35" borderId="36" xfId="2" applyFont="1" applyFill="1" applyBorder="1"/>
    <xf numFmtId="0" fontId="5" fillId="35" borderId="0" xfId="2" applyFont="1" applyFill="1" applyBorder="1"/>
    <xf numFmtId="0" fontId="5" fillId="35" borderId="37" xfId="2" applyFont="1" applyFill="1" applyBorder="1"/>
    <xf numFmtId="166" fontId="5" fillId="35" borderId="36" xfId="2" applyNumberFormat="1" applyFill="1" applyBorder="1"/>
    <xf numFmtId="166" fontId="5" fillId="35" borderId="0" xfId="2" applyNumberFormat="1" applyFill="1" applyBorder="1"/>
    <xf numFmtId="166" fontId="5" fillId="35" borderId="37" xfId="2" applyNumberFormat="1" applyFill="1" applyBorder="1"/>
    <xf numFmtId="0" fontId="5" fillId="33" borderId="21" xfId="2" applyFont="1" applyFill="1" applyBorder="1"/>
    <xf numFmtId="0" fontId="5" fillId="33" borderId="24" xfId="2" applyFont="1" applyFill="1" applyBorder="1"/>
    <xf numFmtId="0" fontId="5" fillId="33" borderId="25" xfId="2" applyFont="1" applyFill="1" applyBorder="1"/>
    <xf numFmtId="0" fontId="5" fillId="33" borderId="36" xfId="2" applyFont="1" applyFill="1" applyBorder="1"/>
    <xf numFmtId="0" fontId="5" fillId="33" borderId="0" xfId="2" applyFont="1" applyFill="1" applyBorder="1"/>
    <xf numFmtId="0" fontId="5" fillId="33" borderId="37" xfId="2" applyFont="1" applyFill="1" applyBorder="1"/>
    <xf numFmtId="166" fontId="5" fillId="33" borderId="36" xfId="2" applyNumberFormat="1" applyFill="1" applyBorder="1"/>
    <xf numFmtId="166" fontId="5" fillId="33" borderId="0" xfId="2" applyNumberFormat="1" applyFill="1" applyBorder="1"/>
    <xf numFmtId="166" fontId="5" fillId="33" borderId="37" xfId="2" applyNumberFormat="1" applyFill="1" applyBorder="1"/>
    <xf numFmtId="0" fontId="17" fillId="0" borderId="0" xfId="2" applyFont="1" applyAlignment="1">
      <alignment vertical="top" wrapText="1"/>
    </xf>
    <xf numFmtId="0" fontId="5" fillId="0" borderId="38" xfId="2" applyFont="1" applyBorder="1"/>
    <xf numFmtId="0" fontId="5" fillId="30" borderId="21" xfId="2" applyFont="1" applyFill="1" applyBorder="1"/>
    <xf numFmtId="0" fontId="5" fillId="30" borderId="24" xfId="2" applyFont="1" applyFill="1" applyBorder="1"/>
    <xf numFmtId="0" fontId="5" fillId="30" borderId="25" xfId="2" applyFont="1" applyFill="1" applyBorder="1"/>
    <xf numFmtId="0" fontId="5" fillId="30" borderId="36" xfId="2" applyFont="1" applyFill="1" applyBorder="1"/>
    <xf numFmtId="0" fontId="5" fillId="30" borderId="0" xfId="2" applyFont="1" applyFill="1" applyBorder="1"/>
    <xf numFmtId="0" fontId="5" fillId="30" borderId="37" xfId="2" applyFont="1" applyFill="1" applyBorder="1"/>
    <xf numFmtId="166" fontId="5" fillId="30" borderId="36" xfId="2" applyNumberFormat="1" applyFill="1" applyBorder="1"/>
    <xf numFmtId="166" fontId="5" fillId="30" borderId="0" xfId="2" applyNumberFormat="1" applyFill="1" applyBorder="1"/>
    <xf numFmtId="166" fontId="5" fillId="30" borderId="37" xfId="2" applyNumberFormat="1" applyFill="1" applyBorder="1"/>
    <xf numFmtId="0" fontId="5" fillId="31" borderId="21" xfId="2" applyFont="1" applyFill="1" applyBorder="1"/>
    <xf numFmtId="0" fontId="5" fillId="31" borderId="24" xfId="2" applyFont="1" applyFill="1" applyBorder="1"/>
    <xf numFmtId="0" fontId="5" fillId="31" borderId="25" xfId="2" applyFont="1" applyFill="1" applyBorder="1"/>
    <xf numFmtId="0" fontId="5" fillId="31" borderId="36" xfId="2" applyFont="1" applyFill="1" applyBorder="1"/>
    <xf numFmtId="0" fontId="5" fillId="31" borderId="0" xfId="2" applyFont="1" applyFill="1" applyBorder="1"/>
    <xf numFmtId="0" fontId="5" fillId="31" borderId="37" xfId="2" applyFont="1" applyFill="1" applyBorder="1"/>
    <xf numFmtId="166" fontId="5" fillId="31" borderId="36" xfId="2" applyNumberFormat="1" applyFill="1" applyBorder="1"/>
    <xf numFmtId="166" fontId="5" fillId="31" borderId="0" xfId="2" applyNumberFormat="1" applyFill="1" applyBorder="1"/>
    <xf numFmtId="166" fontId="5" fillId="31" borderId="37" xfId="2" applyNumberFormat="1" applyFill="1" applyBorder="1"/>
    <xf numFmtId="0" fontId="5" fillId="34" borderId="21" xfId="2" applyFont="1" applyFill="1" applyBorder="1"/>
    <xf numFmtId="0" fontId="5" fillId="34" borderId="24" xfId="2" applyFont="1" applyFill="1" applyBorder="1"/>
    <xf numFmtId="0" fontId="5" fillId="34" borderId="25" xfId="2" applyFont="1" applyFill="1" applyBorder="1"/>
    <xf numFmtId="0" fontId="5" fillId="34" borderId="36" xfId="2" applyFont="1" applyFill="1" applyBorder="1"/>
    <xf numFmtId="0" fontId="5" fillId="34" borderId="0" xfId="2" applyFont="1" applyFill="1" applyBorder="1"/>
    <xf numFmtId="0" fontId="5" fillId="34" borderId="37" xfId="2" applyFont="1" applyFill="1" applyBorder="1"/>
    <xf numFmtId="166" fontId="5" fillId="34" borderId="36" xfId="2" applyNumberFormat="1" applyFill="1" applyBorder="1"/>
    <xf numFmtId="166" fontId="5" fillId="34" borderId="0" xfId="2" applyNumberFormat="1" applyFill="1" applyBorder="1"/>
    <xf numFmtId="166" fontId="5" fillId="34" borderId="37" xfId="2" applyNumberFormat="1" applyFill="1" applyBorder="1"/>
    <xf numFmtId="0" fontId="5" fillId="36" borderId="21" xfId="2" applyFont="1" applyFill="1" applyBorder="1"/>
    <xf numFmtId="0" fontId="5" fillId="36" borderId="24" xfId="2" applyFont="1" applyFill="1" applyBorder="1"/>
    <xf numFmtId="0" fontId="5" fillId="36" borderId="25" xfId="2" applyFont="1" applyFill="1" applyBorder="1"/>
    <xf numFmtId="0" fontId="5" fillId="36" borderId="36" xfId="2" applyFont="1" applyFill="1" applyBorder="1"/>
    <xf numFmtId="0" fontId="5" fillId="36" borderId="0" xfId="2" applyFont="1" applyFill="1" applyBorder="1"/>
    <xf numFmtId="0" fontId="5" fillId="36" borderId="37" xfId="2" applyFont="1" applyFill="1" applyBorder="1"/>
    <xf numFmtId="166" fontId="5" fillId="36" borderId="36" xfId="2" applyNumberFormat="1" applyFill="1" applyBorder="1"/>
    <xf numFmtId="166" fontId="5" fillId="36" borderId="0" xfId="2" applyNumberFormat="1" applyFill="1" applyBorder="1"/>
    <xf numFmtId="166" fontId="5" fillId="36" borderId="37" xfId="2" applyNumberFormat="1" applyFill="1" applyBorder="1"/>
    <xf numFmtId="0" fontId="5" fillId="0" borderId="19" xfId="2" applyBorder="1"/>
    <xf numFmtId="0" fontId="11" fillId="32" borderId="16" xfId="2" applyFont="1" applyFill="1" applyBorder="1" applyAlignment="1">
      <alignment horizontal="center"/>
    </xf>
    <xf numFmtId="0" fontId="11" fillId="35" borderId="16" xfId="2" applyFont="1" applyFill="1" applyBorder="1" applyAlignment="1">
      <alignment horizontal="center"/>
    </xf>
    <xf numFmtId="0" fontId="11" fillId="33" borderId="16" xfId="2" applyFont="1" applyFill="1" applyBorder="1" applyAlignment="1">
      <alignment horizontal="center"/>
    </xf>
    <xf numFmtId="0" fontId="11" fillId="30" borderId="16" xfId="2" applyFont="1" applyFill="1" applyBorder="1" applyAlignment="1">
      <alignment horizontal="center"/>
    </xf>
    <xf numFmtId="0" fontId="11" fillId="31" borderId="16" xfId="2" applyFont="1" applyFill="1" applyBorder="1" applyAlignment="1">
      <alignment horizontal="center"/>
    </xf>
    <xf numFmtId="0" fontId="11" fillId="34" borderId="16" xfId="2" applyFont="1" applyFill="1" applyBorder="1" applyAlignment="1">
      <alignment horizontal="center"/>
    </xf>
    <xf numFmtId="0" fontId="11" fillId="36" borderId="16" xfId="2" applyFont="1" applyFill="1" applyBorder="1" applyAlignment="1">
      <alignment horizontal="center"/>
    </xf>
    <xf numFmtId="0" fontId="61" fillId="0" borderId="17" xfId="2" applyFont="1" applyBorder="1" applyAlignment="1">
      <alignment horizontal="center" vertical="center"/>
    </xf>
    <xf numFmtId="0" fontId="61" fillId="0" borderId="22" xfId="2" applyFont="1" applyBorder="1" applyAlignment="1">
      <alignment horizontal="center" vertical="center"/>
    </xf>
    <xf numFmtId="0" fontId="61" fillId="0" borderId="20" xfId="2" applyFont="1" applyBorder="1" applyAlignment="1">
      <alignment horizontal="center" vertical="center"/>
    </xf>
    <xf numFmtId="0" fontId="61" fillId="0" borderId="23" xfId="2" applyFont="1" applyBorder="1" applyAlignment="1">
      <alignment horizontal="center" vertical="center"/>
    </xf>
    <xf numFmtId="170" fontId="5" fillId="34" borderId="39" xfId="2" applyNumberFormat="1" applyFill="1" applyBorder="1"/>
    <xf numFmtId="170" fontId="5" fillId="34" borderId="40" xfId="2" applyNumberFormat="1" applyFill="1" applyBorder="1"/>
    <xf numFmtId="0" fontId="5" fillId="15" borderId="0" xfId="2" applyFont="1" applyFill="1"/>
    <xf numFmtId="0" fontId="5" fillId="17" borderId="0" xfId="2" applyFont="1" applyFill="1"/>
    <xf numFmtId="0" fontId="0" fillId="38" borderId="45" xfId="0" applyFill="1" applyBorder="1" applyAlignment="1">
      <alignment horizontal="center"/>
    </xf>
    <xf numFmtId="0" fontId="0" fillId="38" borderId="46" xfId="0" applyFill="1" applyBorder="1" applyAlignment="1">
      <alignment horizontal="center"/>
    </xf>
    <xf numFmtId="0" fontId="0" fillId="38" borderId="47" xfId="0" applyFill="1" applyBorder="1" applyAlignment="1">
      <alignment horizontal="center"/>
    </xf>
    <xf numFmtId="0" fontId="0" fillId="38" borderId="48" xfId="0" applyFill="1" applyBorder="1" applyAlignment="1">
      <alignment horizontal="center"/>
    </xf>
    <xf numFmtId="0" fontId="0" fillId="38" borderId="49" xfId="0" applyFill="1" applyBorder="1" applyAlignment="1">
      <alignment horizontal="center"/>
    </xf>
    <xf numFmtId="0" fontId="5" fillId="37" borderId="22" xfId="2" applyFill="1" applyBorder="1" applyAlignment="1">
      <alignment horizontal="left"/>
    </xf>
    <xf numFmtId="0" fontId="5" fillId="37" borderId="38" xfId="2" applyFill="1" applyBorder="1" applyAlignment="1">
      <alignment horizontal="left"/>
    </xf>
    <xf numFmtId="0" fontId="0" fillId="37" borderId="40" xfId="0" applyFill="1" applyBorder="1" applyAlignment="1">
      <alignment horizontal="left"/>
    </xf>
    <xf numFmtId="0" fontId="48" fillId="15" borderId="0" xfId="2" applyFont="1" applyFill="1" applyAlignment="1"/>
    <xf numFmtId="1" fontId="18" fillId="8" borderId="0" xfId="0" applyNumberFormat="1" applyFont="1" applyFill="1" applyAlignment="1">
      <alignment horizontal="center"/>
    </xf>
    <xf numFmtId="0" fontId="11" fillId="38" borderId="16" xfId="2" applyFont="1" applyFill="1" applyBorder="1" applyAlignment="1">
      <alignment horizontal="center"/>
    </xf>
    <xf numFmtId="0" fontId="11" fillId="38" borderId="17" xfId="2" applyFont="1" applyFill="1" applyBorder="1" applyAlignment="1">
      <alignment horizontal="center"/>
    </xf>
    <xf numFmtId="0" fontId="11" fillId="38" borderId="18" xfId="2" applyFont="1" applyFill="1" applyBorder="1" applyAlignment="1">
      <alignment horizontal="center"/>
    </xf>
    <xf numFmtId="0" fontId="0" fillId="37" borderId="23" xfId="0" applyFill="1" applyBorder="1" applyAlignment="1">
      <alignment horizontal="left"/>
    </xf>
    <xf numFmtId="0" fontId="11" fillId="0" borderId="0" xfId="2" applyFont="1" applyBorder="1"/>
    <xf numFmtId="0" fontId="5" fillId="0" borderId="0" xfId="2" applyBorder="1" applyAlignment="1">
      <alignment vertical="center"/>
    </xf>
    <xf numFmtId="2" fontId="5" fillId="0" borderId="0" xfId="2" applyNumberFormat="1" applyBorder="1" applyAlignment="1">
      <alignment vertical="center"/>
    </xf>
    <xf numFmtId="1" fontId="5" fillId="28" borderId="20" xfId="2" applyNumberFormat="1" applyFill="1" applyBorder="1" applyAlignment="1">
      <alignment vertical="center"/>
    </xf>
    <xf numFmtId="1" fontId="5" fillId="28" borderId="23" xfId="2" applyNumberFormat="1" applyFill="1" applyBorder="1" applyAlignment="1">
      <alignment vertical="center"/>
    </xf>
    <xf numFmtId="0" fontId="5" fillId="28" borderId="19" xfId="2" applyFill="1" applyBorder="1"/>
    <xf numFmtId="0" fontId="5" fillId="33" borderId="19" xfId="2" applyFill="1" applyBorder="1"/>
    <xf numFmtId="0" fontId="5" fillId="30" borderId="19" xfId="2" applyFill="1" applyBorder="1"/>
    <xf numFmtId="0" fontId="5" fillId="31" borderId="19" xfId="2" applyFill="1" applyBorder="1"/>
    <xf numFmtId="0" fontId="5" fillId="34" borderId="18" xfId="2" applyFill="1" applyBorder="1"/>
    <xf numFmtId="1" fontId="5" fillId="34" borderId="24" xfId="2" applyNumberFormat="1" applyFill="1" applyBorder="1"/>
    <xf numFmtId="1" fontId="5" fillId="30" borderId="24" xfId="2" applyNumberFormat="1" applyFill="1" applyBorder="1"/>
    <xf numFmtId="1" fontId="5" fillId="0" borderId="20" xfId="2" applyNumberFormat="1" applyBorder="1"/>
    <xf numFmtId="1" fontId="5" fillId="0" borderId="23" xfId="2" applyNumberFormat="1" applyBorder="1"/>
    <xf numFmtId="1" fontId="5" fillId="33" borderId="20" xfId="2" applyNumberFormat="1" applyFill="1" applyBorder="1"/>
    <xf numFmtId="1" fontId="5" fillId="33" borderId="23" xfId="2" applyNumberFormat="1" applyFill="1" applyBorder="1"/>
    <xf numFmtId="1" fontId="5" fillId="30" borderId="20" xfId="2" applyNumberFormat="1" applyFill="1" applyBorder="1"/>
    <xf numFmtId="1" fontId="5" fillId="30" borderId="23" xfId="2" applyNumberFormat="1" applyFill="1" applyBorder="1"/>
    <xf numFmtId="1" fontId="5" fillId="31" borderId="20" xfId="2" applyNumberFormat="1" applyFill="1" applyBorder="1"/>
    <xf numFmtId="1" fontId="5" fillId="31" borderId="23" xfId="2" applyNumberFormat="1" applyFill="1" applyBorder="1"/>
    <xf numFmtId="1" fontId="5" fillId="34" borderId="39" xfId="2" applyNumberFormat="1" applyFill="1" applyBorder="1"/>
    <xf numFmtId="1" fontId="5" fillId="34" borderId="40" xfId="2" applyNumberFormat="1" applyFill="1" applyBorder="1"/>
    <xf numFmtId="0" fontId="11" fillId="0" borderId="0" xfId="2" applyFont="1" applyFill="1" applyBorder="1" applyAlignment="1">
      <alignment wrapText="1"/>
    </xf>
    <xf numFmtId="1" fontId="5" fillId="0" borderId="0" xfId="2" applyNumberFormat="1" applyFill="1" applyBorder="1" applyAlignment="1">
      <alignment vertical="center"/>
    </xf>
    <xf numFmtId="1" fontId="5" fillId="0" borderId="0" xfId="2" applyNumberFormat="1" applyFont="1" applyFill="1" applyBorder="1"/>
    <xf numFmtId="1" fontId="5" fillId="0" borderId="0" xfId="2" applyNumberFormat="1" applyFill="1" applyBorder="1"/>
    <xf numFmtId="0" fontId="11" fillId="17" borderId="38" xfId="2" applyFont="1" applyFill="1" applyBorder="1"/>
    <xf numFmtId="0" fontId="11" fillId="17" borderId="19" xfId="2" applyFont="1" applyFill="1" applyBorder="1"/>
    <xf numFmtId="0" fontId="5" fillId="17" borderId="21" xfId="2" applyFill="1" applyBorder="1" applyAlignment="1">
      <alignment vertical="center"/>
    </xf>
    <xf numFmtId="0" fontId="5" fillId="17" borderId="36" xfId="2" applyFill="1" applyBorder="1"/>
    <xf numFmtId="0" fontId="5" fillId="17" borderId="0" xfId="2" applyFill="1" applyBorder="1"/>
    <xf numFmtId="0" fontId="5" fillId="17" borderId="37" xfId="2" applyFill="1" applyBorder="1"/>
    <xf numFmtId="0" fontId="5" fillId="17" borderId="38" xfId="2" applyFill="1" applyBorder="1"/>
    <xf numFmtId="0" fontId="5" fillId="17" borderId="40" xfId="2" applyFill="1" applyBorder="1"/>
    <xf numFmtId="0" fontId="5" fillId="17" borderId="39" xfId="2" applyFill="1" applyBorder="1"/>
    <xf numFmtId="0" fontId="61" fillId="17" borderId="16" xfId="2" applyFont="1" applyFill="1" applyBorder="1" applyAlignment="1">
      <alignment horizontal="center"/>
    </xf>
    <xf numFmtId="0" fontId="61" fillId="17" borderId="18" xfId="2" applyFont="1" applyFill="1" applyBorder="1" applyAlignment="1">
      <alignment horizontal="center" vertical="center"/>
    </xf>
    <xf numFmtId="0" fontId="61" fillId="17" borderId="39" xfId="2" applyFont="1" applyFill="1" applyBorder="1" applyAlignment="1">
      <alignment horizontal="center" vertical="center"/>
    </xf>
    <xf numFmtId="0" fontId="61" fillId="17" borderId="40" xfId="2" applyFont="1" applyFill="1" applyBorder="1" applyAlignment="1">
      <alignment horizontal="center" vertical="center"/>
    </xf>
    <xf numFmtId="0" fontId="5" fillId="17" borderId="22" xfId="2" applyFill="1" applyBorder="1"/>
    <xf numFmtId="0" fontId="5" fillId="17" borderId="19" xfId="2" applyFill="1" applyBorder="1"/>
    <xf numFmtId="0" fontId="5" fillId="17" borderId="23" xfId="2" applyFill="1" applyBorder="1"/>
    <xf numFmtId="0" fontId="5" fillId="17" borderId="17" xfId="2" applyFill="1" applyBorder="1"/>
    <xf numFmtId="0" fontId="5" fillId="17" borderId="18" xfId="2" applyFill="1" applyBorder="1"/>
    <xf numFmtId="20" fontId="5" fillId="0" borderId="0" xfId="0" quotePrefix="1" applyNumberFormat="1" applyFont="1" applyFill="1" applyBorder="1" applyAlignment="1">
      <alignment horizontal="right"/>
    </xf>
    <xf numFmtId="0" fontId="11" fillId="0" borderId="0" xfId="0" applyFont="1" applyFill="1" applyBorder="1" applyAlignment="1"/>
    <xf numFmtId="0" fontId="98" fillId="0" borderId="0" xfId="0" applyFont="1" applyFill="1" applyBorder="1" applyAlignment="1">
      <alignment vertical="center" wrapText="1"/>
    </xf>
    <xf numFmtId="170" fontId="5" fillId="0" borderId="0" xfId="0" applyNumberFormat="1" applyFont="1" applyFill="1" applyBorder="1" applyAlignment="1"/>
    <xf numFmtId="0" fontId="5" fillId="0" borderId="0" xfId="0" applyFont="1" applyFill="1"/>
    <xf numFmtId="0" fontId="11" fillId="0" borderId="36" xfId="0" applyFont="1" applyFill="1" applyBorder="1" applyAlignment="1"/>
    <xf numFmtId="0" fontId="77" fillId="0" borderId="0" xfId="0" applyFont="1" applyFill="1" applyBorder="1"/>
    <xf numFmtId="0" fontId="97" fillId="0" borderId="0" xfId="2" applyFont="1" applyFill="1" applyBorder="1" applyAlignment="1">
      <alignment vertical="top" wrapText="1"/>
    </xf>
    <xf numFmtId="0" fontId="97" fillId="0" borderId="0" xfId="2" applyFont="1" applyFill="1" applyBorder="1" applyAlignment="1"/>
    <xf numFmtId="0" fontId="77" fillId="0" borderId="0" xfId="2" applyFont="1" applyFill="1" applyBorder="1"/>
    <xf numFmtId="0" fontId="5" fillId="0" borderId="0" xfId="2" applyFill="1" applyBorder="1" applyAlignment="1"/>
    <xf numFmtId="0" fontId="0" fillId="0" borderId="0" xfId="0" applyFill="1" applyAlignment="1">
      <alignment wrapText="1"/>
    </xf>
    <xf numFmtId="0" fontId="11" fillId="0" borderId="19" xfId="2" applyFont="1" applyFill="1" applyBorder="1" applyAlignment="1">
      <alignment horizontal="center" vertical="center"/>
    </xf>
    <xf numFmtId="0" fontId="5" fillId="0" borderId="36" xfId="2" applyFill="1" applyBorder="1"/>
    <xf numFmtId="0" fontId="5" fillId="0" borderId="0" xfId="0" applyFont="1" applyFill="1" applyAlignment="1">
      <alignment horizontal="left" vertical="top" wrapText="1"/>
    </xf>
    <xf numFmtId="0" fontId="5" fillId="0" borderId="0" xfId="0" applyFont="1" applyFill="1" applyAlignment="1">
      <alignment vertical="top"/>
    </xf>
    <xf numFmtId="0" fontId="0" fillId="0" borderId="0" xfId="0" applyFill="1" applyAlignment="1">
      <alignment vertical="top"/>
    </xf>
    <xf numFmtId="0" fontId="99" fillId="0" borderId="0" xfId="0" applyFont="1" applyFill="1" applyAlignment="1">
      <alignment horizontal="left" vertical="top" wrapText="1"/>
    </xf>
    <xf numFmtId="0" fontId="5" fillId="0" borderId="38" xfId="2" applyFill="1" applyBorder="1"/>
    <xf numFmtId="0" fontId="5" fillId="0" borderId="0" xfId="0" applyFont="1" applyFill="1" applyAlignment="1">
      <alignment vertical="center"/>
    </xf>
    <xf numFmtId="0" fontId="0" fillId="0" borderId="0" xfId="0" applyFill="1" applyAlignment="1">
      <alignment vertical="center"/>
    </xf>
    <xf numFmtId="0" fontId="0" fillId="39" borderId="20" xfId="0" applyFill="1" applyBorder="1"/>
    <xf numFmtId="0" fontId="0" fillId="39" borderId="23" xfId="0" applyFill="1" applyBorder="1"/>
    <xf numFmtId="1" fontId="5" fillId="35" borderId="21" xfId="2" applyNumberFormat="1" applyFill="1" applyBorder="1"/>
    <xf numFmtId="170" fontId="5" fillId="35" borderId="36" xfId="2" applyNumberFormat="1" applyFill="1" applyBorder="1"/>
    <xf numFmtId="1" fontId="5" fillId="33" borderId="21" xfId="2" applyNumberFormat="1" applyFill="1" applyBorder="1"/>
    <xf numFmtId="170" fontId="5" fillId="33" borderId="36" xfId="2" applyNumberFormat="1" applyFill="1" applyBorder="1"/>
    <xf numFmtId="1" fontId="5" fillId="30" borderId="21" xfId="2" applyNumberFormat="1" applyFill="1" applyBorder="1"/>
    <xf numFmtId="1" fontId="5" fillId="30" borderId="25" xfId="2" applyNumberFormat="1" applyFill="1" applyBorder="1"/>
    <xf numFmtId="170" fontId="5" fillId="30" borderId="36" xfId="2" applyNumberFormat="1" applyFont="1" applyFill="1" applyBorder="1"/>
    <xf numFmtId="1" fontId="5" fillId="31" borderId="21" xfId="2" applyNumberFormat="1" applyFill="1" applyBorder="1"/>
    <xf numFmtId="170" fontId="5" fillId="31" borderId="36" xfId="2" applyNumberFormat="1" applyFill="1" applyBorder="1"/>
    <xf numFmtId="1" fontId="5" fillId="34" borderId="21" xfId="2" applyNumberFormat="1" applyFill="1" applyBorder="1"/>
    <xf numFmtId="1" fontId="5" fillId="34" borderId="25" xfId="2" applyNumberFormat="1" applyFill="1" applyBorder="1"/>
    <xf numFmtId="170" fontId="5" fillId="34" borderId="36" xfId="2" applyNumberFormat="1" applyFill="1" applyBorder="1"/>
    <xf numFmtId="0" fontId="5" fillId="36" borderId="21" xfId="2" applyFill="1" applyBorder="1"/>
    <xf numFmtId="170" fontId="5" fillId="36" borderId="36" xfId="2" applyNumberFormat="1" applyFill="1" applyBorder="1"/>
    <xf numFmtId="170" fontId="5" fillId="36" borderId="38" xfId="2" applyNumberFormat="1" applyFill="1" applyBorder="1"/>
    <xf numFmtId="0" fontId="96" fillId="0" borderId="0" xfId="2" applyFont="1" applyBorder="1" applyAlignment="1"/>
    <xf numFmtId="0" fontId="0" fillId="38" borderId="23" xfId="0" applyFill="1" applyBorder="1" applyAlignment="1"/>
    <xf numFmtId="172" fontId="5" fillId="38" borderId="22" xfId="0" applyNumberFormat="1" applyFont="1" applyFill="1" applyBorder="1" applyAlignment="1">
      <alignment horizontal="left"/>
    </xf>
    <xf numFmtId="172" fontId="5" fillId="38" borderId="23" xfId="0" applyNumberFormat="1" applyFont="1" applyFill="1" applyBorder="1" applyAlignment="1"/>
    <xf numFmtId="0" fontId="0" fillId="38" borderId="21" xfId="0" applyFill="1" applyBorder="1" applyAlignment="1">
      <alignment horizontal="left"/>
    </xf>
    <xf numFmtId="0" fontId="0" fillId="38" borderId="25" xfId="0" applyFill="1" applyBorder="1"/>
    <xf numFmtId="0" fontId="5" fillId="38" borderId="22" xfId="2" applyFill="1" applyBorder="1" applyAlignment="1"/>
    <xf numFmtId="0" fontId="5" fillId="38" borderId="20" xfId="2" applyFill="1" applyBorder="1" applyAlignment="1"/>
    <xf numFmtId="0" fontId="0" fillId="38" borderId="20" xfId="0" applyFill="1" applyBorder="1"/>
    <xf numFmtId="0" fontId="0" fillId="38" borderId="23" xfId="0" applyFill="1" applyBorder="1"/>
    <xf numFmtId="0" fontId="50" fillId="21" borderId="6" xfId="0" applyFont="1" applyFill="1" applyBorder="1" applyAlignment="1">
      <alignment horizontal="center"/>
    </xf>
    <xf numFmtId="0" fontId="10" fillId="9" borderId="22" xfId="0" applyFont="1" applyFill="1" applyBorder="1" applyAlignment="1">
      <alignment horizontal="center"/>
    </xf>
    <xf numFmtId="0" fontId="50" fillId="21" borderId="20" xfId="0" applyFont="1" applyFill="1" applyBorder="1" applyAlignment="1">
      <alignment horizontal="center"/>
    </xf>
    <xf numFmtId="0" fontId="10" fillId="9" borderId="20" xfId="0" applyFont="1" applyFill="1" applyBorder="1" applyAlignment="1">
      <alignment horizontal="center"/>
    </xf>
    <xf numFmtId="0" fontId="10" fillId="9" borderId="23" xfId="0" applyFont="1" applyFill="1" applyBorder="1" applyAlignment="1">
      <alignment horizontal="center"/>
    </xf>
    <xf numFmtId="0" fontId="5" fillId="39" borderId="38" xfId="0" applyFont="1" applyFill="1" applyBorder="1" applyAlignment="1"/>
    <xf numFmtId="0" fontId="0" fillId="39" borderId="39" xfId="0" applyFill="1" applyBorder="1"/>
    <xf numFmtId="0" fontId="5" fillId="9" borderId="53" xfId="0" applyFont="1" applyFill="1" applyBorder="1" applyAlignment="1">
      <alignment horizontal="center"/>
    </xf>
    <xf numFmtId="0" fontId="0" fillId="9" borderId="54" xfId="0" applyFill="1" applyBorder="1" applyAlignment="1">
      <alignment horizontal="center"/>
    </xf>
    <xf numFmtId="0" fontId="0" fillId="9" borderId="45" xfId="0" applyFill="1" applyBorder="1" applyAlignment="1">
      <alignment horizontal="center"/>
    </xf>
    <xf numFmtId="0" fontId="0" fillId="9" borderId="46" xfId="0" applyFill="1" applyBorder="1" applyAlignment="1">
      <alignment horizontal="center"/>
    </xf>
    <xf numFmtId="0" fontId="0" fillId="9" borderId="47" xfId="0" applyFill="1" applyBorder="1" applyAlignment="1">
      <alignment horizontal="center"/>
    </xf>
    <xf numFmtId="0" fontId="50" fillId="21" borderId="48" xfId="0" applyFont="1" applyFill="1" applyBorder="1" applyAlignment="1">
      <alignment horizontal="center"/>
    </xf>
    <xf numFmtId="0" fontId="0" fillId="9" borderId="48" xfId="0" applyFill="1" applyBorder="1" applyAlignment="1">
      <alignment horizontal="center"/>
    </xf>
    <xf numFmtId="0" fontId="0" fillId="9" borderId="49" xfId="0" applyFill="1" applyBorder="1" applyAlignment="1">
      <alignment horizontal="center"/>
    </xf>
    <xf numFmtId="0" fontId="11" fillId="0" borderId="0" xfId="0" applyFont="1" applyFill="1" applyAlignment="1">
      <alignment horizontal="center"/>
    </xf>
    <xf numFmtId="0" fontId="5" fillId="0" borderId="0" xfId="2" applyAlignment="1">
      <alignment vertical="top" wrapText="1"/>
    </xf>
    <xf numFmtId="170" fontId="5" fillId="34" borderId="38" xfId="2" applyNumberFormat="1" applyFill="1" applyBorder="1"/>
    <xf numFmtId="0" fontId="5" fillId="38" borderId="22" xfId="0" applyFont="1" applyFill="1" applyBorder="1" applyAlignment="1">
      <alignment horizontal="left"/>
    </xf>
    <xf numFmtId="0" fontId="5" fillId="0" borderId="0" xfId="0" applyFont="1" applyFill="1" applyAlignment="1">
      <alignment vertical="center" wrapText="1"/>
    </xf>
    <xf numFmtId="0" fontId="5" fillId="32" borderId="0" xfId="0" applyFont="1" applyFill="1"/>
    <xf numFmtId="0" fontId="5" fillId="32" borderId="0" xfId="0" quotePrefix="1" applyFont="1" applyFill="1" applyAlignment="1">
      <alignment horizontal="left"/>
    </xf>
    <xf numFmtId="0" fontId="0" fillId="32" borderId="0" xfId="0" applyFill="1"/>
    <xf numFmtId="0" fontId="87" fillId="32" borderId="0" xfId="0" quotePrefix="1" applyFont="1" applyFill="1" applyAlignment="1">
      <alignment horizontal="left"/>
    </xf>
    <xf numFmtId="167" fontId="0" fillId="32" borderId="0" xfId="0" applyNumberFormat="1" applyFill="1"/>
    <xf numFmtId="0" fontId="5" fillId="27" borderId="0" xfId="0" applyFont="1" applyFill="1"/>
    <xf numFmtId="0" fontId="87" fillId="27" borderId="0" xfId="0" quotePrefix="1" applyFont="1" applyFill="1" applyAlignment="1">
      <alignment horizontal="left"/>
    </xf>
    <xf numFmtId="167" fontId="0" fillId="27" borderId="0" xfId="0" applyNumberFormat="1" applyFill="1"/>
    <xf numFmtId="0" fontId="0" fillId="0" borderId="21" xfId="0" applyFill="1" applyBorder="1"/>
    <xf numFmtId="0" fontId="0" fillId="0" borderId="36" xfId="0" applyFill="1" applyBorder="1"/>
    <xf numFmtId="0" fontId="5" fillId="0" borderId="0" xfId="0" applyFont="1" applyFill="1" applyBorder="1"/>
    <xf numFmtId="0" fontId="5" fillId="0" borderId="0" xfId="0" quotePrefix="1" applyFont="1" applyFill="1" applyBorder="1" applyAlignment="1">
      <alignment horizontal="left"/>
    </xf>
    <xf numFmtId="0" fontId="0" fillId="0" borderId="0" xfId="0" quotePrefix="1" applyFill="1" applyBorder="1" applyAlignment="1">
      <alignment horizontal="left"/>
    </xf>
    <xf numFmtId="0" fontId="0" fillId="0" borderId="38" xfId="0" applyFill="1" applyBorder="1"/>
    <xf numFmtId="0" fontId="0" fillId="0" borderId="39" xfId="0" quotePrefix="1" applyFill="1" applyBorder="1" applyAlignment="1">
      <alignment horizontal="left"/>
    </xf>
    <xf numFmtId="0" fontId="102" fillId="0" borderId="0" xfId="0" applyFont="1" applyAlignment="1">
      <alignment vertical="center" wrapText="1"/>
    </xf>
    <xf numFmtId="1" fontId="11" fillId="0" borderId="0" xfId="2" applyNumberFormat="1" applyFont="1" applyFill="1" applyBorder="1" applyAlignment="1">
      <alignment wrapText="1"/>
    </xf>
    <xf numFmtId="0" fontId="11" fillId="0" borderId="0" xfId="2" applyFont="1" applyFill="1"/>
    <xf numFmtId="0" fontId="5" fillId="0" borderId="0" xfId="2" applyFill="1" applyAlignment="1">
      <alignment vertical="top"/>
    </xf>
    <xf numFmtId="0" fontId="5" fillId="40" borderId="19" xfId="2" applyFont="1" applyFill="1" applyBorder="1"/>
    <xf numFmtId="0" fontId="5" fillId="40" borderId="36" xfId="2" applyFont="1" applyFill="1" applyBorder="1" applyAlignment="1">
      <alignment vertical="center"/>
    </xf>
    <xf numFmtId="0" fontId="5" fillId="40" borderId="36" xfId="2" applyFont="1" applyFill="1" applyBorder="1"/>
    <xf numFmtId="0" fontId="5" fillId="40" borderId="0" xfId="2" applyFill="1"/>
    <xf numFmtId="0" fontId="5" fillId="40" borderId="24" xfId="2" applyFill="1" applyBorder="1"/>
    <xf numFmtId="0" fontId="5" fillId="40" borderId="25" xfId="2" applyFill="1" applyBorder="1"/>
    <xf numFmtId="0" fontId="5" fillId="40" borderId="0" xfId="2" applyFill="1" applyBorder="1"/>
    <xf numFmtId="0" fontId="5" fillId="40" borderId="37" xfId="2" applyFill="1" applyBorder="1"/>
    <xf numFmtId="0" fontId="5" fillId="40" borderId="38" xfId="2" applyFill="1" applyBorder="1"/>
    <xf numFmtId="0" fontId="5" fillId="40" borderId="39" xfId="2" applyFill="1" applyBorder="1"/>
    <xf numFmtId="0" fontId="5" fillId="40" borderId="40" xfId="2" applyFill="1" applyBorder="1"/>
    <xf numFmtId="0" fontId="5" fillId="40" borderId="22" xfId="2" applyFill="1" applyBorder="1"/>
    <xf numFmtId="0" fontId="5" fillId="40" borderId="20" xfId="2" applyFill="1" applyBorder="1"/>
    <xf numFmtId="0" fontId="5" fillId="40" borderId="23" xfId="2" applyFill="1" applyBorder="1"/>
    <xf numFmtId="0" fontId="5" fillId="40" borderId="22" xfId="2" applyFont="1" applyFill="1" applyBorder="1"/>
    <xf numFmtId="0" fontId="18" fillId="40" borderId="36" xfId="2" applyFont="1" applyFill="1" applyBorder="1" applyAlignment="1"/>
    <xf numFmtId="0" fontId="18" fillId="40" borderId="0" xfId="2" applyFont="1" applyFill="1" applyBorder="1" applyAlignment="1"/>
    <xf numFmtId="0" fontId="18" fillId="40" borderId="37" xfId="2" applyFont="1" applyFill="1" applyBorder="1" applyAlignment="1"/>
    <xf numFmtId="0" fontId="18" fillId="40" borderId="36" xfId="2" applyFont="1" applyFill="1" applyBorder="1" applyAlignment="1">
      <alignment horizontal="center" vertical="center" wrapText="1"/>
    </xf>
    <xf numFmtId="0" fontId="5" fillId="40" borderId="0" xfId="2" applyFill="1" applyAlignment="1">
      <alignment vertical="center"/>
    </xf>
    <xf numFmtId="0" fontId="18" fillId="40" borderId="0" xfId="2" applyFont="1" applyFill="1" applyBorder="1" applyAlignment="1">
      <alignment horizontal="center" vertical="center" wrapText="1"/>
    </xf>
    <xf numFmtId="0" fontId="18" fillId="40" borderId="0" xfId="2" applyFont="1" applyFill="1" applyBorder="1" applyAlignment="1">
      <alignment vertical="center"/>
    </xf>
    <xf numFmtId="0" fontId="18" fillId="40" borderId="37" xfId="2" applyFont="1" applyFill="1" applyBorder="1" applyAlignment="1">
      <alignment vertical="center"/>
    </xf>
    <xf numFmtId="0" fontId="5" fillId="40" borderId="21" xfId="2" applyFont="1" applyFill="1" applyBorder="1"/>
    <xf numFmtId="0" fontId="5" fillId="40" borderId="24" xfId="2" applyFont="1" applyFill="1" applyBorder="1"/>
    <xf numFmtId="0" fontId="5" fillId="40" borderId="0" xfId="2" applyFont="1" applyFill="1" applyBorder="1"/>
    <xf numFmtId="0" fontId="5" fillId="40" borderId="37" xfId="2" applyFont="1" applyFill="1" applyBorder="1"/>
    <xf numFmtId="0" fontId="5" fillId="40" borderId="38" xfId="2" applyFont="1" applyFill="1" applyBorder="1"/>
    <xf numFmtId="0" fontId="5" fillId="40" borderId="39" xfId="2" applyFont="1" applyFill="1" applyBorder="1"/>
    <xf numFmtId="0" fontId="5" fillId="40" borderId="40" xfId="2" applyFont="1" applyFill="1" applyBorder="1"/>
    <xf numFmtId="170" fontId="5" fillId="40" borderId="24" xfId="2" applyNumberFormat="1" applyFill="1" applyBorder="1"/>
    <xf numFmtId="0" fontId="5" fillId="40" borderId="36" xfId="2" applyFont="1" applyFill="1" applyBorder="1" applyAlignment="1">
      <alignment horizontal="right"/>
    </xf>
    <xf numFmtId="0" fontId="5" fillId="40" borderId="17" xfId="2" applyFill="1" applyBorder="1"/>
    <xf numFmtId="170" fontId="5" fillId="40" borderId="17" xfId="2" applyNumberFormat="1" applyFill="1" applyBorder="1"/>
    <xf numFmtId="0" fontId="5" fillId="40" borderId="38" xfId="2" applyFont="1" applyFill="1" applyBorder="1" applyAlignment="1">
      <alignment horizontal="right"/>
    </xf>
    <xf numFmtId="0" fontId="5" fillId="40" borderId="18" xfId="2" applyFill="1" applyBorder="1"/>
    <xf numFmtId="0" fontId="95" fillId="40" borderId="24" xfId="2" applyFont="1" applyFill="1" applyBorder="1" applyAlignment="1"/>
    <xf numFmtId="0" fontId="95" fillId="40" borderId="25" xfId="2" applyFont="1" applyFill="1" applyBorder="1" applyAlignment="1"/>
    <xf numFmtId="1" fontId="5" fillId="40" borderId="1" xfId="2" applyNumberFormat="1" applyFill="1" applyBorder="1" applyAlignment="1">
      <alignment vertical="center"/>
    </xf>
    <xf numFmtId="1" fontId="5" fillId="40" borderId="50" xfId="2" applyNumberFormat="1" applyFill="1" applyBorder="1" applyAlignment="1">
      <alignment vertical="center"/>
    </xf>
    <xf numFmtId="1" fontId="5" fillId="40" borderId="51" xfId="2" applyNumberFormat="1" applyFill="1" applyBorder="1" applyAlignment="1">
      <alignment vertical="center"/>
    </xf>
    <xf numFmtId="1" fontId="5" fillId="40" borderId="52" xfId="2" applyNumberFormat="1" applyFill="1" applyBorder="1" applyAlignment="1">
      <alignment vertical="center"/>
    </xf>
    <xf numFmtId="1" fontId="5" fillId="40" borderId="45" xfId="2" applyNumberFormat="1" applyFill="1" applyBorder="1" applyAlignment="1">
      <alignment vertical="center"/>
    </xf>
    <xf numFmtId="1" fontId="5" fillId="40" borderId="46" xfId="2" applyNumberFormat="1" applyFill="1" applyBorder="1" applyAlignment="1">
      <alignment vertical="center"/>
    </xf>
    <xf numFmtId="1" fontId="5" fillId="40" borderId="47" xfId="2" applyNumberFormat="1" applyFill="1" applyBorder="1" applyAlignment="1">
      <alignment vertical="center"/>
    </xf>
    <xf numFmtId="1" fontId="5" fillId="40" borderId="48" xfId="2" applyNumberFormat="1" applyFill="1" applyBorder="1" applyAlignment="1">
      <alignment vertical="center"/>
    </xf>
    <xf numFmtId="1" fontId="5" fillId="40" borderId="49" xfId="2" applyNumberFormat="1" applyFill="1" applyBorder="1" applyAlignment="1">
      <alignment vertical="center"/>
    </xf>
    <xf numFmtId="0" fontId="5" fillId="40" borderId="21" xfId="2" applyFont="1" applyFill="1" applyBorder="1" applyAlignment="1">
      <alignment vertical="center"/>
    </xf>
    <xf numFmtId="0" fontId="5" fillId="40" borderId="1" xfId="2" applyFill="1" applyBorder="1"/>
    <xf numFmtId="0" fontId="5" fillId="40" borderId="50" xfId="2" applyFill="1" applyBorder="1"/>
    <xf numFmtId="0" fontId="5" fillId="40" borderId="51" xfId="2" applyFill="1" applyBorder="1"/>
    <xf numFmtId="0" fontId="5" fillId="40" borderId="52" xfId="2" applyFill="1" applyBorder="1"/>
    <xf numFmtId="0" fontId="5" fillId="40" borderId="45" xfId="2" applyFill="1" applyBorder="1"/>
    <xf numFmtId="0" fontId="5" fillId="40" borderId="46" xfId="2" applyFill="1" applyBorder="1"/>
    <xf numFmtId="0" fontId="5" fillId="40" borderId="47" xfId="2" applyFill="1" applyBorder="1"/>
    <xf numFmtId="0" fontId="5" fillId="40" borderId="48" xfId="2" applyFill="1" applyBorder="1"/>
    <xf numFmtId="0" fontId="5" fillId="40" borderId="49" xfId="2" applyFill="1" applyBorder="1"/>
    <xf numFmtId="0" fontId="5" fillId="40" borderId="1" xfId="2" applyFont="1" applyFill="1" applyBorder="1"/>
    <xf numFmtId="0" fontId="5" fillId="40" borderId="50" xfId="2" applyFont="1" applyFill="1" applyBorder="1"/>
    <xf numFmtId="0" fontId="5" fillId="40" borderId="51" xfId="2" applyFont="1" applyFill="1" applyBorder="1"/>
    <xf numFmtId="0" fontId="5" fillId="40" borderId="52" xfId="2" applyFont="1" applyFill="1" applyBorder="1"/>
    <xf numFmtId="0" fontId="5" fillId="40" borderId="45" xfId="2" applyFont="1" applyFill="1" applyBorder="1"/>
    <xf numFmtId="0" fontId="5" fillId="40" borderId="46" xfId="2" applyFont="1" applyFill="1" applyBorder="1"/>
    <xf numFmtId="0" fontId="5" fillId="40" borderId="47" xfId="2" applyFont="1" applyFill="1" applyBorder="1"/>
    <xf numFmtId="0" fontId="5" fillId="40" borderId="48" xfId="2" applyFont="1" applyFill="1" applyBorder="1"/>
    <xf numFmtId="0" fontId="5" fillId="40" borderId="49" xfId="2" applyFont="1" applyFill="1" applyBorder="1"/>
    <xf numFmtId="0" fontId="11" fillId="0" borderId="16" xfId="2" applyFont="1" applyFill="1" applyBorder="1" applyAlignment="1">
      <alignment horizontal="center" vertical="center"/>
    </xf>
    <xf numFmtId="0" fontId="96" fillId="0" borderId="25" xfId="2" applyFont="1" applyBorder="1" applyAlignment="1"/>
    <xf numFmtId="0" fontId="96" fillId="0" borderId="40" xfId="2" applyFont="1" applyBorder="1" applyAlignment="1"/>
    <xf numFmtId="0" fontId="17" fillId="0" borderId="0" xfId="2" applyFont="1" applyBorder="1" applyAlignment="1">
      <alignment vertical="top" wrapText="1"/>
    </xf>
    <xf numFmtId="0" fontId="5" fillId="0" borderId="38" xfId="2" applyBorder="1"/>
    <xf numFmtId="0" fontId="5" fillId="0" borderId="39" xfId="2" applyBorder="1"/>
    <xf numFmtId="0" fontId="17" fillId="40" borderId="39" xfId="2" applyFont="1" applyFill="1" applyBorder="1" applyAlignment="1">
      <alignment vertical="top" wrapText="1"/>
    </xf>
    <xf numFmtId="0" fontId="0" fillId="8" borderId="1" xfId="0" applyFill="1" applyBorder="1" applyAlignment="1">
      <alignment horizontal="center"/>
    </xf>
    <xf numFmtId="0" fontId="5" fillId="8" borderId="1" xfId="0" applyFont="1" applyFill="1" applyBorder="1" applyAlignment="1">
      <alignment horizontal="center"/>
    </xf>
    <xf numFmtId="0" fontId="0" fillId="8" borderId="6" xfId="0" applyFill="1" applyBorder="1" applyAlignment="1">
      <alignment horizontal="center"/>
    </xf>
    <xf numFmtId="165" fontId="0" fillId="38" borderId="6" xfId="0" applyNumberFormat="1" applyFill="1" applyBorder="1" applyAlignment="1">
      <alignment horizontal="center"/>
    </xf>
    <xf numFmtId="0" fontId="0" fillId="38" borderId="54" xfId="0" applyFill="1" applyBorder="1" applyAlignment="1">
      <alignment horizontal="center"/>
    </xf>
    <xf numFmtId="0" fontId="5" fillId="38" borderId="27" xfId="0" quotePrefix="1" applyNumberFormat="1" applyFont="1" applyFill="1" applyBorder="1" applyAlignment="1">
      <alignment horizontal="center"/>
    </xf>
    <xf numFmtId="0" fontId="5" fillId="38" borderId="28" xfId="0" quotePrefix="1" applyNumberFormat="1" applyFont="1" applyFill="1" applyBorder="1" applyAlignment="1">
      <alignment horizontal="center"/>
    </xf>
    <xf numFmtId="16" fontId="5" fillId="8" borderId="26" xfId="0" quotePrefix="1" applyNumberFormat="1" applyFont="1" applyFill="1" applyBorder="1" applyAlignment="1">
      <alignment horizontal="left"/>
    </xf>
    <xf numFmtId="16" fontId="5" fillId="8" borderId="27" xfId="0" quotePrefix="1" applyNumberFormat="1" applyFont="1" applyFill="1" applyBorder="1" applyAlignment="1">
      <alignment horizontal="left"/>
    </xf>
    <xf numFmtId="0" fontId="5" fillId="8" borderId="27" xfId="0" applyFont="1" applyFill="1" applyBorder="1" applyAlignment="1">
      <alignment horizontal="left"/>
    </xf>
    <xf numFmtId="0" fontId="5" fillId="8" borderId="27" xfId="0" applyFont="1" applyFill="1" applyBorder="1" applyAlignment="1">
      <alignment horizontal="center"/>
    </xf>
    <xf numFmtId="0" fontId="50" fillId="17" borderId="16" xfId="2" applyFont="1" applyFill="1" applyBorder="1" applyAlignment="1">
      <alignment horizontal="center" vertical="center"/>
    </xf>
    <xf numFmtId="0" fontId="50" fillId="17" borderId="19" xfId="2" applyFont="1" applyFill="1" applyBorder="1" applyAlignment="1">
      <alignment horizontal="center" vertical="center"/>
    </xf>
    <xf numFmtId="0" fontId="50" fillId="17" borderId="19" xfId="2" applyFont="1" applyFill="1" applyBorder="1" applyAlignment="1">
      <alignment horizontal="center" vertical="center" wrapText="1"/>
    </xf>
    <xf numFmtId="0" fontId="50" fillId="17" borderId="22" xfId="2" applyFont="1" applyFill="1" applyBorder="1" applyAlignment="1">
      <alignment horizontal="center" vertical="center" wrapText="1"/>
    </xf>
    <xf numFmtId="0" fontId="5" fillId="17" borderId="24" xfId="2" applyNumberFormat="1" applyFont="1" applyFill="1" applyBorder="1" applyAlignment="1">
      <alignment vertical="center"/>
    </xf>
    <xf numFmtId="0" fontId="5" fillId="17" borderId="0" xfId="2" applyNumberFormat="1" applyFill="1" applyBorder="1"/>
    <xf numFmtId="0" fontId="5" fillId="17" borderId="0" xfId="2" applyNumberFormat="1" applyFont="1" applyFill="1" applyBorder="1"/>
    <xf numFmtId="0" fontId="50" fillId="17" borderId="16" xfId="2" applyFont="1" applyFill="1" applyBorder="1" applyAlignment="1">
      <alignment horizontal="center" vertical="center" wrapText="1"/>
    </xf>
    <xf numFmtId="0" fontId="50" fillId="17" borderId="25" xfId="2" applyFont="1" applyFill="1" applyBorder="1" applyAlignment="1">
      <alignment horizontal="center" vertical="center" wrapText="1"/>
    </xf>
    <xf numFmtId="0" fontId="5" fillId="0" borderId="0" xfId="2" applyBorder="1" applyAlignment="1"/>
    <xf numFmtId="0" fontId="5" fillId="29" borderId="22" xfId="2" applyFill="1" applyBorder="1" applyAlignment="1">
      <alignment horizontal="center" vertical="center"/>
    </xf>
    <xf numFmtId="0" fontId="5" fillId="29" borderId="20" xfId="2" applyFill="1" applyBorder="1" applyAlignment="1">
      <alignment horizontal="center" vertical="center"/>
    </xf>
    <xf numFmtId="0" fontId="5" fillId="29" borderId="23" xfId="2" applyFill="1" applyBorder="1" applyAlignment="1">
      <alignment horizontal="center" vertical="center"/>
    </xf>
    <xf numFmtId="0" fontId="5" fillId="17" borderId="16" xfId="2" applyFill="1" applyBorder="1"/>
    <xf numFmtId="0" fontId="50" fillId="17" borderId="16" xfId="2" applyFont="1" applyFill="1" applyBorder="1" applyAlignment="1">
      <alignment horizontal="center" wrapText="1"/>
    </xf>
    <xf numFmtId="0" fontId="50" fillId="17" borderId="21" xfId="2" applyFont="1" applyFill="1" applyBorder="1" applyAlignment="1">
      <alignment horizontal="center" wrapText="1"/>
    </xf>
    <xf numFmtId="0" fontId="11" fillId="17" borderId="18" xfId="2" applyFont="1" applyFill="1" applyBorder="1" applyAlignment="1">
      <alignment wrapText="1"/>
    </xf>
    <xf numFmtId="0" fontId="5" fillId="17" borderId="21" xfId="2" applyFill="1" applyBorder="1"/>
    <xf numFmtId="0" fontId="5" fillId="17" borderId="24" xfId="2" applyFill="1" applyBorder="1" applyAlignment="1">
      <alignment horizontal="center"/>
    </xf>
    <xf numFmtId="0" fontId="5" fillId="17" borderId="24" xfId="2" applyFill="1" applyBorder="1"/>
    <xf numFmtId="0" fontId="5" fillId="17" borderId="25" xfId="2" applyFill="1" applyBorder="1"/>
    <xf numFmtId="0" fontId="5" fillId="17" borderId="0" xfId="2" applyFill="1" applyBorder="1" applyAlignment="1">
      <alignment horizontal="center"/>
    </xf>
    <xf numFmtId="0" fontId="5" fillId="17" borderId="39" xfId="2" applyFill="1" applyBorder="1" applyAlignment="1">
      <alignment horizontal="center"/>
    </xf>
    <xf numFmtId="0" fontId="5" fillId="0" borderId="0" xfId="2" applyFill="1" applyBorder="1"/>
    <xf numFmtId="0" fontId="11" fillId="0" borderId="0" xfId="2" applyFont="1" applyFill="1" applyBorder="1"/>
    <xf numFmtId="2" fontId="5" fillId="0" borderId="0" xfId="2" applyNumberFormat="1" applyFill="1" applyBorder="1" applyAlignment="1">
      <alignment vertical="center"/>
    </xf>
    <xf numFmtId="0" fontId="5" fillId="0" borderId="0" xfId="2" applyFill="1" applyBorder="1" applyAlignment="1">
      <alignment vertical="center"/>
    </xf>
    <xf numFmtId="0" fontId="5" fillId="17" borderId="21" xfId="2" applyFill="1" applyBorder="1" applyAlignment="1">
      <alignment horizontal="center" vertical="center"/>
    </xf>
    <xf numFmtId="0" fontId="5" fillId="17" borderId="16" xfId="2" applyFill="1" applyBorder="1" applyAlignment="1">
      <alignment horizontal="center" vertical="center"/>
    </xf>
    <xf numFmtId="0" fontId="61" fillId="17" borderId="21" xfId="2" applyFont="1" applyFill="1" applyBorder="1" applyAlignment="1">
      <alignment horizontal="center"/>
    </xf>
    <xf numFmtId="0" fontId="61" fillId="17" borderId="38" xfId="2" applyFont="1" applyFill="1" applyBorder="1" applyAlignment="1">
      <alignment horizontal="center" vertical="center"/>
    </xf>
    <xf numFmtId="0" fontId="87" fillId="17" borderId="1" xfId="2" applyFont="1" applyFill="1" applyBorder="1"/>
    <xf numFmtId="0" fontId="87" fillId="17" borderId="50" xfId="2" applyFont="1" applyFill="1" applyBorder="1"/>
    <xf numFmtId="0" fontId="87" fillId="17" borderId="51" xfId="2" applyFont="1" applyFill="1" applyBorder="1"/>
    <xf numFmtId="0" fontId="87" fillId="17" borderId="52" xfId="2" applyFont="1" applyFill="1" applyBorder="1"/>
    <xf numFmtId="0" fontId="87" fillId="17" borderId="45" xfId="2" applyFont="1" applyFill="1" applyBorder="1"/>
    <xf numFmtId="0" fontId="87" fillId="17" borderId="46" xfId="2" applyFont="1" applyFill="1" applyBorder="1"/>
    <xf numFmtId="0" fontId="87" fillId="17" borderId="47" xfId="2" applyFont="1" applyFill="1" applyBorder="1"/>
    <xf numFmtId="0" fontId="87" fillId="17" borderId="48" xfId="2" applyFont="1" applyFill="1" applyBorder="1"/>
    <xf numFmtId="0" fontId="87" fillId="17" borderId="49" xfId="2" applyFont="1" applyFill="1" applyBorder="1"/>
    <xf numFmtId="0" fontId="5" fillId="17" borderId="25" xfId="2" applyFill="1" applyBorder="1" applyAlignment="1">
      <alignment horizontal="center"/>
    </xf>
    <xf numFmtId="0" fontId="5" fillId="17" borderId="37" xfId="2" applyFill="1" applyBorder="1" applyAlignment="1">
      <alignment horizontal="center"/>
    </xf>
    <xf numFmtId="0" fontId="5" fillId="17" borderId="40" xfId="2" applyFill="1" applyBorder="1" applyAlignment="1">
      <alignment horizontal="center"/>
    </xf>
    <xf numFmtId="0" fontId="5" fillId="17" borderId="0" xfId="2" applyFont="1" applyFill="1" applyBorder="1"/>
    <xf numFmtId="0" fontId="0" fillId="29" borderId="0" xfId="0" applyFill="1"/>
    <xf numFmtId="0" fontId="5" fillId="0" borderId="0" xfId="2" applyAlignment="1">
      <alignment horizontal="center"/>
    </xf>
    <xf numFmtId="0" fontId="5" fillId="0" borderId="0" xfId="0" quotePrefix="1" applyFont="1" applyAlignment="1">
      <alignment horizontal="right"/>
    </xf>
    <xf numFmtId="0" fontId="92" fillId="8" borderId="0" xfId="0" applyFont="1" applyFill="1" applyAlignment="1">
      <alignment horizontal="center" vertical="center"/>
    </xf>
    <xf numFmtId="0" fontId="5" fillId="0" borderId="0" xfId="2" quotePrefix="1" applyAlignment="1">
      <alignment horizontal="left"/>
    </xf>
    <xf numFmtId="0" fontId="5" fillId="29" borderId="0" xfId="2" quotePrefix="1" applyFill="1" applyAlignment="1">
      <alignment horizontal="left"/>
    </xf>
    <xf numFmtId="0" fontId="5" fillId="0" borderId="0" xfId="2" applyAlignment="1">
      <alignment horizontal="center" wrapText="1"/>
    </xf>
    <xf numFmtId="165" fontId="5" fillId="0" borderId="0" xfId="2" applyNumberFormat="1" applyAlignment="1">
      <alignment horizontal="center"/>
    </xf>
    <xf numFmtId="167" fontId="5" fillId="0" borderId="0" xfId="2" applyNumberFormat="1" applyAlignment="1">
      <alignment horizontal="center"/>
    </xf>
    <xf numFmtId="167" fontId="5" fillId="29" borderId="0" xfId="2" applyNumberFormat="1" applyFill="1"/>
    <xf numFmtId="0" fontId="5" fillId="0" borderId="0" xfId="2" quotePrefix="1" applyFont="1" applyAlignment="1">
      <alignment horizontal="left"/>
    </xf>
    <xf numFmtId="16" fontId="5" fillId="0" borderId="0" xfId="2" applyNumberFormat="1"/>
    <xf numFmtId="165" fontId="5" fillId="0" borderId="0" xfId="2" applyNumberFormat="1"/>
    <xf numFmtId="2" fontId="5" fillId="0" borderId="0" xfId="2" applyNumberFormat="1"/>
    <xf numFmtId="167" fontId="5" fillId="0" borderId="0" xfId="2" applyNumberFormat="1"/>
    <xf numFmtId="0" fontId="11" fillId="17" borderId="0" xfId="2" quotePrefix="1" applyFont="1" applyFill="1" applyAlignment="1">
      <alignment horizontal="left"/>
    </xf>
    <xf numFmtId="0" fontId="11" fillId="17" borderId="0" xfId="2" applyFont="1" applyFill="1"/>
    <xf numFmtId="0" fontId="5" fillId="29" borderId="0" xfId="2" applyFont="1" applyFill="1"/>
    <xf numFmtId="167" fontId="0" fillId="29" borderId="0" xfId="0" applyNumberFormat="1" applyFill="1" applyAlignment="1">
      <alignment horizontal="center"/>
    </xf>
    <xf numFmtId="14" fontId="0" fillId="0" borderId="1" xfId="0" applyNumberFormat="1" applyBorder="1"/>
    <xf numFmtId="0" fontId="0" fillId="0" borderId="1" xfId="0" applyFont="1" applyFill="1" applyBorder="1"/>
    <xf numFmtId="0" fontId="0" fillId="0" borderId="4" xfId="0" applyBorder="1"/>
    <xf numFmtId="0" fontId="0" fillId="0" borderId="6" xfId="0" applyBorder="1"/>
    <xf numFmtId="0" fontId="0" fillId="0" borderId="1" xfId="0" applyBorder="1"/>
    <xf numFmtId="0" fontId="0" fillId="0" borderId="2" xfId="0" applyBorder="1"/>
    <xf numFmtId="0" fontId="0" fillId="0" borderId="1" xfId="0" applyFill="1" applyBorder="1"/>
    <xf numFmtId="0" fontId="0" fillId="0" borderId="2" xfId="0" applyFill="1" applyBorder="1"/>
    <xf numFmtId="0" fontId="0" fillId="0" borderId="1" xfId="0" quotePrefix="1" applyBorder="1" applyAlignment="1">
      <alignment horizontal="left"/>
    </xf>
    <xf numFmtId="173" fontId="5" fillId="0" borderId="1" xfId="0" quotePrefix="1" applyNumberFormat="1" applyFont="1" applyBorder="1"/>
    <xf numFmtId="0" fontId="11" fillId="5" borderId="0" xfId="0" applyFont="1" applyFill="1" applyAlignment="1">
      <alignment horizontal="center" vertical="center" wrapText="1"/>
    </xf>
    <xf numFmtId="0" fontId="11" fillId="29" borderId="0" xfId="0" applyFont="1" applyFill="1" applyAlignment="1">
      <alignment horizontal="center" vertical="center" wrapText="1"/>
    </xf>
    <xf numFmtId="0" fontId="11" fillId="29" borderId="0" xfId="0" quotePrefix="1" applyFont="1" applyFill="1" applyAlignment="1">
      <alignment horizontal="center" vertical="center" wrapText="1"/>
    </xf>
    <xf numFmtId="167" fontId="11" fillId="5" borderId="0" xfId="0" applyNumberFormat="1" applyFont="1" applyFill="1" applyAlignment="1">
      <alignment horizontal="center"/>
    </xf>
    <xf numFmtId="167" fontId="11" fillId="29" borderId="0" xfId="0" applyNumberFormat="1" applyFont="1" applyFill="1" applyAlignment="1">
      <alignment horizontal="center"/>
    </xf>
    <xf numFmtId="0" fontId="109" fillId="41" borderId="0" xfId="0" applyFont="1" applyFill="1" applyAlignment="1">
      <alignment horizontal="right"/>
    </xf>
    <xf numFmtId="14" fontId="10" fillId="9" borderId="0" xfId="0" applyNumberFormat="1" applyFont="1" applyFill="1" applyAlignment="1">
      <alignment horizontal="center"/>
    </xf>
    <xf numFmtId="0" fontId="108" fillId="42" borderId="0" xfId="0" applyFont="1" applyFill="1" applyAlignment="1">
      <alignment horizontal="center" vertical="center" wrapText="1"/>
    </xf>
    <xf numFmtId="0" fontId="73" fillId="42" borderId="0" xfId="0" applyFont="1" applyFill="1"/>
    <xf numFmtId="167" fontId="73" fillId="42" borderId="0" xfId="0" applyNumberFormat="1" applyFont="1" applyFill="1"/>
    <xf numFmtId="0" fontId="11" fillId="29" borderId="0" xfId="0" applyFont="1" applyFill="1" applyAlignment="1">
      <alignment horizontal="center"/>
    </xf>
    <xf numFmtId="0" fontId="108" fillId="42" borderId="0" xfId="0" quotePrefix="1" applyFont="1" applyFill="1" applyAlignment="1">
      <alignment horizontal="center"/>
    </xf>
    <xf numFmtId="0" fontId="108" fillId="42" borderId="0" xfId="0" applyFont="1" applyFill="1" applyAlignment="1">
      <alignment horizontal="center"/>
    </xf>
    <xf numFmtId="0" fontId="0" fillId="17" borderId="0" xfId="0" quotePrefix="1" applyFill="1" applyAlignment="1">
      <alignment horizontal="left"/>
    </xf>
    <xf numFmtId="0" fontId="97" fillId="0" borderId="0" xfId="0" applyFont="1"/>
    <xf numFmtId="0" fontId="0" fillId="0" borderId="55" xfId="0" applyFill="1" applyBorder="1"/>
    <xf numFmtId="0" fontId="0" fillId="0" borderId="56" xfId="0" applyFill="1" applyBorder="1"/>
    <xf numFmtId="0" fontId="5" fillId="0" borderId="56" xfId="0" applyFont="1" applyFill="1" applyBorder="1"/>
    <xf numFmtId="0" fontId="0" fillId="0" borderId="58" xfId="0" applyFill="1" applyBorder="1"/>
    <xf numFmtId="0" fontId="0" fillId="0" borderId="60" xfId="0" applyFont="1" applyFill="1" applyBorder="1"/>
    <xf numFmtId="0" fontId="0" fillId="17" borderId="55" xfId="0" applyFill="1" applyBorder="1"/>
    <xf numFmtId="0" fontId="0" fillId="17" borderId="56" xfId="0" applyFill="1" applyBorder="1"/>
    <xf numFmtId="0" fontId="0" fillId="17" borderId="57" xfId="0" applyFill="1" applyBorder="1"/>
    <xf numFmtId="0" fontId="0" fillId="17" borderId="58" xfId="0" applyFill="1" applyBorder="1"/>
    <xf numFmtId="0" fontId="0" fillId="17" borderId="0" xfId="0" applyFill="1" applyBorder="1"/>
    <xf numFmtId="0" fontId="0" fillId="17" borderId="59" xfId="0" applyFill="1" applyBorder="1"/>
    <xf numFmtId="0" fontId="0" fillId="17" borderId="61" xfId="0" applyFill="1" applyBorder="1"/>
    <xf numFmtId="0" fontId="0" fillId="17" borderId="62" xfId="0" applyFill="1" applyBorder="1"/>
    <xf numFmtId="0" fontId="0" fillId="17" borderId="60" xfId="0" applyFill="1" applyBorder="1"/>
    <xf numFmtId="0" fontId="0" fillId="0" borderId="57" xfId="0" applyFill="1" applyBorder="1"/>
    <xf numFmtId="0" fontId="0" fillId="0" borderId="59" xfId="0" applyFill="1" applyBorder="1"/>
    <xf numFmtId="0" fontId="0" fillId="0" borderId="61" xfId="0" applyFill="1" applyBorder="1"/>
    <xf numFmtId="0" fontId="0" fillId="0" borderId="61" xfId="0" applyFill="1" applyBorder="1" applyAlignment="1">
      <alignment horizontal="center"/>
    </xf>
    <xf numFmtId="0" fontId="0" fillId="0" borderId="62" xfId="0" applyFill="1" applyBorder="1"/>
    <xf numFmtId="0" fontId="0" fillId="0" borderId="1" xfId="0" applyBorder="1" applyAlignment="1">
      <alignment horizontal="center"/>
    </xf>
    <xf numFmtId="0" fontId="0" fillId="41" borderId="0" xfId="0" applyFill="1"/>
    <xf numFmtId="0" fontId="5" fillId="41" borderId="0" xfId="0" quotePrefix="1" applyFont="1" applyFill="1" applyAlignment="1">
      <alignment horizontal="left"/>
    </xf>
    <xf numFmtId="0" fontId="10" fillId="8" borderId="0" xfId="0" quotePrefix="1" applyFont="1" applyFill="1" applyAlignment="1">
      <alignment horizontal="left"/>
    </xf>
    <xf numFmtId="0" fontId="111" fillId="0" borderId="1" xfId="0" applyFont="1" applyFill="1" applyBorder="1"/>
    <xf numFmtId="0" fontId="111" fillId="0" borderId="1" xfId="0" applyFont="1" applyFill="1" applyBorder="1" applyAlignment="1">
      <alignment horizontal="center"/>
    </xf>
    <xf numFmtId="0" fontId="5" fillId="17" borderId="0" xfId="2" quotePrefix="1" applyFont="1" applyFill="1" applyBorder="1" applyAlignment="1">
      <alignment horizontal="left"/>
    </xf>
    <xf numFmtId="2" fontId="5" fillId="17" borderId="0" xfId="2" applyNumberFormat="1" applyFill="1" applyBorder="1"/>
    <xf numFmtId="1" fontId="5" fillId="17" borderId="0" xfId="2" applyNumberFormat="1" applyFill="1" applyBorder="1"/>
    <xf numFmtId="0" fontId="5" fillId="0" borderId="1" xfId="0" applyFont="1" applyBorder="1"/>
    <xf numFmtId="0" fontId="0" fillId="0" borderId="1" xfId="0" quotePrefix="1" applyFill="1" applyBorder="1" applyAlignment="1">
      <alignment horizontal="left"/>
    </xf>
    <xf numFmtId="0" fontId="5" fillId="0" borderId="1" xfId="0" applyFont="1" applyFill="1" applyBorder="1" applyAlignment="1">
      <alignment wrapText="1"/>
    </xf>
    <xf numFmtId="173" fontId="5" fillId="0" borderId="1" xfId="0" quotePrefix="1" applyNumberFormat="1" applyFont="1" applyBorder="1" applyAlignment="1">
      <alignment horizontal="left"/>
    </xf>
    <xf numFmtId="0" fontId="5" fillId="0" borderId="1" xfId="0" quotePrefix="1" applyFont="1" applyFill="1" applyBorder="1" applyAlignment="1">
      <alignment horizontal="left" wrapText="1"/>
    </xf>
    <xf numFmtId="0" fontId="5" fillId="0" borderId="1" xfId="0" quotePrefix="1" applyFont="1" applyFill="1" applyBorder="1" applyAlignment="1">
      <alignment horizontal="left"/>
    </xf>
    <xf numFmtId="0" fontId="0" fillId="0" borderId="4" xfId="0" quotePrefix="1" applyBorder="1"/>
    <xf numFmtId="0" fontId="0" fillId="0" borderId="6" xfId="0" applyFill="1" applyBorder="1"/>
    <xf numFmtId="0" fontId="0" fillId="0" borderId="4" xfId="0" applyFill="1" applyBorder="1"/>
    <xf numFmtId="0" fontId="5" fillId="15" borderId="0" xfId="2" applyFill="1"/>
    <xf numFmtId="0" fontId="0" fillId="43" borderId="0" xfId="0" applyFill="1"/>
    <xf numFmtId="0" fontId="5" fillId="43" borderId="0" xfId="0" quotePrefix="1" applyFont="1" applyFill="1" applyAlignment="1">
      <alignment horizontal="left"/>
    </xf>
    <xf numFmtId="0" fontId="0" fillId="44" borderId="0" xfId="0" applyFill="1"/>
    <xf numFmtId="0" fontId="5" fillId="44" borderId="0" xfId="0" quotePrefix="1" applyFont="1" applyFill="1" applyAlignment="1">
      <alignment horizontal="left"/>
    </xf>
    <xf numFmtId="0" fontId="5" fillId="15" borderId="0" xfId="0" quotePrefix="1" applyFont="1" applyFill="1" applyAlignment="1">
      <alignment horizontal="left"/>
    </xf>
    <xf numFmtId="0" fontId="11" fillId="0" borderId="0" xfId="0" applyFont="1" applyAlignment="1">
      <alignment horizontal="center"/>
    </xf>
    <xf numFmtId="0" fontId="11" fillId="0" borderId="0" xfId="0" quotePrefix="1" applyFont="1" applyFill="1" applyAlignment="1">
      <alignment horizontal="center"/>
    </xf>
    <xf numFmtId="0" fontId="110" fillId="26" borderId="1" xfId="0" applyFont="1" applyFill="1" applyBorder="1" applyAlignment="1">
      <alignment horizontal="center"/>
    </xf>
    <xf numFmtId="0" fontId="0" fillId="17" borderId="0" xfId="0" quotePrefix="1" applyFill="1" applyAlignment="1">
      <alignment horizontal="right"/>
    </xf>
    <xf numFmtId="0" fontId="110" fillId="45" borderId="1" xfId="0" applyFont="1" applyFill="1" applyBorder="1" applyAlignment="1">
      <alignment horizontal="center"/>
    </xf>
    <xf numFmtId="0" fontId="5" fillId="0" borderId="1" xfId="0" quotePrefix="1" applyFont="1" applyFill="1" applyBorder="1" applyAlignment="1">
      <alignment horizontal="center"/>
    </xf>
    <xf numFmtId="2" fontId="6" fillId="0" borderId="0" xfId="0" applyNumberFormat="1" applyFont="1" applyFill="1" applyBorder="1" applyAlignment="1">
      <alignment horizontal="center"/>
    </xf>
    <xf numFmtId="0" fontId="0" fillId="0" borderId="0" xfId="0" applyAlignment="1">
      <alignment horizontal="center"/>
    </xf>
    <xf numFmtId="0" fontId="0" fillId="46" borderId="0" xfId="0" applyFill="1"/>
    <xf numFmtId="0" fontId="0" fillId="24" borderId="10" xfId="0" applyFill="1" applyBorder="1"/>
    <xf numFmtId="0" fontId="0" fillId="25" borderId="10" xfId="0" applyFill="1" applyBorder="1"/>
    <xf numFmtId="0" fontId="80" fillId="0" borderId="10" xfId="0" applyFont="1" applyBorder="1"/>
    <xf numFmtId="0" fontId="0" fillId="27" borderId="10" xfId="0" applyFill="1" applyBorder="1"/>
    <xf numFmtId="0" fontId="80" fillId="0" borderId="0" xfId="0" applyFont="1" applyBorder="1"/>
    <xf numFmtId="0" fontId="0" fillId="24" borderId="0" xfId="0" applyFill="1" applyBorder="1"/>
    <xf numFmtId="0" fontId="0" fillId="25" borderId="0" xfId="0" quotePrefix="1" applyFill="1" applyBorder="1" applyAlignment="1">
      <alignment horizontal="left"/>
    </xf>
    <xf numFmtId="0" fontId="0" fillId="25" borderId="0" xfId="0" applyFill="1" applyBorder="1"/>
    <xf numFmtId="167" fontId="0" fillId="25" borderId="10" xfId="0" applyNumberFormat="1" applyFill="1" applyBorder="1"/>
    <xf numFmtId="167" fontId="0" fillId="0" borderId="0" xfId="0" applyNumberFormat="1" applyBorder="1" applyAlignment="1">
      <alignment horizontal="center"/>
    </xf>
    <xf numFmtId="167" fontId="8" fillId="15" borderId="10" xfId="0" applyNumberFormat="1" applyFont="1" applyFill="1" applyBorder="1"/>
    <xf numFmtId="167" fontId="0" fillId="0" borderId="12" xfId="0" applyNumberFormat="1" applyBorder="1" applyAlignment="1">
      <alignment horizontal="center"/>
    </xf>
    <xf numFmtId="167" fontId="8" fillId="9" borderId="11" xfId="0" applyNumberFormat="1" applyFont="1" applyFill="1" applyBorder="1"/>
    <xf numFmtId="167" fontId="77" fillId="0" borderId="11" xfId="0" applyNumberFormat="1" applyFont="1" applyFill="1" applyBorder="1"/>
    <xf numFmtId="167" fontId="77" fillId="0" borderId="11" xfId="0" applyNumberFormat="1" applyFont="1" applyBorder="1"/>
    <xf numFmtId="167" fontId="0" fillId="3" borderId="0" xfId="0" applyNumberFormat="1" applyFill="1" applyBorder="1" applyAlignment="1">
      <alignment horizontal="center"/>
    </xf>
    <xf numFmtId="167" fontId="11" fillId="0" borderId="0" xfId="0" applyNumberFormat="1" applyFont="1" applyFill="1" applyAlignment="1">
      <alignment horizontal="center"/>
    </xf>
    <xf numFmtId="167" fontId="0" fillId="0" borderId="0" xfId="0" applyNumberFormat="1" applyFill="1" applyAlignment="1">
      <alignment horizontal="center"/>
    </xf>
    <xf numFmtId="167" fontId="5" fillId="0" borderId="0" xfId="0" applyNumberFormat="1" applyFont="1" applyFill="1" applyAlignment="1">
      <alignment horizontal="center"/>
    </xf>
    <xf numFmtId="9" fontId="21" fillId="14" borderId="0" xfId="1" applyFont="1" applyFill="1" applyAlignment="1">
      <alignment horizontal="center"/>
    </xf>
    <xf numFmtId="0" fontId="0" fillId="41" borderId="0" xfId="0" quotePrefix="1" applyFill="1" applyAlignment="1">
      <alignment horizontal="left"/>
    </xf>
    <xf numFmtId="0" fontId="11" fillId="0" borderId="0" xfId="0" quotePrefix="1" applyFont="1" applyAlignment="1">
      <alignment horizontal="center"/>
    </xf>
    <xf numFmtId="0" fontId="0" fillId="15" borderId="22" xfId="0" applyNumberFormat="1" applyFill="1" applyBorder="1" applyAlignment="1">
      <alignment horizontal="center"/>
    </xf>
    <xf numFmtId="0" fontId="5" fillId="15" borderId="0" xfId="2" quotePrefix="1" applyFill="1" applyAlignment="1">
      <alignment horizontal="left"/>
    </xf>
    <xf numFmtId="0" fontId="0" fillId="46" borderId="0" xfId="0" quotePrefix="1" applyFill="1" applyAlignment="1">
      <alignment horizontal="left"/>
    </xf>
    <xf numFmtId="0" fontId="5" fillId="17" borderId="8" xfId="2" applyFill="1" applyBorder="1"/>
    <xf numFmtId="0" fontId="5" fillId="17" borderId="12" xfId="2" applyFill="1" applyBorder="1"/>
    <xf numFmtId="0" fontId="5" fillId="17" borderId="3" xfId="2" applyFill="1" applyBorder="1"/>
    <xf numFmtId="0" fontId="5" fillId="17" borderId="10" xfId="2" applyFill="1" applyBorder="1"/>
    <xf numFmtId="0" fontId="5" fillId="17" borderId="5" xfId="2" applyFill="1" applyBorder="1"/>
    <xf numFmtId="0" fontId="5" fillId="17" borderId="9" xfId="2" applyFill="1" applyBorder="1"/>
    <xf numFmtId="0" fontId="5" fillId="17" borderId="11" xfId="2" applyFill="1" applyBorder="1"/>
    <xf numFmtId="2" fontId="5" fillId="17" borderId="11" xfId="2" applyNumberFormat="1" applyFill="1" applyBorder="1"/>
    <xf numFmtId="0" fontId="5" fillId="17" borderId="7" xfId="2" applyFill="1" applyBorder="1"/>
    <xf numFmtId="0" fontId="11" fillId="41" borderId="22" xfId="0" applyFont="1" applyFill="1" applyBorder="1" applyAlignment="1">
      <alignment horizontal="center"/>
    </xf>
    <xf numFmtId="0" fontId="11" fillId="26" borderId="1" xfId="0" applyFont="1" applyFill="1" applyBorder="1"/>
    <xf numFmtId="0" fontId="11" fillId="47" borderId="1" xfId="0" applyFont="1" applyFill="1" applyBorder="1"/>
    <xf numFmtId="3" fontId="10" fillId="8" borderId="0" xfId="0" quotePrefix="1" applyNumberFormat="1" applyFont="1" applyFill="1" applyAlignment="1">
      <alignment horizontal="left"/>
    </xf>
    <xf numFmtId="0" fontId="5" fillId="25" borderId="0" xfId="2" applyFill="1"/>
    <xf numFmtId="0" fontId="5" fillId="17" borderId="0" xfId="21" quotePrefix="1" applyFont="1" applyFill="1" applyAlignment="1">
      <alignment horizontal="left"/>
    </xf>
    <xf numFmtId="0" fontId="110" fillId="26" borderId="1" xfId="0" applyFont="1" applyFill="1" applyBorder="1" applyAlignment="1">
      <alignment horizontal="center"/>
    </xf>
    <xf numFmtId="0" fontId="110" fillId="26" borderId="1" xfId="0" applyFont="1" applyFill="1" applyBorder="1" applyAlignment="1">
      <alignment horizontal="center"/>
    </xf>
    <xf numFmtId="0" fontId="111" fillId="0" borderId="1" xfId="0" applyFont="1" applyBorder="1"/>
    <xf numFmtId="0" fontId="111" fillId="0" borderId="1" xfId="0" applyFont="1" applyBorder="1" applyAlignment="1">
      <alignment horizontal="center"/>
    </xf>
    <xf numFmtId="2" fontId="0" fillId="41" borderId="0" xfId="0" applyNumberFormat="1" applyFill="1"/>
    <xf numFmtId="0" fontId="8" fillId="24" borderId="0" xfId="0" applyFont="1" applyFill="1" applyBorder="1"/>
    <xf numFmtId="0" fontId="5" fillId="24" borderId="0" xfId="2" applyFill="1"/>
    <xf numFmtId="0" fontId="5" fillId="46" borderId="0" xfId="0" applyFont="1" applyFill="1"/>
    <xf numFmtId="0" fontId="5" fillId="46" borderId="0" xfId="0" quotePrefix="1" applyFont="1" applyFill="1" applyAlignment="1">
      <alignment horizontal="left"/>
    </xf>
    <xf numFmtId="168" fontId="78" fillId="0" borderId="0" xfId="0" quotePrefix="1" applyNumberFormat="1" applyFont="1" applyFill="1" applyBorder="1" applyAlignment="1"/>
    <xf numFmtId="0" fontId="87" fillId="0" borderId="0" xfId="0" quotePrefix="1" applyFont="1" applyFill="1" applyBorder="1" applyAlignment="1">
      <alignment horizontal="left"/>
    </xf>
    <xf numFmtId="0" fontId="79" fillId="0" borderId="0" xfId="0" quotePrefix="1" applyFont="1" applyFill="1" applyBorder="1" applyAlignment="1">
      <alignment horizontal="left"/>
    </xf>
    <xf numFmtId="167" fontId="0" fillId="0" borderId="0" xfId="0" applyNumberFormat="1" applyFill="1" applyBorder="1"/>
    <xf numFmtId="0" fontId="5" fillId="0" borderId="0" xfId="0" quotePrefix="1" applyFont="1" applyFill="1" applyBorder="1" applyAlignment="1"/>
    <xf numFmtId="0" fontId="5" fillId="17" borderId="0" xfId="0" applyFont="1" applyFill="1" applyBorder="1"/>
    <xf numFmtId="167" fontId="0" fillId="27" borderId="0" xfId="0" quotePrefix="1" applyNumberFormat="1" applyFill="1" applyAlignment="1">
      <alignment horizontal="left"/>
    </xf>
    <xf numFmtId="0" fontId="8" fillId="17" borderId="10" xfId="0" applyFont="1" applyFill="1" applyBorder="1"/>
    <xf numFmtId="0" fontId="5" fillId="2" borderId="10" xfId="0" applyFont="1" applyFill="1" applyBorder="1"/>
    <xf numFmtId="0" fontId="8" fillId="24" borderId="10" xfId="0" applyFont="1" applyFill="1" applyBorder="1"/>
    <xf numFmtId="0" fontId="26" fillId="0" borderId="10" xfId="0" applyFont="1" applyBorder="1"/>
    <xf numFmtId="167" fontId="8" fillId="0" borderId="10" xfId="0" applyNumberFormat="1" applyFont="1" applyBorder="1"/>
    <xf numFmtId="167" fontId="26" fillId="0" borderId="10" xfId="0" applyNumberFormat="1" applyFont="1" applyBorder="1" applyAlignment="1">
      <alignment horizontal="right"/>
    </xf>
    <xf numFmtId="167" fontId="8" fillId="9" borderId="10" xfId="0" applyNumberFormat="1" applyFont="1" applyFill="1" applyBorder="1"/>
    <xf numFmtId="167" fontId="26" fillId="9" borderId="9" xfId="0" applyNumberFormat="1" applyFont="1" applyFill="1" applyBorder="1"/>
    <xf numFmtId="167" fontId="5" fillId="0" borderId="10" xfId="0" applyNumberFormat="1" applyFont="1" applyBorder="1"/>
    <xf numFmtId="167" fontId="77" fillId="0" borderId="9" xfId="0" applyNumberFormat="1" applyFont="1" applyBorder="1"/>
    <xf numFmtId="0" fontId="8" fillId="0" borderId="8" xfId="0" applyFont="1" applyBorder="1"/>
    <xf numFmtId="164" fontId="8" fillId="9" borderId="9" xfId="0" applyNumberFormat="1" applyFont="1" applyFill="1" applyBorder="1"/>
    <xf numFmtId="2" fontId="49" fillId="16" borderId="0" xfId="0" applyNumberFormat="1" applyFont="1" applyFill="1"/>
    <xf numFmtId="16" fontId="10" fillId="8" borderId="0" xfId="0" quotePrefix="1" applyNumberFormat="1" applyFont="1" applyFill="1" applyAlignment="1">
      <alignment horizontal="left"/>
    </xf>
    <xf numFmtId="0" fontId="5" fillId="0" borderId="0" xfId="0" quotePrefix="1" applyFont="1" applyFill="1" applyAlignment="1">
      <alignment horizontal="right"/>
    </xf>
    <xf numFmtId="167" fontId="114" fillId="0" borderId="1" xfId="0" applyNumberFormat="1" applyFont="1" applyFill="1" applyBorder="1" applyAlignment="1">
      <alignment horizontal="center"/>
    </xf>
    <xf numFmtId="0" fontId="110" fillId="21" borderId="1" xfId="0" applyFont="1" applyFill="1" applyBorder="1" applyAlignment="1">
      <alignment horizontal="center"/>
    </xf>
    <xf numFmtId="0" fontId="0" fillId="48" borderId="0" xfId="0" applyFill="1"/>
    <xf numFmtId="0" fontId="5" fillId="48" borderId="0" xfId="0" quotePrefix="1" applyFont="1" applyFill="1" applyAlignment="1">
      <alignment horizontal="left"/>
    </xf>
    <xf numFmtId="0" fontId="0" fillId="48" borderId="0" xfId="0" quotePrefix="1" applyFill="1" applyAlignment="1">
      <alignment horizontal="left"/>
    </xf>
    <xf numFmtId="0" fontId="5" fillId="29" borderId="0" xfId="0" quotePrefix="1" applyFont="1" applyFill="1" applyAlignment="1">
      <alignment horizontal="left"/>
    </xf>
    <xf numFmtId="0" fontId="0" fillId="29" borderId="0" xfId="0" quotePrefix="1" applyFill="1" applyAlignment="1">
      <alignment horizontal="left"/>
    </xf>
    <xf numFmtId="0" fontId="6" fillId="0" borderId="3" xfId="0" quotePrefix="1" applyFont="1" applyFill="1" applyBorder="1" applyAlignment="1">
      <alignment horizontal="center"/>
    </xf>
    <xf numFmtId="0" fontId="6" fillId="0" borderId="7" xfId="0" quotePrefix="1" applyFont="1" applyFill="1" applyBorder="1" applyAlignment="1">
      <alignment horizontal="center"/>
    </xf>
    <xf numFmtId="0" fontId="0" fillId="0" borderId="1" xfId="0" applyFill="1" applyBorder="1" applyAlignment="1">
      <alignment horizontal="left"/>
    </xf>
    <xf numFmtId="0" fontId="0" fillId="15" borderId="1" xfId="0" applyFill="1" applyBorder="1" applyAlignment="1">
      <alignment horizontal="center"/>
    </xf>
    <xf numFmtId="2" fontId="0" fillId="0" borderId="1" xfId="0" applyNumberFormat="1" applyBorder="1" applyAlignment="1">
      <alignment horizontal="center"/>
    </xf>
    <xf numFmtId="0" fontId="5" fillId="0" borderId="1" xfId="0" quotePrefix="1" applyFont="1" applyBorder="1" applyAlignment="1">
      <alignment horizontal="center"/>
    </xf>
    <xf numFmtId="0" fontId="11" fillId="0" borderId="22" xfId="0" applyFont="1" applyFill="1" applyBorder="1" applyAlignment="1">
      <alignment horizontal="center"/>
    </xf>
    <xf numFmtId="0" fontId="11" fillId="0" borderId="20" xfId="0" applyFont="1" applyFill="1" applyBorder="1" applyAlignment="1">
      <alignment horizontal="center"/>
    </xf>
    <xf numFmtId="0" fontId="11" fillId="0" borderId="23" xfId="0" applyFont="1" applyFill="1" applyBorder="1" applyAlignment="1">
      <alignment horizontal="center"/>
    </xf>
    <xf numFmtId="0" fontId="97" fillId="0" borderId="21" xfId="2" applyFont="1" applyFill="1" applyBorder="1" applyAlignment="1">
      <alignment horizontal="center" vertical="top" wrapText="1"/>
    </xf>
    <xf numFmtId="0" fontId="97" fillId="0" borderId="24" xfId="2" applyFont="1" applyFill="1" applyBorder="1" applyAlignment="1">
      <alignment horizontal="center" vertical="top" wrapText="1"/>
    </xf>
    <xf numFmtId="0" fontId="97" fillId="0" borderId="25" xfId="2" applyFont="1" applyFill="1" applyBorder="1" applyAlignment="1">
      <alignment horizontal="center" vertical="top" wrapText="1"/>
    </xf>
    <xf numFmtId="0" fontId="97" fillId="0" borderId="36" xfId="2" applyFont="1" applyFill="1" applyBorder="1" applyAlignment="1">
      <alignment horizontal="center" vertical="top" wrapText="1"/>
    </xf>
    <xf numFmtId="0" fontId="97" fillId="0" borderId="0" xfId="2" applyFont="1" applyFill="1" applyBorder="1" applyAlignment="1">
      <alignment horizontal="center" vertical="top" wrapText="1"/>
    </xf>
    <xf numFmtId="0" fontId="97" fillId="0" borderId="37" xfId="2" applyFont="1" applyFill="1" applyBorder="1" applyAlignment="1">
      <alignment horizontal="center" vertical="top" wrapText="1"/>
    </xf>
    <xf numFmtId="0" fontId="97" fillId="0" borderId="38" xfId="2" applyFont="1" applyFill="1" applyBorder="1" applyAlignment="1">
      <alignment horizontal="center" vertical="top" wrapText="1"/>
    </xf>
    <xf numFmtId="0" fontId="97" fillId="0" borderId="39" xfId="2" applyFont="1" applyFill="1" applyBorder="1" applyAlignment="1">
      <alignment horizontal="center" vertical="top" wrapText="1"/>
    </xf>
    <xf numFmtId="0" fontId="97" fillId="0" borderId="40" xfId="2" applyFont="1" applyFill="1" applyBorder="1" applyAlignment="1">
      <alignment horizontal="center" vertical="top" wrapText="1"/>
    </xf>
    <xf numFmtId="0" fontId="69" fillId="16" borderId="21" xfId="0" applyFont="1" applyFill="1" applyBorder="1" applyAlignment="1">
      <alignment horizontal="center" vertical="center" wrapText="1"/>
    </xf>
    <xf numFmtId="0" fontId="69" fillId="16" borderId="24" xfId="0" applyFont="1" applyFill="1" applyBorder="1" applyAlignment="1">
      <alignment horizontal="center" vertical="center" wrapText="1"/>
    </xf>
    <xf numFmtId="0" fontId="69" fillId="16" borderId="25" xfId="0" applyFont="1" applyFill="1" applyBorder="1" applyAlignment="1">
      <alignment horizontal="center" vertical="center" wrapText="1"/>
    </xf>
    <xf numFmtId="0" fontId="69" fillId="16" borderId="36" xfId="0" applyFont="1" applyFill="1" applyBorder="1" applyAlignment="1">
      <alignment horizontal="center" vertical="center" wrapText="1"/>
    </xf>
    <xf numFmtId="0" fontId="69" fillId="16" borderId="0" xfId="0" applyFont="1" applyFill="1" applyBorder="1" applyAlignment="1">
      <alignment horizontal="center" vertical="center" wrapText="1"/>
    </xf>
    <xf numFmtId="0" fontId="69" fillId="16" borderId="37" xfId="0" applyFont="1" applyFill="1" applyBorder="1" applyAlignment="1">
      <alignment horizontal="center" vertical="center" wrapText="1"/>
    </xf>
    <xf numFmtId="0" fontId="69" fillId="16" borderId="38" xfId="0" applyFont="1" applyFill="1" applyBorder="1" applyAlignment="1">
      <alignment horizontal="center" vertical="center" wrapText="1"/>
    </xf>
    <xf numFmtId="0" fontId="69" fillId="16" borderId="39" xfId="0" applyFont="1" applyFill="1" applyBorder="1" applyAlignment="1">
      <alignment horizontal="center" vertical="center" wrapText="1"/>
    </xf>
    <xf numFmtId="0" fontId="69" fillId="16" borderId="40" xfId="0" applyFont="1" applyFill="1" applyBorder="1" applyAlignment="1">
      <alignment horizontal="center" vertical="center" wrapText="1"/>
    </xf>
    <xf numFmtId="0" fontId="5" fillId="0" borderId="22" xfId="0" applyFont="1" applyFill="1" applyBorder="1" applyAlignment="1">
      <alignment horizontal="center"/>
    </xf>
    <xf numFmtId="0" fontId="5" fillId="0" borderId="20" xfId="0" applyFont="1" applyFill="1" applyBorder="1" applyAlignment="1">
      <alignment horizontal="center"/>
    </xf>
    <xf numFmtId="0" fontId="5" fillId="0" borderId="23" xfId="0" applyFont="1" applyFill="1" applyBorder="1" applyAlignment="1">
      <alignment horizontal="center"/>
    </xf>
    <xf numFmtId="0" fontId="5" fillId="0" borderId="0" xfId="0" applyFont="1" applyFill="1" applyAlignment="1">
      <alignment horizontal="left" wrapText="1"/>
    </xf>
    <xf numFmtId="0" fontId="49" fillId="0" borderId="37" xfId="0" applyFont="1" applyFill="1" applyBorder="1" applyAlignment="1">
      <alignment horizontal="center"/>
    </xf>
    <xf numFmtId="0" fontId="11" fillId="0" borderId="22" xfId="2" applyFont="1" applyFill="1" applyBorder="1" applyAlignment="1">
      <alignment horizontal="center"/>
    </xf>
    <xf numFmtId="0" fontId="11" fillId="0" borderId="20" xfId="2" applyFont="1" applyFill="1" applyBorder="1" applyAlignment="1">
      <alignment horizontal="center"/>
    </xf>
    <xf numFmtId="0" fontId="11" fillId="0" borderId="23" xfId="2" applyFont="1" applyFill="1" applyBorder="1" applyAlignment="1">
      <alignment horizontal="center"/>
    </xf>
    <xf numFmtId="0" fontId="11" fillId="28" borderId="8" xfId="0" quotePrefix="1" applyFont="1" applyFill="1" applyBorder="1" applyAlignment="1">
      <alignment horizontal="center" wrapText="1"/>
    </xf>
    <xf numFmtId="0" fontId="11" fillId="28" borderId="3" xfId="0" quotePrefix="1" applyFont="1" applyFill="1" applyBorder="1" applyAlignment="1">
      <alignment horizontal="center" wrapText="1"/>
    </xf>
    <xf numFmtId="0" fontId="11" fillId="28" borderId="9" xfId="0" quotePrefix="1" applyFont="1" applyFill="1" applyBorder="1" applyAlignment="1">
      <alignment horizontal="center" wrapText="1"/>
    </xf>
    <xf numFmtId="0" fontId="11" fillId="28" borderId="7" xfId="0" quotePrefix="1" applyFont="1" applyFill="1" applyBorder="1" applyAlignment="1">
      <alignment horizontal="center" wrapText="1"/>
    </xf>
    <xf numFmtId="0" fontId="66" fillId="14" borderId="0" xfId="0" applyFont="1" applyFill="1" applyAlignment="1">
      <alignment horizontal="center" vertical="center"/>
    </xf>
    <xf numFmtId="0" fontId="113" fillId="15" borderId="21" xfId="0" applyFont="1" applyFill="1" applyBorder="1" applyAlignment="1">
      <alignment horizontal="center" vertical="center"/>
    </xf>
    <xf numFmtId="0" fontId="113" fillId="15" borderId="24" xfId="0" applyFont="1" applyFill="1" applyBorder="1" applyAlignment="1">
      <alignment horizontal="center" vertical="center"/>
    </xf>
    <xf numFmtId="0" fontId="113" fillId="15" borderId="25" xfId="0" applyFont="1" applyFill="1" applyBorder="1" applyAlignment="1">
      <alignment horizontal="center" vertical="center"/>
    </xf>
    <xf numFmtId="0" fontId="113" fillId="15" borderId="38" xfId="0" applyFont="1" applyFill="1" applyBorder="1" applyAlignment="1">
      <alignment horizontal="center" vertical="center"/>
    </xf>
    <xf numFmtId="0" fontId="113" fillId="15" borderId="39" xfId="0" applyFont="1" applyFill="1" applyBorder="1" applyAlignment="1">
      <alignment horizontal="center" vertical="center"/>
    </xf>
    <xf numFmtId="0" fontId="113" fillId="15" borderId="40" xfId="0" applyFont="1" applyFill="1" applyBorder="1" applyAlignment="1">
      <alignment horizontal="center" vertical="center"/>
    </xf>
    <xf numFmtId="0" fontId="110" fillId="21" borderId="1" xfId="0" applyFont="1" applyFill="1" applyBorder="1" applyAlignment="1">
      <alignment horizontal="center" vertical="center"/>
    </xf>
    <xf numFmtId="0" fontId="110" fillId="21" borderId="1" xfId="0" applyFont="1" applyFill="1" applyBorder="1" applyAlignment="1">
      <alignment horizontal="center"/>
    </xf>
    <xf numFmtId="0" fontId="110" fillId="26" borderId="1" xfId="0" applyFont="1" applyFill="1" applyBorder="1" applyAlignment="1">
      <alignment horizontal="center" vertical="center"/>
    </xf>
    <xf numFmtId="0" fontId="110" fillId="26" borderId="1" xfId="0" applyFont="1" applyFill="1" applyBorder="1" applyAlignment="1">
      <alignment horizontal="center"/>
    </xf>
    <xf numFmtId="0" fontId="11" fillId="0" borderId="0" xfId="0" applyFont="1" applyAlignment="1">
      <alignment horizontal="center"/>
    </xf>
    <xf numFmtId="0" fontId="56" fillId="0" borderId="0" xfId="0" applyFont="1" applyAlignment="1">
      <alignment horizontal="center"/>
    </xf>
    <xf numFmtId="49" fontId="56" fillId="0" borderId="41" xfId="0" applyNumberFormat="1" applyFont="1" applyBorder="1" applyAlignment="1">
      <alignment horizontal="center"/>
    </xf>
    <xf numFmtId="49" fontId="56" fillId="0" borderId="42" xfId="0" applyNumberFormat="1" applyFont="1" applyBorder="1" applyAlignment="1">
      <alignment horizontal="center"/>
    </xf>
    <xf numFmtId="49" fontId="56" fillId="0" borderId="43" xfId="0" applyNumberFormat="1" applyFont="1" applyBorder="1" applyAlignment="1">
      <alignment horizontal="center"/>
    </xf>
    <xf numFmtId="0" fontId="0" fillId="0" borderId="0" xfId="0" applyAlignment="1">
      <alignment horizontal="center"/>
    </xf>
    <xf numFmtId="0" fontId="55" fillId="0" borderId="0" xfId="0" applyFont="1" applyAlignment="1">
      <alignment horizontal="center"/>
    </xf>
    <xf numFmtId="49" fontId="11" fillId="0" borderId="8" xfId="0" applyNumberFormat="1" applyFont="1" applyBorder="1" applyAlignment="1">
      <alignment horizontal="center"/>
    </xf>
    <xf numFmtId="49" fontId="11" fillId="0" borderId="12"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applyAlignment="1">
      <alignment horizontal="center"/>
    </xf>
    <xf numFmtId="49" fontId="56" fillId="0" borderId="0" xfId="0" applyNumberFormat="1" applyFont="1" applyAlignment="1">
      <alignment horizontal="center"/>
    </xf>
    <xf numFmtId="0" fontId="110" fillId="45" borderId="1" xfId="0" applyFont="1" applyFill="1" applyBorder="1" applyAlignment="1">
      <alignment horizontal="center" vertical="center"/>
    </xf>
    <xf numFmtId="0" fontId="110" fillId="45" borderId="1" xfId="0" applyFont="1" applyFill="1" applyBorder="1" applyAlignment="1">
      <alignment horizontal="center"/>
    </xf>
    <xf numFmtId="0" fontId="5" fillId="0" borderId="1" xfId="0" applyFont="1" applyFill="1" applyBorder="1" applyAlignment="1">
      <alignment horizontal="left" wrapText="1"/>
    </xf>
    <xf numFmtId="0" fontId="0" fillId="0" borderId="1" xfId="0" applyFont="1" applyFill="1" applyBorder="1" applyAlignment="1">
      <alignment horizontal="center"/>
    </xf>
    <xf numFmtId="171" fontId="5" fillId="0" borderId="1" xfId="0" quotePrefix="1" applyNumberFormat="1" applyFont="1" applyFill="1" applyBorder="1" applyAlignment="1">
      <alignment horizontal="center"/>
    </xf>
    <xf numFmtId="0" fontId="11" fillId="0" borderId="0" xfId="2" applyFont="1" applyFill="1" applyBorder="1" applyAlignment="1">
      <alignment horizontal="center" vertical="center" wrapText="1"/>
    </xf>
    <xf numFmtId="0" fontId="11" fillId="0" borderId="0" xfId="2" applyFont="1" applyFill="1" applyBorder="1" applyAlignment="1">
      <alignment horizontal="center"/>
    </xf>
    <xf numFmtId="0" fontId="5" fillId="0" borderId="0" xfId="2" applyAlignment="1">
      <alignment horizontal="center"/>
    </xf>
    <xf numFmtId="0" fontId="5" fillId="0" borderId="37" xfId="2" applyBorder="1" applyAlignment="1">
      <alignment horizontal="center"/>
    </xf>
    <xf numFmtId="0" fontId="50" fillId="17" borderId="22" xfId="2" applyFont="1" applyFill="1" applyBorder="1" applyAlignment="1">
      <alignment horizontal="center"/>
    </xf>
    <xf numFmtId="0" fontId="50" fillId="17" borderId="20" xfId="2" applyFont="1" applyFill="1" applyBorder="1" applyAlignment="1">
      <alignment horizontal="center"/>
    </xf>
    <xf numFmtId="0" fontId="50" fillId="17" borderId="23" xfId="2" applyFont="1" applyFill="1" applyBorder="1" applyAlignment="1">
      <alignment horizontal="center"/>
    </xf>
    <xf numFmtId="0" fontId="50" fillId="17" borderId="22" xfId="2" applyFont="1" applyFill="1" applyBorder="1" applyAlignment="1">
      <alignment horizontal="center" wrapText="1"/>
    </xf>
    <xf numFmtId="0" fontId="50" fillId="17" borderId="20" xfId="2" applyFont="1" applyFill="1" applyBorder="1" applyAlignment="1">
      <alignment horizontal="center" wrapText="1"/>
    </xf>
    <xf numFmtId="0" fontId="50" fillId="17" borderId="23" xfId="2" applyFont="1" applyFill="1" applyBorder="1" applyAlignment="1">
      <alignment horizontal="center" wrapText="1"/>
    </xf>
    <xf numFmtId="0" fontId="50" fillId="17" borderId="21" xfId="2" applyFont="1" applyFill="1" applyBorder="1" applyAlignment="1">
      <alignment horizontal="center"/>
    </xf>
    <xf numFmtId="0" fontId="50" fillId="17" borderId="24" xfId="2" applyFont="1" applyFill="1" applyBorder="1" applyAlignment="1">
      <alignment horizontal="center"/>
    </xf>
    <xf numFmtId="0" fontId="50" fillId="17" borderId="25" xfId="2" applyFont="1" applyFill="1" applyBorder="1" applyAlignment="1">
      <alignment horizontal="center"/>
    </xf>
    <xf numFmtId="0" fontId="11" fillId="17" borderId="22" xfId="2" applyFont="1" applyFill="1" applyBorder="1" applyAlignment="1">
      <alignment horizontal="center"/>
    </xf>
    <xf numFmtId="0" fontId="11" fillId="17" borderId="20" xfId="2" applyFont="1" applyFill="1" applyBorder="1" applyAlignment="1">
      <alignment horizontal="center"/>
    </xf>
    <xf numFmtId="0" fontId="11" fillId="17" borderId="23" xfId="2" applyFont="1" applyFill="1" applyBorder="1" applyAlignment="1">
      <alignment horizontal="center"/>
    </xf>
    <xf numFmtId="0" fontId="11" fillId="40" borderId="22" xfId="2" applyFont="1" applyFill="1" applyBorder="1" applyAlignment="1">
      <alignment horizontal="center"/>
    </xf>
    <xf numFmtId="0" fontId="11" fillId="40" borderId="20" xfId="2" applyFont="1" applyFill="1" applyBorder="1" applyAlignment="1">
      <alignment horizontal="center"/>
    </xf>
    <xf numFmtId="0" fontId="11" fillId="40" borderId="23" xfId="2" applyFont="1" applyFill="1" applyBorder="1" applyAlignment="1">
      <alignment horizontal="center"/>
    </xf>
    <xf numFmtId="0" fontId="5" fillId="37" borderId="21" xfId="2" applyFill="1" applyBorder="1" applyAlignment="1">
      <alignment horizontal="left" vertical="top" wrapText="1"/>
    </xf>
    <xf numFmtId="0" fontId="5" fillId="37" borderId="24" xfId="2" applyFill="1" applyBorder="1" applyAlignment="1">
      <alignment horizontal="left" vertical="top" wrapText="1"/>
    </xf>
    <xf numFmtId="0" fontId="5" fillId="37" borderId="25" xfId="2" applyFill="1" applyBorder="1" applyAlignment="1">
      <alignment horizontal="left" vertical="top" wrapText="1"/>
    </xf>
    <xf numFmtId="0" fontId="5" fillId="37" borderId="36" xfId="2" applyFill="1" applyBorder="1" applyAlignment="1">
      <alignment horizontal="left" vertical="top" wrapText="1"/>
    </xf>
    <xf numFmtId="0" fontId="5" fillId="37" borderId="0" xfId="2" applyFill="1" applyBorder="1" applyAlignment="1">
      <alignment horizontal="left" vertical="top" wrapText="1"/>
    </xf>
    <xf numFmtId="0" fontId="5" fillId="37" borderId="37" xfId="2" applyFill="1" applyBorder="1" applyAlignment="1">
      <alignment horizontal="left" vertical="top" wrapText="1"/>
    </xf>
    <xf numFmtId="0" fontId="5" fillId="37" borderId="38" xfId="2" applyFill="1" applyBorder="1" applyAlignment="1">
      <alignment horizontal="left" vertical="top" wrapText="1"/>
    </xf>
    <xf numFmtId="0" fontId="5" fillId="37" borderId="39" xfId="2" applyFill="1" applyBorder="1" applyAlignment="1">
      <alignment horizontal="left" vertical="top" wrapText="1"/>
    </xf>
    <xf numFmtId="0" fontId="5" fillId="37" borderId="40" xfId="2" applyFill="1" applyBorder="1" applyAlignment="1">
      <alignment horizontal="left" vertical="top" wrapText="1"/>
    </xf>
    <xf numFmtId="0" fontId="71" fillId="0" borderId="22" xfId="2" applyFont="1" applyBorder="1" applyAlignment="1">
      <alignment horizontal="center"/>
    </xf>
    <xf numFmtId="0" fontId="71" fillId="0" borderId="20" xfId="2" applyFont="1" applyBorder="1" applyAlignment="1">
      <alignment horizontal="center"/>
    </xf>
    <xf numFmtId="0" fontId="71" fillId="0" borderId="23" xfId="2" applyFont="1" applyBorder="1" applyAlignment="1">
      <alignment horizontal="center"/>
    </xf>
    <xf numFmtId="0" fontId="11" fillId="0" borderId="0" xfId="2" applyFont="1" applyBorder="1" applyAlignment="1">
      <alignment horizontal="center"/>
    </xf>
    <xf numFmtId="0" fontId="49" fillId="0" borderId="22" xfId="2" applyFont="1" applyBorder="1" applyAlignment="1">
      <alignment horizontal="center"/>
    </xf>
    <xf numFmtId="0" fontId="49" fillId="0" borderId="20" xfId="2" applyFont="1" applyBorder="1" applyAlignment="1">
      <alignment horizontal="center"/>
    </xf>
    <xf numFmtId="0" fontId="49" fillId="0" borderId="23" xfId="2" applyFont="1" applyBorder="1" applyAlignment="1">
      <alignment horizontal="center"/>
    </xf>
    <xf numFmtId="0" fontId="89" fillId="40" borderId="22" xfId="2" applyFont="1" applyFill="1" applyBorder="1" applyAlignment="1">
      <alignment horizontal="center"/>
    </xf>
    <xf numFmtId="0" fontId="89" fillId="40" borderId="20" xfId="2" applyFont="1" applyFill="1" applyBorder="1" applyAlignment="1">
      <alignment horizontal="center"/>
    </xf>
    <xf numFmtId="0" fontId="89" fillId="40" borderId="23" xfId="2" applyFont="1" applyFill="1" applyBorder="1" applyAlignment="1">
      <alignment horizontal="center"/>
    </xf>
    <xf numFmtId="0" fontId="18" fillId="40" borderId="22" xfId="2" applyFont="1" applyFill="1" applyBorder="1" applyAlignment="1">
      <alignment horizontal="center"/>
    </xf>
    <xf numFmtId="0" fontId="18" fillId="40" borderId="20" xfId="2" applyFont="1" applyFill="1" applyBorder="1" applyAlignment="1">
      <alignment horizontal="center"/>
    </xf>
    <xf numFmtId="0" fontId="18" fillId="40" borderId="23" xfId="2" applyFont="1" applyFill="1" applyBorder="1" applyAlignment="1">
      <alignment horizontal="center"/>
    </xf>
    <xf numFmtId="0" fontId="96" fillId="0" borderId="21" xfId="2" applyFont="1" applyBorder="1" applyAlignment="1">
      <alignment horizontal="center"/>
    </xf>
    <xf numFmtId="0" fontId="96" fillId="0" borderId="24" xfId="2" applyFont="1" applyBorder="1" applyAlignment="1">
      <alignment horizontal="center"/>
    </xf>
    <xf numFmtId="0" fontId="96" fillId="0" borderId="38" xfId="2" applyFont="1" applyBorder="1" applyAlignment="1">
      <alignment horizontal="center"/>
    </xf>
    <xf numFmtId="0" fontId="96" fillId="0" borderId="39" xfId="2" applyFont="1" applyBorder="1" applyAlignment="1">
      <alignment horizontal="center"/>
    </xf>
    <xf numFmtId="0" fontId="100" fillId="40" borderId="0" xfId="2" applyFont="1" applyFill="1" applyBorder="1" applyAlignment="1">
      <alignment horizontal="left" vertical="top" wrapText="1"/>
    </xf>
    <xf numFmtId="0" fontId="100" fillId="40" borderId="37" xfId="2" applyFont="1" applyFill="1" applyBorder="1" applyAlignment="1">
      <alignment horizontal="left" vertical="top" wrapText="1"/>
    </xf>
    <xf numFmtId="0" fontId="5" fillId="17" borderId="22" xfId="2" applyFill="1" applyBorder="1" applyAlignment="1">
      <alignment horizontal="center"/>
    </xf>
    <xf numFmtId="0" fontId="5" fillId="17" borderId="20" xfId="2" applyFill="1" applyBorder="1" applyAlignment="1">
      <alignment horizontal="center"/>
    </xf>
    <xf numFmtId="0" fontId="5" fillId="17" borderId="23" xfId="2" applyFill="1" applyBorder="1" applyAlignment="1">
      <alignment horizontal="center"/>
    </xf>
    <xf numFmtId="0" fontId="5" fillId="40" borderId="22" xfId="2" applyFont="1" applyFill="1" applyBorder="1" applyAlignment="1">
      <alignment horizontal="center"/>
    </xf>
    <xf numFmtId="0" fontId="5" fillId="40" borderId="20" xfId="2" applyFont="1" applyFill="1" applyBorder="1" applyAlignment="1">
      <alignment horizontal="center"/>
    </xf>
    <xf numFmtId="0" fontId="5" fillId="40" borderId="23" xfId="2" applyFont="1" applyFill="1" applyBorder="1" applyAlignment="1">
      <alignment horizontal="center"/>
    </xf>
    <xf numFmtId="0" fontId="5" fillId="48" borderId="0" xfId="0" applyFont="1" applyFill="1"/>
    <xf numFmtId="0" fontId="5" fillId="0" borderId="1" xfId="0" applyFont="1" applyFill="1" applyBorder="1"/>
  </cellXfs>
  <cellStyles count="23">
    <cellStyle name="Comma0" xfId="3" xr:uid="{00000000-0005-0000-0000-000000000000}"/>
    <cellStyle name="Currency0" xfId="4" xr:uid="{00000000-0005-0000-0000-000001000000}"/>
    <cellStyle name="Date" xfId="5" xr:uid="{00000000-0005-0000-0000-000002000000}"/>
    <cellStyle name="Fixed" xfId="6" xr:uid="{00000000-0005-0000-0000-000003000000}"/>
    <cellStyle name="Heading 1 2" xfId="7" xr:uid="{00000000-0005-0000-0000-000004000000}"/>
    <cellStyle name="Heading 2 2" xfId="8" xr:uid="{00000000-0005-0000-0000-000005000000}"/>
    <cellStyle name="Normal" xfId="0" builtinId="0"/>
    <cellStyle name="Normal 2" xfId="2" xr:uid="{00000000-0005-0000-0000-000007000000}"/>
    <cellStyle name="Normal 3" xfId="9" xr:uid="{00000000-0005-0000-0000-000008000000}"/>
    <cellStyle name="Normal 3 2" xfId="10" xr:uid="{00000000-0005-0000-0000-000009000000}"/>
    <cellStyle name="Normal 3 2 2" xfId="18" xr:uid="{00000000-0005-0000-0000-00000A000000}"/>
    <cellStyle name="Normal 3 3" xfId="11" xr:uid="{00000000-0005-0000-0000-00000B000000}"/>
    <cellStyle name="Normal 3 3 2" xfId="19" xr:uid="{00000000-0005-0000-0000-00000C000000}"/>
    <cellStyle name="Normal 3 4" xfId="12" xr:uid="{00000000-0005-0000-0000-00000D000000}"/>
    <cellStyle name="Normal 3 4 2" xfId="20" xr:uid="{00000000-0005-0000-0000-00000E000000}"/>
    <cellStyle name="Normal 3 5" xfId="17" xr:uid="{00000000-0005-0000-0000-00000F000000}"/>
    <cellStyle name="Normal 4" xfId="13" xr:uid="{00000000-0005-0000-0000-000010000000}"/>
    <cellStyle name="Normal 5" xfId="21" xr:uid="{76870052-E048-4F07-84C9-8170E65FD942}"/>
    <cellStyle name="Normal 6" xfId="22" xr:uid="{6C56B6DE-C485-494B-8475-A2BDCE06BD5C}"/>
    <cellStyle name="Percent" xfId="1" builtinId="5"/>
    <cellStyle name="Percent 2" xfId="14" xr:uid="{00000000-0005-0000-0000-000012000000}"/>
    <cellStyle name="Percent 3" xfId="15" xr:uid="{00000000-0005-0000-0000-000013000000}"/>
    <cellStyle name="Total 2" xfId="16" xr:uid="{00000000-0005-0000-0000-000014000000}"/>
  </cellStyles>
  <dxfs count="18">
    <dxf>
      <font>
        <b/>
        <i val="0"/>
        <color rgb="FF9C0006"/>
      </font>
      <fill>
        <patternFill>
          <bgColor theme="1" tint="0.499984740745262"/>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ill>
        <patternFill>
          <bgColor rgb="FFFF000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i val="0"/>
        <color rgb="FFFFFF00"/>
      </font>
      <fill>
        <patternFill patternType="solid">
          <bgColor rgb="FFFF0000"/>
        </patternFill>
      </fill>
    </dxf>
    <dxf>
      <font>
        <color rgb="FF9C0006"/>
      </font>
      <fill>
        <patternFill>
          <fgColor indexed="64"/>
          <bgColor rgb="FFFFC7CE"/>
        </patternFill>
      </fill>
    </dxf>
    <dxf>
      <font>
        <strike val="0"/>
        <color rgb="FFFF0000"/>
      </font>
    </dxf>
    <dxf>
      <font>
        <color theme="1"/>
      </font>
      <fill>
        <patternFill>
          <bgColor rgb="FFFF0000"/>
        </patternFill>
      </fill>
    </dxf>
    <dxf>
      <fill>
        <patternFill>
          <bgColor rgb="FF92D050"/>
        </patternFill>
      </fill>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font>
        <b/>
        <i val="0"/>
        <color theme="0"/>
      </font>
      <fill>
        <patternFill>
          <bgColor rgb="FFFF0000"/>
        </patternFill>
      </fill>
    </dxf>
  </dxfs>
  <tableStyles count="0" defaultTableStyle="TableStyleMedium9" defaultPivotStyle="PivotStyleLight16"/>
  <colors>
    <mruColors>
      <color rgb="FFFF3300"/>
      <color rgb="FF00FF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82819184348086"/>
          <c:y val="0.21115537848605578"/>
          <c:w val="0.83441035452443402"/>
          <c:h val="0.45816733067729076"/>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topography'!$C$29:$C$73</c:f>
              <c:numCache>
                <c:formatCode>General</c:formatCode>
                <c:ptCount val="45"/>
              </c:numCache>
            </c:numRef>
          </c:xVal>
          <c:yVal>
            <c:numRef>
              <c:f>'Target Site topography'!$D$29:$D$73</c:f>
              <c:numCache>
                <c:formatCode>General</c:formatCode>
                <c:ptCount val="45"/>
              </c:numCache>
            </c:numRef>
          </c:yVal>
          <c:smooth val="1"/>
          <c:extLst>
            <c:ext xmlns:c16="http://schemas.microsoft.com/office/drawing/2014/chart" uri="{C3380CC4-5D6E-409C-BE32-E72D297353CC}">
              <c16:uniqueId val="{00000000-5A1A-4660-A116-2EC95B0505EE}"/>
            </c:ext>
          </c:extLst>
        </c:ser>
        <c:ser>
          <c:idx val="1"/>
          <c:order val="1"/>
          <c:spPr>
            <a:ln w="12700">
              <a:solidFill>
                <a:srgbClr val="000000"/>
              </a:solidFill>
              <a:prstDash val="sysDash"/>
            </a:ln>
          </c:spPr>
          <c:marker>
            <c:symbol val="none"/>
          </c:marker>
          <c:xVal>
            <c:numRef>
              <c:f>'Target Site topography'!$C$100:$C$160</c:f>
              <c:numCache>
                <c:formatCode>0.0</c:formatCode>
                <c:ptCount val="61"/>
              </c:numCache>
            </c:numRef>
          </c:xVal>
          <c:yVal>
            <c:numRef>
              <c:f>'Target Site topography'!$D$100:$D$160</c:f>
              <c:numCache>
                <c:formatCode>0.00</c:formatCode>
                <c:ptCount val="61"/>
              </c:numCache>
            </c:numRef>
          </c:yVal>
          <c:smooth val="1"/>
          <c:extLst>
            <c:ext xmlns:c16="http://schemas.microsoft.com/office/drawing/2014/chart" uri="{C3380CC4-5D6E-409C-BE32-E72D297353CC}">
              <c16:uniqueId val="{00000001-5A1A-4660-A116-2EC95B0505EE}"/>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topography'!$C$181</c:f>
              <c:numCache>
                <c:formatCode>General</c:formatCode>
                <c:ptCount val="1"/>
                <c:pt idx="0">
                  <c:v>0</c:v>
                </c:pt>
              </c:numCache>
            </c:numRef>
          </c:xVal>
          <c:yVal>
            <c:numRef>
              <c:f>'Target Site topography'!$D$181</c:f>
              <c:numCache>
                <c:formatCode>General</c:formatCode>
                <c:ptCount val="1"/>
                <c:pt idx="0">
                  <c:v>0</c:v>
                </c:pt>
              </c:numCache>
            </c:numRef>
          </c:yVal>
          <c:smooth val="1"/>
          <c:extLst>
            <c:ext xmlns:c16="http://schemas.microsoft.com/office/drawing/2014/chart" uri="{C3380CC4-5D6E-409C-BE32-E72D297353CC}">
              <c16:uniqueId val="{00000002-5A1A-4660-A116-2EC95B0505EE}"/>
            </c:ext>
          </c:extLst>
        </c:ser>
        <c:dLbls>
          <c:showLegendKey val="0"/>
          <c:showVal val="0"/>
          <c:showCatName val="0"/>
          <c:showSerName val="0"/>
          <c:showPercent val="0"/>
          <c:showBubbleSize val="0"/>
        </c:dLbls>
        <c:axId val="96368512"/>
        <c:axId val="96420224"/>
      </c:scatterChart>
      <c:valAx>
        <c:axId val="9636851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9710180964221586"/>
              <c:y val="0.70483630335681735"/>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1000" b="0" i="0" u="none" strike="noStrike" baseline="0">
                <a:solidFill>
                  <a:srgbClr val="3366FF"/>
                </a:solidFill>
                <a:latin typeface="Arial"/>
                <a:ea typeface="Arial"/>
                <a:cs typeface="Arial"/>
              </a:defRPr>
            </a:pPr>
            <a:endParaRPr lang="en-US"/>
          </a:p>
        </c:txPr>
        <c:crossAx val="96420224"/>
        <c:crosses val="autoZero"/>
        <c:crossBetween val="midCat"/>
      </c:valAx>
      <c:valAx>
        <c:axId val="96420224"/>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1000" b="0" i="0" u="none" strike="noStrike" baseline="0">
                <a:solidFill>
                  <a:srgbClr val="3366FF"/>
                </a:solidFill>
                <a:latin typeface="Arial"/>
                <a:ea typeface="Arial"/>
                <a:cs typeface="Arial"/>
              </a:defRPr>
            </a:pPr>
            <a:endParaRPr lang="en-US"/>
          </a:p>
        </c:txPr>
        <c:crossAx val="9636851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paperSize="9" orientation="landscape" horizontalDpi="300" verticalDpi="300"/>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741935483870974E-2"/>
          <c:y val="7.7821011673151752E-2"/>
          <c:w val="0.8935483870967742"/>
          <c:h val="0.51750972762645919"/>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topography'!$E$29:$E$70</c:f>
              <c:numCache>
                <c:formatCode>General</c:formatCode>
                <c:ptCount val="42"/>
              </c:numCache>
            </c:numRef>
          </c:xVal>
          <c:yVal>
            <c:numRef>
              <c:f>'Target Site topography'!$F$29:$F$70</c:f>
              <c:numCache>
                <c:formatCode>General</c:formatCode>
                <c:ptCount val="42"/>
              </c:numCache>
            </c:numRef>
          </c:yVal>
          <c:smooth val="1"/>
          <c:extLst>
            <c:ext xmlns:c16="http://schemas.microsoft.com/office/drawing/2014/chart" uri="{C3380CC4-5D6E-409C-BE32-E72D297353CC}">
              <c16:uniqueId val="{00000000-1748-4B32-9571-7772F30DAD94}"/>
            </c:ext>
          </c:extLst>
        </c:ser>
        <c:ser>
          <c:idx val="1"/>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1748-4B32-9571-7772F30DAD94}"/>
            </c:ext>
          </c:extLst>
        </c:ser>
        <c:ser>
          <c:idx val="2"/>
          <c:order val="2"/>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2-1748-4B32-9571-7772F30DAD94}"/>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topography'!$C$182</c:f>
              <c:numCache>
                <c:formatCode>General</c:formatCode>
                <c:ptCount val="1"/>
                <c:pt idx="0">
                  <c:v>0</c:v>
                </c:pt>
              </c:numCache>
            </c:numRef>
          </c:xVal>
          <c:yVal>
            <c:numRef>
              <c:f>'Target Site topography'!$D$182</c:f>
              <c:numCache>
                <c:formatCode>General</c:formatCode>
                <c:ptCount val="1"/>
                <c:pt idx="0">
                  <c:v>0</c:v>
                </c:pt>
              </c:numCache>
            </c:numRef>
          </c:yVal>
          <c:smooth val="1"/>
          <c:extLst>
            <c:ext xmlns:c16="http://schemas.microsoft.com/office/drawing/2014/chart" uri="{C3380CC4-5D6E-409C-BE32-E72D297353CC}">
              <c16:uniqueId val="{00000003-1748-4B32-9571-7772F30DAD94}"/>
            </c:ext>
          </c:extLst>
        </c:ser>
        <c:dLbls>
          <c:showLegendKey val="0"/>
          <c:showVal val="0"/>
          <c:showCatName val="0"/>
          <c:showSerName val="0"/>
          <c:showPercent val="0"/>
          <c:showBubbleSize val="0"/>
        </c:dLbls>
        <c:axId val="96574080"/>
        <c:axId val="96585600"/>
      </c:scatterChart>
      <c:valAx>
        <c:axId val="965740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92182577177852765"/>
              <c:y val="0.61138602866949365"/>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1000" b="0" i="0" u="none" strike="noStrike" baseline="0">
                <a:solidFill>
                  <a:srgbClr val="3366FF"/>
                </a:solidFill>
                <a:latin typeface="Arial"/>
                <a:ea typeface="Arial"/>
                <a:cs typeface="Arial"/>
              </a:defRPr>
            </a:pPr>
            <a:endParaRPr lang="en-US"/>
          </a:p>
        </c:txPr>
        <c:crossAx val="96585600"/>
        <c:crosses val="autoZero"/>
        <c:crossBetween val="midCat"/>
      </c:valAx>
      <c:valAx>
        <c:axId val="96585600"/>
        <c:scaling>
          <c:orientation val="minMax"/>
          <c:max val="90"/>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1000" b="0" i="0" u="none" strike="noStrike" baseline="0">
                <a:solidFill>
                  <a:srgbClr val="3366FF"/>
                </a:solidFill>
                <a:latin typeface="Arial"/>
                <a:ea typeface="Arial"/>
                <a:cs typeface="Arial"/>
              </a:defRPr>
            </a:pPr>
            <a:endParaRPr lang="en-US"/>
          </a:p>
        </c:txPr>
        <c:crossAx val="96574080"/>
        <c:crosses val="autoZero"/>
        <c:crossBetween val="midCat"/>
        <c:majorUnit val="10"/>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Combination of z0 = 0.3 and 0.02m</a:t>
            </a:r>
          </a:p>
        </c:rich>
      </c:tx>
      <c:layout>
        <c:manualLayout>
          <c:xMode val="edge"/>
          <c:yMode val="edge"/>
          <c:x val="0.41397878206400823"/>
          <c:y val="6.6276829609496782E-2"/>
        </c:manualLayout>
      </c:layout>
      <c:overlay val="0"/>
      <c:spPr>
        <a:noFill/>
        <a:ln w="25400">
          <a:noFill/>
        </a:ln>
      </c:spPr>
    </c:title>
    <c:autoTitleDeleted val="0"/>
    <c:plotArea>
      <c:layout>
        <c:manualLayout>
          <c:layoutTarget val="inner"/>
          <c:xMode val="edge"/>
          <c:yMode val="edge"/>
          <c:x val="0.13613445378151259"/>
          <c:y val="4.0609137055837574E-2"/>
          <c:w val="0.8184873949579814"/>
          <c:h val="0.80456852791878153"/>
        </c:manualLayout>
      </c:layout>
      <c:scatterChart>
        <c:scatterStyle val="smooth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'Terrain roughness'!$M$16:$M$24</c:f>
              <c:numCache>
                <c:formatCode>General</c:formatCode>
                <c:ptCount val="9"/>
                <c:pt idx="0">
                  <c:v>0</c:v>
                </c:pt>
                <c:pt idx="1">
                  <c:v>0.1</c:v>
                </c:pt>
                <c:pt idx="2">
                  <c:v>0.2</c:v>
                </c:pt>
                <c:pt idx="3">
                  <c:v>0.3</c:v>
                </c:pt>
                <c:pt idx="4">
                  <c:v>0.5</c:v>
                </c:pt>
                <c:pt idx="5">
                  <c:v>0.7</c:v>
                </c:pt>
                <c:pt idx="6">
                  <c:v>0.8</c:v>
                </c:pt>
                <c:pt idx="7">
                  <c:v>0.9</c:v>
                </c:pt>
                <c:pt idx="8">
                  <c:v>1</c:v>
                </c:pt>
              </c:numCache>
            </c:numRef>
          </c:xVal>
          <c:yVal>
            <c:numRef>
              <c:f>'Terrain roughness'!$Q$16:$Q$24</c:f>
              <c:numCache>
                <c:formatCode>0.00E+00</c:formatCode>
                <c:ptCount val="9"/>
                <c:pt idx="0">
                  <c:v>0.29999865879104165</c:v>
                </c:pt>
                <c:pt idx="1">
                  <c:v>0.24349295098762561</c:v>
                </c:pt>
                <c:pt idx="2">
                  <c:v>0.19554190748614436</c:v>
                </c:pt>
                <c:pt idx="3">
                  <c:v>0.15522957944875282</c:v>
                </c:pt>
                <c:pt idx="4">
                  <c:v>9.4080482228183965E-2</c:v>
                </c:pt>
                <c:pt idx="5">
                  <c:v>5.3655641551858882E-2</c:v>
                </c:pt>
                <c:pt idx="6">
                  <c:v>3.9447528836123381E-2</c:v>
                </c:pt>
                <c:pt idx="7">
                  <c:v>2.841216424776433E-2</c:v>
                </c:pt>
                <c:pt idx="8">
                  <c:v>0.02</c:v>
                </c:pt>
              </c:numCache>
            </c:numRef>
          </c:yVal>
          <c:smooth val="1"/>
          <c:extLst>
            <c:ext xmlns:c16="http://schemas.microsoft.com/office/drawing/2014/chart" uri="{C3380CC4-5D6E-409C-BE32-E72D297353CC}">
              <c16:uniqueId val="{00000000-6B64-404B-92ED-B9EB8518C5DD}"/>
            </c:ext>
          </c:extLst>
        </c:ser>
        <c:dLbls>
          <c:showLegendKey val="0"/>
          <c:showVal val="0"/>
          <c:showCatName val="0"/>
          <c:showSerName val="0"/>
          <c:showPercent val="0"/>
          <c:showBubbleSize val="0"/>
        </c:dLbls>
        <c:axId val="96624000"/>
        <c:axId val="96712576"/>
      </c:scatterChart>
      <c:valAx>
        <c:axId val="96624000"/>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Portion at zo = .02 m</a:t>
                </a:r>
              </a:p>
            </c:rich>
          </c:tx>
          <c:layout>
            <c:manualLayout>
              <c:xMode val="edge"/>
              <c:yMode val="edge"/>
              <c:x val="0.43145195085908444"/>
              <c:y val="0.9259277615678751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96712576"/>
        <c:crosses val="autoZero"/>
        <c:crossBetween val="midCat"/>
      </c:valAx>
      <c:valAx>
        <c:axId val="96712576"/>
        <c:scaling>
          <c:orientation val="minMax"/>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Effective zo(m)</a:t>
                </a:r>
              </a:p>
            </c:rich>
          </c:tx>
          <c:layout>
            <c:manualLayout>
              <c:xMode val="edge"/>
              <c:yMode val="edge"/>
              <c:x val="3.2258144202562913E-2"/>
              <c:y val="0.3255365921899365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966240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911764705882526E-2"/>
          <c:y val="8.8888888888889184E-2"/>
          <c:w val="0.8639705882352946"/>
          <c:h val="0.67407407407407705"/>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086B-474F-B94A-3DEE90738723}"/>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086B-474F-B94A-3DEE90738723}"/>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topography'!$E$29:$E$73</c:f>
              <c:numCache>
                <c:formatCode>General</c:formatCode>
                <c:ptCount val="45"/>
              </c:numCache>
            </c:numRef>
          </c:xVal>
          <c:yVal>
            <c:numRef>
              <c:f>'Ref. Site topography'!$F$29:$F$73</c:f>
              <c:numCache>
                <c:formatCode>General</c:formatCode>
                <c:ptCount val="45"/>
              </c:numCache>
            </c:numRef>
          </c:yVal>
          <c:smooth val="1"/>
          <c:extLst>
            <c:ext xmlns:c16="http://schemas.microsoft.com/office/drawing/2014/chart" uri="{C3380CC4-5D6E-409C-BE32-E72D297353CC}">
              <c16:uniqueId val="{00000002-086B-474F-B94A-3DEE90738723}"/>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topography'!$C$182</c:f>
              <c:numCache>
                <c:formatCode>General</c:formatCode>
                <c:ptCount val="1"/>
                <c:pt idx="0">
                  <c:v>0</c:v>
                </c:pt>
              </c:numCache>
            </c:numRef>
          </c:xVal>
          <c:yVal>
            <c:numRef>
              <c:f>'Ref. Site topography'!$D$182</c:f>
              <c:numCache>
                <c:formatCode>General</c:formatCode>
                <c:ptCount val="1"/>
                <c:pt idx="0">
                  <c:v>0</c:v>
                </c:pt>
              </c:numCache>
            </c:numRef>
          </c:yVal>
          <c:smooth val="1"/>
          <c:extLst>
            <c:ext xmlns:c16="http://schemas.microsoft.com/office/drawing/2014/chart" uri="{C3380CC4-5D6E-409C-BE32-E72D297353CC}">
              <c16:uniqueId val="{00000003-086B-474F-B94A-3DEE90738723}"/>
            </c:ext>
          </c:extLst>
        </c:ser>
        <c:dLbls>
          <c:showLegendKey val="0"/>
          <c:showVal val="0"/>
          <c:showCatName val="0"/>
          <c:showSerName val="0"/>
          <c:showPercent val="0"/>
          <c:showBubbleSize val="0"/>
        </c:dLbls>
        <c:axId val="173381504"/>
        <c:axId val="173384448"/>
      </c:scatterChart>
      <c:valAx>
        <c:axId val="17338150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125" b="1" i="1" u="none" strike="noStrike" baseline="0">
                    <a:solidFill>
                      <a:srgbClr val="3366FF"/>
                    </a:solidFill>
                    <a:latin typeface="Arial"/>
                    <a:cs typeface="Arial"/>
                  </a:rPr>
                  <a:t>x</a:t>
                </a:r>
                <a:r>
                  <a:rPr lang="en-US" sz="1125" b="1" i="0" u="none" strike="noStrike" baseline="-25000">
                    <a:solidFill>
                      <a:srgbClr val="3366FF"/>
                    </a:solidFill>
                    <a:latin typeface="Arial"/>
                    <a:cs typeface="Arial"/>
                  </a:rPr>
                  <a:t>CD</a:t>
                </a:r>
              </a:p>
            </c:rich>
          </c:tx>
          <c:layout>
            <c:manualLayout>
              <c:xMode val="edge"/>
              <c:yMode val="edge"/>
              <c:x val="0.83954454222633934"/>
              <c:y val="0.58139632545931597"/>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73384448"/>
        <c:crosses val="autoZero"/>
        <c:crossBetween val="midCat"/>
      </c:valAx>
      <c:valAx>
        <c:axId val="173384448"/>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73381504"/>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446454316830931E-2"/>
          <c:y val="0.20657371705232674"/>
          <c:w val="0.8785325881744005"/>
          <c:h val="0.54929829307095923"/>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'Ref. Site topography'!$C$29:$C$73</c:f>
              <c:numCache>
                <c:formatCode>General</c:formatCode>
                <c:ptCount val="45"/>
              </c:numCache>
            </c:numRef>
          </c:xVal>
          <c:yVal>
            <c:numRef>
              <c:f>'Ref. Site topography'!$D$29:$D$73</c:f>
              <c:numCache>
                <c:formatCode>General</c:formatCode>
                <c:ptCount val="45"/>
              </c:numCache>
            </c:numRef>
          </c:yVal>
          <c:smooth val="1"/>
          <c:extLst>
            <c:ext xmlns:c16="http://schemas.microsoft.com/office/drawing/2014/chart" uri="{C3380CC4-5D6E-409C-BE32-E72D297353CC}">
              <c16:uniqueId val="{00000000-7849-4D4F-B326-387A46846560}"/>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topography'!$C$181</c:f>
              <c:numCache>
                <c:formatCode>General</c:formatCode>
                <c:ptCount val="1"/>
                <c:pt idx="0">
                  <c:v>0</c:v>
                </c:pt>
              </c:numCache>
            </c:numRef>
          </c:xVal>
          <c:yVal>
            <c:numRef>
              <c:f>'Ref. Site topography'!$D$181</c:f>
              <c:numCache>
                <c:formatCode>General</c:formatCode>
                <c:ptCount val="1"/>
                <c:pt idx="0">
                  <c:v>0</c:v>
                </c:pt>
              </c:numCache>
            </c:numRef>
          </c:yVal>
          <c:smooth val="1"/>
          <c:extLst>
            <c:ext xmlns:c16="http://schemas.microsoft.com/office/drawing/2014/chart" uri="{C3380CC4-5D6E-409C-BE32-E72D297353CC}">
              <c16:uniqueId val="{00000001-7849-4D4F-B326-387A46846560}"/>
            </c:ext>
          </c:extLst>
        </c:ser>
        <c:dLbls>
          <c:showLegendKey val="0"/>
          <c:showVal val="0"/>
          <c:showCatName val="0"/>
          <c:showSerName val="0"/>
          <c:showPercent val="0"/>
          <c:showBubbleSize val="0"/>
        </c:dLbls>
        <c:axId val="179664000"/>
        <c:axId val="179666304"/>
      </c:scatterChart>
      <c:valAx>
        <c:axId val="17966400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028414926395057"/>
              <c:y val="0.58216228959403826"/>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79666304"/>
        <c:crosses val="autoZero"/>
        <c:crossBetween val="midCat"/>
      </c:valAx>
      <c:valAx>
        <c:axId val="179666304"/>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7966400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topography'!$G$29:$G$73</c:f>
              <c:numCache>
                <c:formatCode>General</c:formatCode>
                <c:ptCount val="45"/>
              </c:numCache>
            </c:numRef>
          </c:xVal>
          <c:yVal>
            <c:numRef>
              <c:f>'Ref. Site topography'!$H$29:$H$73</c:f>
              <c:numCache>
                <c:formatCode>General</c:formatCode>
                <c:ptCount val="45"/>
              </c:numCache>
            </c:numRef>
          </c:yVal>
          <c:smooth val="1"/>
          <c:extLst>
            <c:ext xmlns:c16="http://schemas.microsoft.com/office/drawing/2014/chart" uri="{C3380CC4-5D6E-409C-BE32-E72D297353CC}">
              <c16:uniqueId val="{00000000-A195-4210-9321-5E37F9A650BB}"/>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topography'!$G$181</c:f>
              <c:numCache>
                <c:formatCode>General</c:formatCode>
                <c:ptCount val="1"/>
                <c:pt idx="0">
                  <c:v>0</c:v>
                </c:pt>
              </c:numCache>
            </c:numRef>
          </c:xVal>
          <c:yVal>
            <c:numRef>
              <c:f>'Ref. Site topography'!$H$181</c:f>
              <c:numCache>
                <c:formatCode>General</c:formatCode>
                <c:ptCount val="1"/>
                <c:pt idx="0">
                  <c:v>0</c:v>
                </c:pt>
              </c:numCache>
            </c:numRef>
          </c:yVal>
          <c:smooth val="1"/>
          <c:extLst>
            <c:ext xmlns:c16="http://schemas.microsoft.com/office/drawing/2014/chart" uri="{C3380CC4-5D6E-409C-BE32-E72D297353CC}">
              <c16:uniqueId val="{00000001-A195-4210-9321-5E37F9A650BB}"/>
            </c:ext>
          </c:extLst>
        </c:ser>
        <c:dLbls>
          <c:showLegendKey val="0"/>
          <c:showVal val="0"/>
          <c:showCatName val="0"/>
          <c:showSerName val="0"/>
          <c:showPercent val="0"/>
          <c:showBubbleSize val="0"/>
        </c:dLbls>
        <c:axId val="187957248"/>
        <c:axId val="189682432"/>
      </c:scatterChart>
      <c:valAx>
        <c:axId val="18795724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89682432"/>
        <c:crosses val="autoZero"/>
        <c:crossBetween val="midCat"/>
      </c:valAx>
      <c:valAx>
        <c:axId val="18968243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8795724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topography'!$K$29:$K$73</c:f>
              <c:numCache>
                <c:formatCode>General</c:formatCode>
                <c:ptCount val="45"/>
              </c:numCache>
            </c:numRef>
          </c:xVal>
          <c:yVal>
            <c:numRef>
              <c:f>'Ref. Site topography'!$L$29:$L$73</c:f>
              <c:numCache>
                <c:formatCode>General</c:formatCode>
                <c:ptCount val="45"/>
              </c:numCache>
            </c:numRef>
          </c:yVal>
          <c:smooth val="1"/>
          <c:extLst>
            <c:ext xmlns:c16="http://schemas.microsoft.com/office/drawing/2014/chart" uri="{C3380CC4-5D6E-409C-BE32-E72D297353CC}">
              <c16:uniqueId val="{00000000-D9BB-4AAD-BAA6-E529BE32A6EE}"/>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topography'!$K$181</c:f>
              <c:numCache>
                <c:formatCode>General</c:formatCode>
                <c:ptCount val="1"/>
                <c:pt idx="0">
                  <c:v>0</c:v>
                </c:pt>
              </c:numCache>
            </c:numRef>
          </c:xVal>
          <c:yVal>
            <c:numRef>
              <c:f>'Ref. Site topography'!$L$181</c:f>
              <c:numCache>
                <c:formatCode>General</c:formatCode>
                <c:ptCount val="1"/>
                <c:pt idx="0">
                  <c:v>0</c:v>
                </c:pt>
              </c:numCache>
            </c:numRef>
          </c:yVal>
          <c:smooth val="1"/>
          <c:extLst>
            <c:ext xmlns:c16="http://schemas.microsoft.com/office/drawing/2014/chart" uri="{C3380CC4-5D6E-409C-BE32-E72D297353CC}">
              <c16:uniqueId val="{00000001-D9BB-4AAD-BAA6-E529BE32A6EE}"/>
            </c:ext>
          </c:extLst>
        </c:ser>
        <c:dLbls>
          <c:showLegendKey val="0"/>
          <c:showVal val="0"/>
          <c:showCatName val="0"/>
          <c:showSerName val="0"/>
          <c:showPercent val="0"/>
          <c:showBubbleSize val="0"/>
        </c:dLbls>
        <c:axId val="189845888"/>
        <c:axId val="190071552"/>
      </c:scatterChart>
      <c:valAx>
        <c:axId val="18984588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071552"/>
        <c:crosses val="autoZero"/>
        <c:crossBetween val="midCat"/>
      </c:valAx>
      <c:valAx>
        <c:axId val="19007155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8984588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topography'!$O$29:$O$73</c:f>
              <c:numCache>
                <c:formatCode>General</c:formatCode>
                <c:ptCount val="45"/>
              </c:numCache>
            </c:numRef>
          </c:xVal>
          <c:yVal>
            <c:numRef>
              <c:f>'Ref. Site topography'!$P$29:$P$73</c:f>
              <c:numCache>
                <c:formatCode>General</c:formatCode>
                <c:ptCount val="45"/>
              </c:numCache>
            </c:numRef>
          </c:yVal>
          <c:smooth val="1"/>
          <c:extLst>
            <c:ext xmlns:c16="http://schemas.microsoft.com/office/drawing/2014/chart" uri="{C3380CC4-5D6E-409C-BE32-E72D297353CC}">
              <c16:uniqueId val="{00000000-9CDE-49AA-AFCE-DBAB73785961}"/>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topography'!$O$181</c:f>
              <c:numCache>
                <c:formatCode>General</c:formatCode>
                <c:ptCount val="1"/>
                <c:pt idx="0">
                  <c:v>0</c:v>
                </c:pt>
              </c:numCache>
            </c:numRef>
          </c:xVal>
          <c:yVal>
            <c:numRef>
              <c:f>'Ref. Site topography'!$P$181</c:f>
              <c:numCache>
                <c:formatCode>General</c:formatCode>
                <c:ptCount val="1"/>
                <c:pt idx="0">
                  <c:v>0</c:v>
                </c:pt>
              </c:numCache>
            </c:numRef>
          </c:yVal>
          <c:smooth val="1"/>
          <c:extLst>
            <c:ext xmlns:c16="http://schemas.microsoft.com/office/drawing/2014/chart" uri="{C3380CC4-5D6E-409C-BE32-E72D297353CC}">
              <c16:uniqueId val="{00000001-9CDE-49AA-AFCE-DBAB73785961}"/>
            </c:ext>
          </c:extLst>
        </c:ser>
        <c:dLbls>
          <c:showLegendKey val="0"/>
          <c:showVal val="0"/>
          <c:showCatName val="0"/>
          <c:showSerName val="0"/>
          <c:showPercent val="0"/>
          <c:showBubbleSize val="0"/>
        </c:dLbls>
        <c:axId val="193005056"/>
        <c:axId val="196293760"/>
      </c:scatterChart>
      <c:valAx>
        <c:axId val="19300505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6293760"/>
        <c:crosses val="autoZero"/>
        <c:crossBetween val="midCat"/>
      </c:valAx>
      <c:valAx>
        <c:axId val="19629376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3005056"/>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9327859964927632"/>
          <c:w val="0.87887535490739455"/>
          <c:h val="0.491599916499247"/>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topography'!$S$29:$S$73</c:f>
              <c:numCache>
                <c:formatCode>General</c:formatCode>
                <c:ptCount val="45"/>
              </c:numCache>
            </c:numRef>
          </c:xVal>
          <c:yVal>
            <c:numRef>
              <c:f>'Ref. Site topography'!$T$29:$T$73</c:f>
              <c:numCache>
                <c:formatCode>General</c:formatCode>
                <c:ptCount val="45"/>
              </c:numCache>
            </c:numRef>
          </c:yVal>
          <c:smooth val="1"/>
          <c:extLst>
            <c:ext xmlns:c16="http://schemas.microsoft.com/office/drawing/2014/chart" uri="{C3380CC4-5D6E-409C-BE32-E72D297353CC}">
              <c16:uniqueId val="{00000000-A655-4BD1-96DA-6765086AE836}"/>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topography'!$S$181</c:f>
              <c:numCache>
                <c:formatCode>General</c:formatCode>
                <c:ptCount val="1"/>
                <c:pt idx="0">
                  <c:v>0</c:v>
                </c:pt>
              </c:numCache>
            </c:numRef>
          </c:xVal>
          <c:yVal>
            <c:numRef>
              <c:f>'Ref. Site topography'!$T$181</c:f>
              <c:numCache>
                <c:formatCode>General</c:formatCode>
                <c:ptCount val="1"/>
                <c:pt idx="0">
                  <c:v>0</c:v>
                </c:pt>
              </c:numCache>
            </c:numRef>
          </c:yVal>
          <c:smooth val="1"/>
          <c:extLst>
            <c:ext xmlns:c16="http://schemas.microsoft.com/office/drawing/2014/chart" uri="{C3380CC4-5D6E-409C-BE32-E72D297353CC}">
              <c16:uniqueId val="{00000001-A655-4BD1-96DA-6765086AE836}"/>
            </c:ext>
          </c:extLst>
        </c:ser>
        <c:dLbls>
          <c:showLegendKey val="0"/>
          <c:showVal val="0"/>
          <c:showCatName val="0"/>
          <c:showSerName val="0"/>
          <c:showPercent val="0"/>
          <c:showBubbleSize val="0"/>
        </c:dLbls>
        <c:axId val="202203520"/>
        <c:axId val="202345856"/>
      </c:scatterChart>
      <c:valAx>
        <c:axId val="20220352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941495216323753"/>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2345856"/>
        <c:crosses val="autoZero"/>
        <c:crossBetween val="midCat"/>
      </c:valAx>
      <c:valAx>
        <c:axId val="20234585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220352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9246861924686193"/>
          <c:w val="0.87887535490739455"/>
          <c:h val="0.49372384937238561"/>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topography'!$W$29:$W$73</c:f>
              <c:numCache>
                <c:formatCode>General</c:formatCode>
                <c:ptCount val="45"/>
              </c:numCache>
            </c:numRef>
          </c:xVal>
          <c:yVal>
            <c:numRef>
              <c:f>'Ref. Site topography'!$X$29:$X$73</c:f>
              <c:numCache>
                <c:formatCode>General</c:formatCode>
                <c:ptCount val="45"/>
              </c:numCache>
            </c:numRef>
          </c:yVal>
          <c:smooth val="1"/>
          <c:extLst>
            <c:ext xmlns:c16="http://schemas.microsoft.com/office/drawing/2014/chart" uri="{C3380CC4-5D6E-409C-BE32-E72D297353CC}">
              <c16:uniqueId val="{00000000-646F-4185-A965-EBC877595D8C}"/>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topography'!$W$181</c:f>
              <c:numCache>
                <c:formatCode>General</c:formatCode>
                <c:ptCount val="1"/>
                <c:pt idx="0">
                  <c:v>0</c:v>
                </c:pt>
              </c:numCache>
            </c:numRef>
          </c:xVal>
          <c:yVal>
            <c:numRef>
              <c:f>'Ref. Site topography'!$X$181</c:f>
              <c:numCache>
                <c:formatCode>General</c:formatCode>
                <c:ptCount val="1"/>
                <c:pt idx="0">
                  <c:v>0</c:v>
                </c:pt>
              </c:numCache>
            </c:numRef>
          </c:yVal>
          <c:smooth val="1"/>
          <c:extLst>
            <c:ext xmlns:c16="http://schemas.microsoft.com/office/drawing/2014/chart" uri="{C3380CC4-5D6E-409C-BE32-E72D297353CC}">
              <c16:uniqueId val="{00000001-646F-4185-A965-EBC877595D8C}"/>
            </c:ext>
          </c:extLst>
        </c:ser>
        <c:dLbls>
          <c:showLegendKey val="0"/>
          <c:showVal val="0"/>
          <c:showCatName val="0"/>
          <c:showSerName val="0"/>
          <c:showPercent val="0"/>
          <c:showBubbleSize val="0"/>
        </c:dLbls>
        <c:axId val="211985152"/>
        <c:axId val="211987840"/>
      </c:scatterChart>
      <c:valAx>
        <c:axId val="21198515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719668106002859"/>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1987840"/>
        <c:crosses val="autoZero"/>
        <c:crossBetween val="midCat"/>
      </c:valAx>
      <c:valAx>
        <c:axId val="21198784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198515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topography'!$AA$29:$AA$73</c:f>
              <c:numCache>
                <c:formatCode>General</c:formatCode>
                <c:ptCount val="45"/>
              </c:numCache>
            </c:numRef>
          </c:xVal>
          <c:yVal>
            <c:numRef>
              <c:f>'Ref. Site topography'!$AB$29:$AB$73</c:f>
              <c:numCache>
                <c:formatCode>General</c:formatCode>
                <c:ptCount val="45"/>
              </c:numCache>
            </c:numRef>
          </c:yVal>
          <c:smooth val="1"/>
          <c:extLst>
            <c:ext xmlns:c16="http://schemas.microsoft.com/office/drawing/2014/chart" uri="{C3380CC4-5D6E-409C-BE32-E72D297353CC}">
              <c16:uniqueId val="{00000000-D2D2-4E62-A9F6-D43AE9BA0602}"/>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topography'!$AA$181</c:f>
              <c:numCache>
                <c:formatCode>General</c:formatCode>
                <c:ptCount val="1"/>
                <c:pt idx="0">
                  <c:v>0</c:v>
                </c:pt>
              </c:numCache>
            </c:numRef>
          </c:xVal>
          <c:yVal>
            <c:numRef>
              <c:f>'Ref. Site topography'!$AB$181</c:f>
              <c:numCache>
                <c:formatCode>General</c:formatCode>
                <c:ptCount val="1"/>
                <c:pt idx="0">
                  <c:v>0</c:v>
                </c:pt>
              </c:numCache>
            </c:numRef>
          </c:yVal>
          <c:smooth val="1"/>
          <c:extLst>
            <c:ext xmlns:c16="http://schemas.microsoft.com/office/drawing/2014/chart" uri="{C3380CC4-5D6E-409C-BE32-E72D297353CC}">
              <c16:uniqueId val="{00000001-D2D2-4E62-A9F6-D43AE9BA0602}"/>
            </c:ext>
          </c:extLst>
        </c:ser>
        <c:dLbls>
          <c:showLegendKey val="0"/>
          <c:showVal val="0"/>
          <c:showCatName val="0"/>
          <c:showSerName val="0"/>
          <c:showPercent val="0"/>
          <c:showBubbleSize val="0"/>
        </c:dLbls>
        <c:axId val="217017344"/>
        <c:axId val="242318336"/>
      </c:scatterChart>
      <c:valAx>
        <c:axId val="21701734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2318336"/>
        <c:crosses val="autoZero"/>
        <c:crossBetween val="midCat"/>
      </c:valAx>
      <c:valAx>
        <c:axId val="24231833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701734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topography'!$AE$29:$AE$73</c:f>
              <c:numCache>
                <c:formatCode>General</c:formatCode>
                <c:ptCount val="45"/>
              </c:numCache>
            </c:numRef>
          </c:xVal>
          <c:yVal>
            <c:numRef>
              <c:f>'Ref. Site topography'!$AF$29:$AF$73</c:f>
              <c:numCache>
                <c:formatCode>General</c:formatCode>
                <c:ptCount val="45"/>
              </c:numCache>
            </c:numRef>
          </c:yVal>
          <c:smooth val="1"/>
          <c:extLst>
            <c:ext xmlns:c16="http://schemas.microsoft.com/office/drawing/2014/chart" uri="{C3380CC4-5D6E-409C-BE32-E72D297353CC}">
              <c16:uniqueId val="{00000000-7989-4104-B515-98C43F68B0F1}"/>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topography'!$AE$181</c:f>
              <c:numCache>
                <c:formatCode>General</c:formatCode>
                <c:ptCount val="1"/>
                <c:pt idx="0">
                  <c:v>0</c:v>
                </c:pt>
              </c:numCache>
            </c:numRef>
          </c:xVal>
          <c:yVal>
            <c:numRef>
              <c:f>'Ref. Site topography'!$AF$181</c:f>
              <c:numCache>
                <c:formatCode>General</c:formatCode>
                <c:ptCount val="1"/>
                <c:pt idx="0">
                  <c:v>0</c:v>
                </c:pt>
              </c:numCache>
            </c:numRef>
          </c:yVal>
          <c:smooth val="1"/>
          <c:extLst>
            <c:ext xmlns:c16="http://schemas.microsoft.com/office/drawing/2014/chart" uri="{C3380CC4-5D6E-409C-BE32-E72D297353CC}">
              <c16:uniqueId val="{00000001-7989-4104-B515-98C43F68B0F1}"/>
            </c:ext>
          </c:extLst>
        </c:ser>
        <c:dLbls>
          <c:showLegendKey val="0"/>
          <c:showVal val="0"/>
          <c:showCatName val="0"/>
          <c:showSerName val="0"/>
          <c:showPercent val="0"/>
          <c:showBubbleSize val="0"/>
        </c:dLbls>
        <c:axId val="246661504"/>
        <c:axId val="246868608"/>
      </c:scatterChart>
      <c:valAx>
        <c:axId val="24666150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6868608"/>
        <c:crosses val="autoZero"/>
        <c:crossBetween val="midCat"/>
      </c:valAx>
      <c:valAx>
        <c:axId val="246868608"/>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666150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8907689096124874"/>
          <c:w val="0.87887535490739455"/>
          <c:h val="0.49580162518727533"/>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topography'!$AI$29:$AI$73</c:f>
              <c:numCache>
                <c:formatCode>General</c:formatCode>
                <c:ptCount val="45"/>
              </c:numCache>
            </c:numRef>
          </c:xVal>
          <c:yVal>
            <c:numRef>
              <c:f>'Ref. Site topography'!$AJ$29:$AJ$73</c:f>
              <c:numCache>
                <c:formatCode>General</c:formatCode>
                <c:ptCount val="45"/>
              </c:numCache>
            </c:numRef>
          </c:yVal>
          <c:smooth val="1"/>
          <c:extLst>
            <c:ext xmlns:c16="http://schemas.microsoft.com/office/drawing/2014/chart" uri="{C3380CC4-5D6E-409C-BE32-E72D297353CC}">
              <c16:uniqueId val="{00000000-C4CA-4DA7-9D71-0EB9CF2085B3}"/>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topography'!$AI$181</c:f>
              <c:numCache>
                <c:formatCode>General</c:formatCode>
                <c:ptCount val="1"/>
                <c:pt idx="0">
                  <c:v>0</c:v>
                </c:pt>
              </c:numCache>
            </c:numRef>
          </c:xVal>
          <c:yVal>
            <c:numRef>
              <c:f>'Ref. Site topography'!$AJ$181</c:f>
              <c:numCache>
                <c:formatCode>General</c:formatCode>
                <c:ptCount val="1"/>
                <c:pt idx="0">
                  <c:v>0</c:v>
                </c:pt>
              </c:numCache>
            </c:numRef>
          </c:yVal>
          <c:smooth val="1"/>
          <c:extLst>
            <c:ext xmlns:c16="http://schemas.microsoft.com/office/drawing/2014/chart" uri="{C3380CC4-5D6E-409C-BE32-E72D297353CC}">
              <c16:uniqueId val="{00000001-C4CA-4DA7-9D71-0EB9CF2085B3}"/>
            </c:ext>
          </c:extLst>
        </c:ser>
        <c:dLbls>
          <c:showLegendKey val="0"/>
          <c:showVal val="0"/>
          <c:showCatName val="0"/>
          <c:showSerName val="0"/>
          <c:showPercent val="0"/>
          <c:showBubbleSize val="0"/>
        </c:dLbls>
        <c:axId val="247004544"/>
        <c:axId val="247101312"/>
      </c:scatterChart>
      <c:valAx>
        <c:axId val="24700454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5213219315327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7101312"/>
        <c:crosses val="autoZero"/>
        <c:crossBetween val="midCat"/>
      </c:valAx>
      <c:valAx>
        <c:axId val="24710131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700454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9246861924686193"/>
          <c:w val="0.87887535490739455"/>
          <c:h val="0.49372384937238561"/>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topography'!$AM$29:$AM$73</c:f>
              <c:numCache>
                <c:formatCode>General</c:formatCode>
                <c:ptCount val="45"/>
              </c:numCache>
            </c:numRef>
          </c:xVal>
          <c:yVal>
            <c:numRef>
              <c:f>'Ref. Site topography'!$AN$29:$AN$73</c:f>
              <c:numCache>
                <c:formatCode>General</c:formatCode>
                <c:ptCount val="45"/>
              </c:numCache>
            </c:numRef>
          </c:yVal>
          <c:smooth val="1"/>
          <c:extLst>
            <c:ext xmlns:c16="http://schemas.microsoft.com/office/drawing/2014/chart" uri="{C3380CC4-5D6E-409C-BE32-E72D297353CC}">
              <c16:uniqueId val="{00000000-6AA6-4FD8-ADF5-42A0D2041B16}"/>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topography'!$AM$181</c:f>
              <c:numCache>
                <c:formatCode>General</c:formatCode>
                <c:ptCount val="1"/>
                <c:pt idx="0">
                  <c:v>0</c:v>
                </c:pt>
              </c:numCache>
            </c:numRef>
          </c:xVal>
          <c:yVal>
            <c:numRef>
              <c:f>'Ref. Site topography'!$AN$181</c:f>
              <c:numCache>
                <c:formatCode>General</c:formatCode>
                <c:ptCount val="1"/>
                <c:pt idx="0">
                  <c:v>0</c:v>
                </c:pt>
              </c:numCache>
            </c:numRef>
          </c:yVal>
          <c:smooth val="1"/>
          <c:extLst>
            <c:ext xmlns:c16="http://schemas.microsoft.com/office/drawing/2014/chart" uri="{C3380CC4-5D6E-409C-BE32-E72D297353CC}">
              <c16:uniqueId val="{00000001-6AA6-4FD8-ADF5-42A0D2041B16}"/>
            </c:ext>
          </c:extLst>
        </c:ser>
        <c:dLbls>
          <c:showLegendKey val="0"/>
          <c:showVal val="0"/>
          <c:showCatName val="0"/>
          <c:showSerName val="0"/>
          <c:showPercent val="0"/>
          <c:showBubbleSize val="0"/>
        </c:dLbls>
        <c:axId val="247188864"/>
        <c:axId val="247281536"/>
      </c:scatterChart>
      <c:valAx>
        <c:axId val="24718886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719668106002859"/>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7281536"/>
        <c:crosses val="autoZero"/>
        <c:crossBetween val="midCat"/>
      </c:valAx>
      <c:valAx>
        <c:axId val="24728153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718886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9327859964927632"/>
          <c:w val="0.87887535490739455"/>
          <c:h val="0.491599916499247"/>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topography'!$AQ$29:$AQ$73</c:f>
              <c:numCache>
                <c:formatCode>General</c:formatCode>
                <c:ptCount val="45"/>
              </c:numCache>
            </c:numRef>
          </c:xVal>
          <c:yVal>
            <c:numRef>
              <c:f>'Ref. Site topography'!$AR$29:$AR$73</c:f>
              <c:numCache>
                <c:formatCode>General</c:formatCode>
                <c:ptCount val="45"/>
              </c:numCache>
            </c:numRef>
          </c:yVal>
          <c:smooth val="1"/>
          <c:extLst>
            <c:ext xmlns:c16="http://schemas.microsoft.com/office/drawing/2014/chart" uri="{C3380CC4-5D6E-409C-BE32-E72D297353CC}">
              <c16:uniqueId val="{00000000-7E0B-46AC-B35F-D0F58C796538}"/>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topography'!$AQ$181</c:f>
              <c:numCache>
                <c:formatCode>General</c:formatCode>
                <c:ptCount val="1"/>
                <c:pt idx="0">
                  <c:v>0</c:v>
                </c:pt>
              </c:numCache>
            </c:numRef>
          </c:xVal>
          <c:yVal>
            <c:numRef>
              <c:f>'Ref. Site topography'!$AR$181</c:f>
              <c:numCache>
                <c:formatCode>General</c:formatCode>
                <c:ptCount val="1"/>
                <c:pt idx="0">
                  <c:v>0</c:v>
                </c:pt>
              </c:numCache>
            </c:numRef>
          </c:yVal>
          <c:smooth val="1"/>
          <c:extLst>
            <c:ext xmlns:c16="http://schemas.microsoft.com/office/drawing/2014/chart" uri="{C3380CC4-5D6E-409C-BE32-E72D297353CC}">
              <c16:uniqueId val="{00000001-7E0B-46AC-B35F-D0F58C796538}"/>
            </c:ext>
          </c:extLst>
        </c:ser>
        <c:dLbls>
          <c:showLegendKey val="0"/>
          <c:showVal val="0"/>
          <c:showCatName val="0"/>
          <c:showSerName val="0"/>
          <c:showPercent val="0"/>
          <c:showBubbleSize val="0"/>
        </c:dLbls>
        <c:axId val="247699712"/>
        <c:axId val="251442304"/>
      </c:scatterChart>
      <c:valAx>
        <c:axId val="24769971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35232193448764"/>
              <c:y val="0.52941495216323753"/>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51442304"/>
        <c:crosses val="autoZero"/>
        <c:crossBetween val="midCat"/>
      </c:valAx>
      <c:valAx>
        <c:axId val="251442304"/>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4769971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239612908949411E-2"/>
          <c:y val="0.19246861924686193"/>
          <c:w val="0.87887535490739455"/>
          <c:h val="0.49372384937238561"/>
        </c:manualLayout>
      </c:layout>
      <c:scatterChart>
        <c:scatterStyle val="smoothMarker"/>
        <c:varyColors val="0"/>
        <c:ser>
          <c:idx val="0"/>
          <c:order val="0"/>
          <c:spPr>
            <a:ln w="12700">
              <a:solidFill>
                <a:srgbClr val="000080"/>
              </a:solidFill>
              <a:prstDash val="solid"/>
            </a:ln>
          </c:spPr>
          <c:marker>
            <c:symbol val="circle"/>
            <c:size val="3"/>
            <c:spPr>
              <a:noFill/>
              <a:ln>
                <a:solidFill>
                  <a:srgbClr val="000000"/>
                </a:solidFill>
                <a:prstDash val="solid"/>
              </a:ln>
            </c:spPr>
          </c:marker>
          <c:xVal>
            <c:numRef>
              <c:f>'Ref. Site topography'!$AU$29:$AU$73</c:f>
              <c:numCache>
                <c:formatCode>General</c:formatCode>
                <c:ptCount val="45"/>
              </c:numCache>
            </c:numRef>
          </c:xVal>
          <c:yVal>
            <c:numRef>
              <c:f>'Ref. Site topography'!$AV$29:$AV$73</c:f>
              <c:numCache>
                <c:formatCode>General</c:formatCode>
                <c:ptCount val="45"/>
              </c:numCache>
            </c:numRef>
          </c:yVal>
          <c:smooth val="1"/>
          <c:extLst>
            <c:ext xmlns:c16="http://schemas.microsoft.com/office/drawing/2014/chart" uri="{C3380CC4-5D6E-409C-BE32-E72D297353CC}">
              <c16:uniqueId val="{00000000-8BB4-4268-A666-537EA5DF912B}"/>
            </c:ext>
          </c:extLst>
        </c:ser>
        <c:ser>
          <c:idx val="2"/>
          <c:order val="1"/>
          <c:spPr>
            <a:ln w="12700">
              <a:solidFill>
                <a:srgbClr val="FFFF00"/>
              </a:solidFill>
              <a:prstDash val="solid"/>
            </a:ln>
          </c:spPr>
          <c:marker>
            <c:symbol val="x"/>
            <c:size val="7"/>
            <c:spPr>
              <a:noFill/>
              <a:ln>
                <a:solidFill>
                  <a:srgbClr val="000000"/>
                </a:solidFill>
                <a:prstDash val="solid"/>
              </a:ln>
            </c:spPr>
          </c:marker>
          <c:xVal>
            <c:numRef>
              <c:f>'Ref. Site topography'!$AU$181</c:f>
              <c:numCache>
                <c:formatCode>General</c:formatCode>
                <c:ptCount val="1"/>
                <c:pt idx="0">
                  <c:v>0</c:v>
                </c:pt>
              </c:numCache>
            </c:numRef>
          </c:xVal>
          <c:yVal>
            <c:numRef>
              <c:f>'Ref. Site topography'!$AV$181</c:f>
              <c:numCache>
                <c:formatCode>General</c:formatCode>
                <c:ptCount val="1"/>
                <c:pt idx="0">
                  <c:v>0</c:v>
                </c:pt>
              </c:numCache>
            </c:numRef>
          </c:yVal>
          <c:smooth val="1"/>
          <c:extLst>
            <c:ext xmlns:c16="http://schemas.microsoft.com/office/drawing/2014/chart" uri="{C3380CC4-5D6E-409C-BE32-E72D297353CC}">
              <c16:uniqueId val="{00000001-8BB4-4268-A666-537EA5DF912B}"/>
            </c:ext>
          </c:extLst>
        </c:ser>
        <c:dLbls>
          <c:showLegendKey val="0"/>
          <c:showVal val="0"/>
          <c:showCatName val="0"/>
          <c:showSerName val="0"/>
          <c:showPercent val="0"/>
          <c:showBubbleSize val="0"/>
        </c:dLbls>
        <c:axId val="253736064"/>
        <c:axId val="253768832"/>
      </c:scatterChart>
      <c:valAx>
        <c:axId val="25373606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AB</a:t>
                </a:r>
              </a:p>
            </c:rich>
          </c:tx>
          <c:layout>
            <c:manualLayout>
              <c:xMode val="edge"/>
              <c:yMode val="edge"/>
              <c:x val="0.8535232193448764"/>
              <c:y val="0.52719668106002859"/>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53768832"/>
        <c:crosses val="autoZero"/>
        <c:crossBetween val="midCat"/>
      </c:valAx>
      <c:valAx>
        <c:axId val="25376883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5373606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587D-488F-9D88-D1490CF6C025}"/>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587D-488F-9D88-D1490CF6C025}"/>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topography'!$I$29:$I$73</c:f>
              <c:numCache>
                <c:formatCode>General</c:formatCode>
                <c:ptCount val="45"/>
              </c:numCache>
            </c:numRef>
          </c:xVal>
          <c:yVal>
            <c:numRef>
              <c:f>'Ref. Site topography'!$J$29:$J$73</c:f>
              <c:numCache>
                <c:formatCode>General</c:formatCode>
                <c:ptCount val="45"/>
              </c:numCache>
            </c:numRef>
          </c:yVal>
          <c:smooth val="1"/>
          <c:extLst>
            <c:ext xmlns:c16="http://schemas.microsoft.com/office/drawing/2014/chart" uri="{C3380CC4-5D6E-409C-BE32-E72D297353CC}">
              <c16:uniqueId val="{00000002-587D-488F-9D88-D1490CF6C025}"/>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topography'!$G$182</c:f>
              <c:numCache>
                <c:formatCode>General</c:formatCode>
                <c:ptCount val="1"/>
                <c:pt idx="0">
                  <c:v>0</c:v>
                </c:pt>
              </c:numCache>
            </c:numRef>
          </c:xVal>
          <c:yVal>
            <c:numRef>
              <c:f>'Ref. Site topography'!$H$182</c:f>
              <c:numCache>
                <c:formatCode>General</c:formatCode>
                <c:ptCount val="1"/>
                <c:pt idx="0">
                  <c:v>0</c:v>
                </c:pt>
              </c:numCache>
            </c:numRef>
          </c:yVal>
          <c:smooth val="1"/>
          <c:extLst>
            <c:ext xmlns:c16="http://schemas.microsoft.com/office/drawing/2014/chart" uri="{C3380CC4-5D6E-409C-BE32-E72D297353CC}">
              <c16:uniqueId val="{00000003-587D-488F-9D88-D1490CF6C025}"/>
            </c:ext>
          </c:extLst>
        </c:ser>
        <c:dLbls>
          <c:showLegendKey val="0"/>
          <c:showVal val="0"/>
          <c:showCatName val="0"/>
          <c:showSerName val="0"/>
          <c:showPercent val="0"/>
          <c:showBubbleSize val="0"/>
        </c:dLbls>
        <c:axId val="190067456"/>
        <c:axId val="190069376"/>
      </c:scatterChart>
      <c:valAx>
        <c:axId val="19006745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00593195081464"/>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069376"/>
        <c:crosses val="autoZero"/>
        <c:crossBetween val="midCat"/>
      </c:valAx>
      <c:valAx>
        <c:axId val="19006937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067456"/>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CA06-4145-8917-526CFE8C97CB}"/>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CA06-4145-8917-526CFE8C97CB}"/>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topography'!$M$29:$M$73</c:f>
              <c:numCache>
                <c:formatCode>General</c:formatCode>
                <c:ptCount val="45"/>
              </c:numCache>
            </c:numRef>
          </c:xVal>
          <c:yVal>
            <c:numRef>
              <c:f>'Ref. Site topography'!$N$29:$N$73</c:f>
              <c:numCache>
                <c:formatCode>General</c:formatCode>
                <c:ptCount val="45"/>
              </c:numCache>
            </c:numRef>
          </c:yVal>
          <c:smooth val="1"/>
          <c:extLst>
            <c:ext xmlns:c16="http://schemas.microsoft.com/office/drawing/2014/chart" uri="{C3380CC4-5D6E-409C-BE32-E72D297353CC}">
              <c16:uniqueId val="{00000002-CA06-4145-8917-526CFE8C97CB}"/>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topography'!$K$182</c:f>
              <c:numCache>
                <c:formatCode>General</c:formatCode>
                <c:ptCount val="1"/>
                <c:pt idx="0">
                  <c:v>0</c:v>
                </c:pt>
              </c:numCache>
            </c:numRef>
          </c:xVal>
          <c:yVal>
            <c:numRef>
              <c:f>'Ref. Site topography'!$L$182</c:f>
              <c:numCache>
                <c:formatCode>General</c:formatCode>
                <c:ptCount val="1"/>
                <c:pt idx="0">
                  <c:v>0</c:v>
                </c:pt>
              </c:numCache>
            </c:numRef>
          </c:yVal>
          <c:smooth val="1"/>
          <c:extLst>
            <c:ext xmlns:c16="http://schemas.microsoft.com/office/drawing/2014/chart" uri="{C3380CC4-5D6E-409C-BE32-E72D297353CC}">
              <c16:uniqueId val="{00000003-CA06-4145-8917-526CFE8C97CB}"/>
            </c:ext>
          </c:extLst>
        </c:ser>
        <c:dLbls>
          <c:showLegendKey val="0"/>
          <c:showVal val="0"/>
          <c:showCatName val="0"/>
          <c:showSerName val="0"/>
          <c:showPercent val="0"/>
          <c:showBubbleSize val="0"/>
        </c:dLbls>
        <c:axId val="190228352"/>
        <c:axId val="190239104"/>
      </c:scatterChart>
      <c:valAx>
        <c:axId val="19022835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239104"/>
        <c:crosses val="autoZero"/>
        <c:crossBetween val="midCat"/>
      </c:valAx>
      <c:valAx>
        <c:axId val="190239104"/>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228352"/>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6628-44A6-9ED0-4DF82822698F}"/>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6628-44A6-9ED0-4DF82822698F}"/>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topography'!$Q$29:$Q$73</c:f>
              <c:numCache>
                <c:formatCode>General</c:formatCode>
                <c:ptCount val="45"/>
              </c:numCache>
            </c:numRef>
          </c:xVal>
          <c:yVal>
            <c:numRef>
              <c:f>'Ref. Site topography'!$R$29:$R$73</c:f>
              <c:numCache>
                <c:formatCode>General</c:formatCode>
                <c:ptCount val="45"/>
              </c:numCache>
            </c:numRef>
          </c:yVal>
          <c:smooth val="1"/>
          <c:extLst>
            <c:ext xmlns:c16="http://schemas.microsoft.com/office/drawing/2014/chart" uri="{C3380CC4-5D6E-409C-BE32-E72D297353CC}">
              <c16:uniqueId val="{00000002-6628-44A6-9ED0-4DF82822698F}"/>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topography'!$O$182</c:f>
              <c:numCache>
                <c:formatCode>General</c:formatCode>
                <c:ptCount val="1"/>
                <c:pt idx="0">
                  <c:v>0</c:v>
                </c:pt>
              </c:numCache>
            </c:numRef>
          </c:xVal>
          <c:yVal>
            <c:numRef>
              <c:f>'Ref. Site topography'!$P$182</c:f>
              <c:numCache>
                <c:formatCode>General</c:formatCode>
                <c:ptCount val="1"/>
                <c:pt idx="0">
                  <c:v>0</c:v>
                </c:pt>
              </c:numCache>
            </c:numRef>
          </c:yVal>
          <c:smooth val="1"/>
          <c:extLst>
            <c:ext xmlns:c16="http://schemas.microsoft.com/office/drawing/2014/chart" uri="{C3380CC4-5D6E-409C-BE32-E72D297353CC}">
              <c16:uniqueId val="{00000003-6628-44A6-9ED0-4DF82822698F}"/>
            </c:ext>
          </c:extLst>
        </c:ser>
        <c:dLbls>
          <c:showLegendKey val="0"/>
          <c:showVal val="0"/>
          <c:showCatName val="0"/>
          <c:showSerName val="0"/>
          <c:showPercent val="0"/>
          <c:showBubbleSize val="0"/>
        </c:dLbls>
        <c:axId val="190308352"/>
        <c:axId val="190310656"/>
      </c:scatterChart>
      <c:valAx>
        <c:axId val="19030835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310656"/>
        <c:crosses val="autoZero"/>
        <c:crossBetween val="midCat"/>
      </c:valAx>
      <c:valAx>
        <c:axId val="19031065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0308352"/>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706F-4ADB-A577-2379134EAD12}"/>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706F-4ADB-A577-2379134EAD12}"/>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topography'!$U$29:$U$73</c:f>
              <c:numCache>
                <c:formatCode>General</c:formatCode>
                <c:ptCount val="45"/>
              </c:numCache>
            </c:numRef>
          </c:xVal>
          <c:yVal>
            <c:numRef>
              <c:f>'Ref. Site topography'!$V$29:$V$73</c:f>
              <c:numCache>
                <c:formatCode>General</c:formatCode>
                <c:ptCount val="45"/>
              </c:numCache>
            </c:numRef>
          </c:yVal>
          <c:smooth val="1"/>
          <c:extLst>
            <c:ext xmlns:c16="http://schemas.microsoft.com/office/drawing/2014/chart" uri="{C3380CC4-5D6E-409C-BE32-E72D297353CC}">
              <c16:uniqueId val="{00000002-706F-4ADB-A577-2379134EAD12}"/>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topography'!$S$182</c:f>
              <c:numCache>
                <c:formatCode>General</c:formatCode>
                <c:ptCount val="1"/>
                <c:pt idx="0">
                  <c:v>0</c:v>
                </c:pt>
              </c:numCache>
            </c:numRef>
          </c:xVal>
          <c:yVal>
            <c:numRef>
              <c:f>'Ref. Site topography'!$T$182</c:f>
              <c:numCache>
                <c:formatCode>General</c:formatCode>
                <c:ptCount val="1"/>
                <c:pt idx="0">
                  <c:v>0</c:v>
                </c:pt>
              </c:numCache>
            </c:numRef>
          </c:yVal>
          <c:smooth val="1"/>
          <c:extLst>
            <c:ext xmlns:c16="http://schemas.microsoft.com/office/drawing/2014/chart" uri="{C3380CC4-5D6E-409C-BE32-E72D297353CC}">
              <c16:uniqueId val="{00000003-706F-4ADB-A577-2379134EAD12}"/>
            </c:ext>
          </c:extLst>
        </c:ser>
        <c:dLbls>
          <c:showLegendKey val="0"/>
          <c:showVal val="0"/>
          <c:showCatName val="0"/>
          <c:showSerName val="0"/>
          <c:showPercent val="0"/>
          <c:showBubbleSize val="0"/>
        </c:dLbls>
        <c:axId val="191952768"/>
        <c:axId val="192147840"/>
      </c:scatterChart>
      <c:valAx>
        <c:axId val="19195276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00593195081464"/>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2147840"/>
        <c:crosses val="autoZero"/>
        <c:crossBetween val="midCat"/>
      </c:valAx>
      <c:valAx>
        <c:axId val="19214784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1952768"/>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6911764705882515"/>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8AF0-4637-9E6A-043231D1F063}"/>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8AF0-4637-9E6A-043231D1F063}"/>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topography'!$Y$29:$Y$73</c:f>
              <c:numCache>
                <c:formatCode>General</c:formatCode>
                <c:ptCount val="45"/>
              </c:numCache>
            </c:numRef>
          </c:xVal>
          <c:yVal>
            <c:numRef>
              <c:f>'Ref. Site topography'!$Z$29:$Z$73</c:f>
              <c:numCache>
                <c:formatCode>General</c:formatCode>
                <c:ptCount val="45"/>
              </c:numCache>
            </c:numRef>
          </c:yVal>
          <c:smooth val="1"/>
          <c:extLst>
            <c:ext xmlns:c16="http://schemas.microsoft.com/office/drawing/2014/chart" uri="{C3380CC4-5D6E-409C-BE32-E72D297353CC}">
              <c16:uniqueId val="{00000002-8AF0-4637-9E6A-043231D1F063}"/>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topography'!$W$182</c:f>
              <c:numCache>
                <c:formatCode>General</c:formatCode>
                <c:ptCount val="1"/>
                <c:pt idx="0">
                  <c:v>0</c:v>
                </c:pt>
              </c:numCache>
            </c:numRef>
          </c:xVal>
          <c:yVal>
            <c:numRef>
              <c:f>'Ref. Site topography'!$X$182</c:f>
              <c:numCache>
                <c:formatCode>General</c:formatCode>
                <c:ptCount val="1"/>
                <c:pt idx="0">
                  <c:v>0</c:v>
                </c:pt>
              </c:numCache>
            </c:numRef>
          </c:yVal>
          <c:smooth val="1"/>
          <c:extLst>
            <c:ext xmlns:c16="http://schemas.microsoft.com/office/drawing/2014/chart" uri="{C3380CC4-5D6E-409C-BE32-E72D297353CC}">
              <c16:uniqueId val="{00000003-8AF0-4637-9E6A-043231D1F063}"/>
            </c:ext>
          </c:extLst>
        </c:ser>
        <c:dLbls>
          <c:showLegendKey val="0"/>
          <c:showVal val="0"/>
          <c:showCatName val="0"/>
          <c:showSerName val="0"/>
          <c:showPercent val="0"/>
          <c:showBubbleSize val="0"/>
        </c:dLbls>
        <c:axId val="196300800"/>
        <c:axId val="196303104"/>
      </c:scatterChart>
      <c:valAx>
        <c:axId val="19630080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381658175080764"/>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6303104"/>
        <c:crosses val="autoZero"/>
        <c:crossBetween val="midCat"/>
      </c:valAx>
      <c:valAx>
        <c:axId val="196303104"/>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6300800"/>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912A-438C-A877-12623A8C3476}"/>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912A-438C-A877-12623A8C3476}"/>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topography'!$AC$29:$AC$73</c:f>
              <c:numCache>
                <c:formatCode>General</c:formatCode>
                <c:ptCount val="45"/>
              </c:numCache>
            </c:numRef>
          </c:xVal>
          <c:yVal>
            <c:numRef>
              <c:f>'Ref. Site topography'!$AD$29:$AD$73</c:f>
              <c:numCache>
                <c:formatCode>General</c:formatCode>
                <c:ptCount val="45"/>
              </c:numCache>
            </c:numRef>
          </c:yVal>
          <c:smooth val="1"/>
          <c:extLst>
            <c:ext xmlns:c16="http://schemas.microsoft.com/office/drawing/2014/chart" uri="{C3380CC4-5D6E-409C-BE32-E72D297353CC}">
              <c16:uniqueId val="{00000002-912A-438C-A877-12623A8C3476}"/>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topography'!$AA$182</c:f>
              <c:numCache>
                <c:formatCode>General</c:formatCode>
                <c:ptCount val="1"/>
                <c:pt idx="0">
                  <c:v>0</c:v>
                </c:pt>
              </c:numCache>
            </c:numRef>
          </c:xVal>
          <c:yVal>
            <c:numRef>
              <c:f>'Ref. Site topography'!$AB$182</c:f>
              <c:numCache>
                <c:formatCode>General</c:formatCode>
                <c:ptCount val="1"/>
                <c:pt idx="0">
                  <c:v>0</c:v>
                </c:pt>
              </c:numCache>
            </c:numRef>
          </c:yVal>
          <c:smooth val="1"/>
          <c:extLst>
            <c:ext xmlns:c16="http://schemas.microsoft.com/office/drawing/2014/chart" uri="{C3380CC4-5D6E-409C-BE32-E72D297353CC}">
              <c16:uniqueId val="{00000003-912A-438C-A877-12623A8C3476}"/>
            </c:ext>
          </c:extLst>
        </c:ser>
        <c:dLbls>
          <c:showLegendKey val="0"/>
          <c:showVal val="0"/>
          <c:showCatName val="0"/>
          <c:showSerName val="0"/>
          <c:showPercent val="0"/>
          <c:showBubbleSize val="0"/>
        </c:dLbls>
        <c:axId val="196991616"/>
        <c:axId val="196994176"/>
      </c:scatterChart>
      <c:valAx>
        <c:axId val="19699161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6994176"/>
        <c:crosses val="autoZero"/>
        <c:crossBetween val="midCat"/>
      </c:valAx>
      <c:valAx>
        <c:axId val="196994176"/>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6991616"/>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9.5588235294117641E-2"/>
          <c:w val="0.86446886446886462"/>
          <c:h val="0.66176470588235259"/>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04F8-48AC-9397-90AC9F09B76F}"/>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04F8-48AC-9397-90AC9F09B76F}"/>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topography'!$AG$29:$AG$73</c:f>
              <c:numCache>
                <c:formatCode>General</c:formatCode>
                <c:ptCount val="45"/>
              </c:numCache>
            </c:numRef>
          </c:xVal>
          <c:yVal>
            <c:numRef>
              <c:f>'Ref. Site topography'!$AH$29:$AH$73</c:f>
              <c:numCache>
                <c:formatCode>General</c:formatCode>
                <c:ptCount val="45"/>
              </c:numCache>
            </c:numRef>
          </c:yVal>
          <c:smooth val="1"/>
          <c:extLst>
            <c:ext xmlns:c16="http://schemas.microsoft.com/office/drawing/2014/chart" uri="{C3380CC4-5D6E-409C-BE32-E72D297353CC}">
              <c16:uniqueId val="{00000002-04F8-48AC-9397-90AC9F09B76F}"/>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topography'!$AE$182</c:f>
              <c:numCache>
                <c:formatCode>General</c:formatCode>
                <c:ptCount val="1"/>
                <c:pt idx="0">
                  <c:v>0</c:v>
                </c:pt>
              </c:numCache>
            </c:numRef>
          </c:xVal>
          <c:yVal>
            <c:numRef>
              <c:f>'Ref. Site topography'!$AF$182</c:f>
              <c:numCache>
                <c:formatCode>General</c:formatCode>
                <c:ptCount val="1"/>
                <c:pt idx="0">
                  <c:v>0</c:v>
                </c:pt>
              </c:numCache>
            </c:numRef>
          </c:yVal>
          <c:smooth val="1"/>
          <c:extLst>
            <c:ext xmlns:c16="http://schemas.microsoft.com/office/drawing/2014/chart" uri="{C3380CC4-5D6E-409C-BE32-E72D297353CC}">
              <c16:uniqueId val="{00000003-04F8-48AC-9397-90AC9F09B76F}"/>
            </c:ext>
          </c:extLst>
        </c:ser>
        <c:dLbls>
          <c:showLegendKey val="0"/>
          <c:showVal val="0"/>
          <c:showCatName val="0"/>
          <c:showSerName val="0"/>
          <c:showPercent val="0"/>
          <c:showBubbleSize val="0"/>
        </c:dLbls>
        <c:axId val="199987968"/>
        <c:axId val="199990272"/>
      </c:scatterChart>
      <c:valAx>
        <c:axId val="19998796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6896788636714535"/>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9990272"/>
        <c:crosses val="autoZero"/>
        <c:crossBetween val="midCat"/>
      </c:valAx>
      <c:valAx>
        <c:axId val="19999027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199987968"/>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6911764705882515"/>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3FFD-4953-B547-C0DB1A112A35}"/>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3FFD-4953-B547-C0DB1A112A35}"/>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topography'!$AK$29:$AK$73</c:f>
              <c:numCache>
                <c:formatCode>General</c:formatCode>
                <c:ptCount val="45"/>
              </c:numCache>
            </c:numRef>
          </c:xVal>
          <c:yVal>
            <c:numRef>
              <c:f>'Ref. Site topography'!$AL$29:$AL$73</c:f>
              <c:numCache>
                <c:formatCode>General</c:formatCode>
                <c:ptCount val="45"/>
              </c:numCache>
            </c:numRef>
          </c:yVal>
          <c:smooth val="1"/>
          <c:extLst>
            <c:ext xmlns:c16="http://schemas.microsoft.com/office/drawing/2014/chart" uri="{C3380CC4-5D6E-409C-BE32-E72D297353CC}">
              <c16:uniqueId val="{00000002-3FFD-4953-B547-C0DB1A112A35}"/>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topography'!$AI$182</c:f>
              <c:numCache>
                <c:formatCode>General</c:formatCode>
                <c:ptCount val="1"/>
                <c:pt idx="0">
                  <c:v>0</c:v>
                </c:pt>
              </c:numCache>
            </c:numRef>
          </c:xVal>
          <c:yVal>
            <c:numRef>
              <c:f>'Ref. Site topography'!$AJ$182</c:f>
              <c:numCache>
                <c:formatCode>General</c:formatCode>
                <c:ptCount val="1"/>
                <c:pt idx="0">
                  <c:v>0</c:v>
                </c:pt>
              </c:numCache>
            </c:numRef>
          </c:yVal>
          <c:smooth val="1"/>
          <c:extLst>
            <c:ext xmlns:c16="http://schemas.microsoft.com/office/drawing/2014/chart" uri="{C3380CC4-5D6E-409C-BE32-E72D297353CC}">
              <c16:uniqueId val="{00000003-3FFD-4953-B547-C0DB1A112A35}"/>
            </c:ext>
          </c:extLst>
        </c:ser>
        <c:dLbls>
          <c:showLegendKey val="0"/>
          <c:showVal val="0"/>
          <c:showCatName val="0"/>
          <c:showSerName val="0"/>
          <c:showPercent val="0"/>
          <c:showBubbleSize val="0"/>
        </c:dLbls>
        <c:axId val="200014848"/>
        <c:axId val="200218112"/>
      </c:scatterChart>
      <c:valAx>
        <c:axId val="20001484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381658175080764"/>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0218112"/>
        <c:crosses val="autoZero"/>
        <c:crossBetween val="midCat"/>
      </c:valAx>
      <c:valAx>
        <c:axId val="200218112"/>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0014848"/>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CB91-4A3F-865D-7B755A388E7E}"/>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CB91-4A3F-865D-7B755A388E7E}"/>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topography'!$AO$29:$AO$73</c:f>
              <c:numCache>
                <c:formatCode>General</c:formatCode>
                <c:ptCount val="45"/>
              </c:numCache>
            </c:numRef>
          </c:xVal>
          <c:yVal>
            <c:numRef>
              <c:f>'Ref. Site topography'!$AP$29:$AP$73</c:f>
              <c:numCache>
                <c:formatCode>General</c:formatCode>
                <c:ptCount val="45"/>
              </c:numCache>
            </c:numRef>
          </c:yVal>
          <c:smooth val="1"/>
          <c:extLst>
            <c:ext xmlns:c16="http://schemas.microsoft.com/office/drawing/2014/chart" uri="{C3380CC4-5D6E-409C-BE32-E72D297353CC}">
              <c16:uniqueId val="{00000002-CB91-4A3F-865D-7B755A388E7E}"/>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topography'!$AM$182</c:f>
              <c:numCache>
                <c:formatCode>General</c:formatCode>
                <c:ptCount val="1"/>
                <c:pt idx="0">
                  <c:v>0</c:v>
                </c:pt>
              </c:numCache>
            </c:numRef>
          </c:xVal>
          <c:yVal>
            <c:numRef>
              <c:f>'Ref. Site topography'!$AN$182</c:f>
              <c:numCache>
                <c:formatCode>General</c:formatCode>
                <c:ptCount val="1"/>
                <c:pt idx="0">
                  <c:v>0</c:v>
                </c:pt>
              </c:numCache>
            </c:numRef>
          </c:yVal>
          <c:smooth val="1"/>
          <c:extLst>
            <c:ext xmlns:c16="http://schemas.microsoft.com/office/drawing/2014/chart" uri="{C3380CC4-5D6E-409C-BE32-E72D297353CC}">
              <c16:uniqueId val="{00000003-CB91-4A3F-865D-7B755A388E7E}"/>
            </c:ext>
          </c:extLst>
        </c:ser>
        <c:dLbls>
          <c:showLegendKey val="0"/>
          <c:showVal val="0"/>
          <c:showCatName val="0"/>
          <c:showSerName val="0"/>
          <c:showPercent val="0"/>
          <c:showBubbleSize val="0"/>
        </c:dLbls>
        <c:axId val="200250496"/>
        <c:axId val="200252800"/>
      </c:scatterChart>
      <c:valAx>
        <c:axId val="20025049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0252800"/>
        <c:crosses val="autoZero"/>
        <c:crossBetween val="midCat"/>
      </c:valAx>
      <c:valAx>
        <c:axId val="20025280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0250496"/>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0A7B-4826-9ABF-7A7DC5ACA72A}"/>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0A7B-4826-9ABF-7A7DC5ACA72A}"/>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topography'!$AS$29:$AS$73</c:f>
              <c:numCache>
                <c:formatCode>General</c:formatCode>
                <c:ptCount val="45"/>
              </c:numCache>
            </c:numRef>
          </c:xVal>
          <c:yVal>
            <c:numRef>
              <c:f>'Ref. Site topography'!$AT$29:$AT$73</c:f>
              <c:numCache>
                <c:formatCode>General</c:formatCode>
                <c:ptCount val="45"/>
              </c:numCache>
            </c:numRef>
          </c:yVal>
          <c:smooth val="1"/>
          <c:extLst>
            <c:ext xmlns:c16="http://schemas.microsoft.com/office/drawing/2014/chart" uri="{C3380CC4-5D6E-409C-BE32-E72D297353CC}">
              <c16:uniqueId val="{00000002-0A7B-4826-9ABF-7A7DC5ACA72A}"/>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topography'!$AQ$182</c:f>
              <c:numCache>
                <c:formatCode>General</c:formatCode>
                <c:ptCount val="1"/>
                <c:pt idx="0">
                  <c:v>0</c:v>
                </c:pt>
              </c:numCache>
            </c:numRef>
          </c:xVal>
          <c:yVal>
            <c:numRef>
              <c:f>'Ref. Site topography'!$AR$182</c:f>
              <c:numCache>
                <c:formatCode>General</c:formatCode>
                <c:ptCount val="1"/>
                <c:pt idx="0">
                  <c:v>0</c:v>
                </c:pt>
              </c:numCache>
            </c:numRef>
          </c:yVal>
          <c:smooth val="1"/>
          <c:extLst>
            <c:ext xmlns:c16="http://schemas.microsoft.com/office/drawing/2014/chart" uri="{C3380CC4-5D6E-409C-BE32-E72D297353CC}">
              <c16:uniqueId val="{00000003-0A7B-4826-9ABF-7A7DC5ACA72A}"/>
            </c:ext>
          </c:extLst>
        </c:ser>
        <c:dLbls>
          <c:showLegendKey val="0"/>
          <c:showVal val="0"/>
          <c:showCatName val="0"/>
          <c:showSerName val="0"/>
          <c:showPercent val="0"/>
          <c:showBubbleSize val="0"/>
        </c:dLbls>
        <c:axId val="209180928"/>
        <c:axId val="211833600"/>
      </c:scatterChart>
      <c:valAx>
        <c:axId val="20918092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1833600"/>
        <c:crosses val="autoZero"/>
        <c:crossBetween val="midCat"/>
      </c:valAx>
      <c:valAx>
        <c:axId val="21183360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09180928"/>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57509157509186E-2"/>
          <c:y val="8.82352941176473E-2"/>
          <c:w val="0.86446886446886462"/>
          <c:h val="0.6764705882352946"/>
        </c:manualLayout>
      </c:layout>
      <c:scatterChart>
        <c:scatterStyle val="smoothMarker"/>
        <c:varyColors val="0"/>
        <c:ser>
          <c:idx val="1"/>
          <c:order val="0"/>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0-26E9-4749-9F45-3530DD452C03}"/>
            </c:ext>
          </c:extLst>
        </c:ser>
        <c:ser>
          <c:idx val="2"/>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26E9-4749-9F45-3530DD452C03}"/>
            </c:ext>
          </c:extLst>
        </c:ser>
        <c:ser>
          <c:idx val="0"/>
          <c:order val="2"/>
          <c:spPr>
            <a:ln w="12700">
              <a:solidFill>
                <a:srgbClr val="000080"/>
              </a:solidFill>
              <a:prstDash val="solid"/>
            </a:ln>
          </c:spPr>
          <c:marker>
            <c:symbol val="circle"/>
            <c:size val="3"/>
            <c:spPr>
              <a:noFill/>
              <a:ln>
                <a:solidFill>
                  <a:srgbClr val="000000"/>
                </a:solidFill>
                <a:prstDash val="solid"/>
              </a:ln>
            </c:spPr>
          </c:marker>
          <c:xVal>
            <c:numRef>
              <c:f>'Ref. Site topography'!$AW$29:$AW$73</c:f>
              <c:numCache>
                <c:formatCode>General</c:formatCode>
                <c:ptCount val="45"/>
              </c:numCache>
            </c:numRef>
          </c:xVal>
          <c:yVal>
            <c:numRef>
              <c:f>'Ref. Site topography'!$AX$29:$AX$73</c:f>
              <c:numCache>
                <c:formatCode>General</c:formatCode>
                <c:ptCount val="45"/>
              </c:numCache>
            </c:numRef>
          </c:yVal>
          <c:smooth val="1"/>
          <c:extLst>
            <c:ext xmlns:c16="http://schemas.microsoft.com/office/drawing/2014/chart" uri="{C3380CC4-5D6E-409C-BE32-E72D297353CC}">
              <c16:uniqueId val="{00000002-26E9-4749-9F45-3530DD452C03}"/>
            </c:ext>
          </c:extLst>
        </c:ser>
        <c:ser>
          <c:idx val="3"/>
          <c:order val="3"/>
          <c:spPr>
            <a:ln w="12700">
              <a:solidFill>
                <a:srgbClr val="00FFFF"/>
              </a:solidFill>
              <a:prstDash val="solid"/>
            </a:ln>
          </c:spPr>
          <c:marker>
            <c:symbol val="x"/>
            <c:size val="7"/>
            <c:spPr>
              <a:noFill/>
              <a:ln>
                <a:solidFill>
                  <a:srgbClr val="000000"/>
                </a:solidFill>
                <a:prstDash val="solid"/>
              </a:ln>
            </c:spPr>
          </c:marker>
          <c:xVal>
            <c:numRef>
              <c:f>'Ref. Site topography'!$AU$182</c:f>
              <c:numCache>
                <c:formatCode>General</c:formatCode>
                <c:ptCount val="1"/>
                <c:pt idx="0">
                  <c:v>0</c:v>
                </c:pt>
              </c:numCache>
            </c:numRef>
          </c:xVal>
          <c:yVal>
            <c:numRef>
              <c:f>'Ref. Site topography'!$AV$182</c:f>
              <c:numCache>
                <c:formatCode>General</c:formatCode>
                <c:ptCount val="1"/>
                <c:pt idx="0">
                  <c:v>0</c:v>
                </c:pt>
              </c:numCache>
            </c:numRef>
          </c:yVal>
          <c:smooth val="1"/>
          <c:extLst>
            <c:ext xmlns:c16="http://schemas.microsoft.com/office/drawing/2014/chart" uri="{C3380CC4-5D6E-409C-BE32-E72D297353CC}">
              <c16:uniqueId val="{00000003-26E9-4749-9F45-3530DD452C03}"/>
            </c:ext>
          </c:extLst>
        </c:ser>
        <c:dLbls>
          <c:showLegendKey val="0"/>
          <c:showVal val="0"/>
          <c:showCatName val="0"/>
          <c:showSerName val="0"/>
          <c:showPercent val="0"/>
          <c:showBubbleSize val="0"/>
        </c:dLbls>
        <c:axId val="213533056"/>
        <c:axId val="213535360"/>
      </c:scatterChart>
      <c:valAx>
        <c:axId val="21353305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50" b="1" i="1" u="none" strike="noStrike" baseline="0">
                    <a:solidFill>
                      <a:srgbClr val="3366FF"/>
                    </a:solidFill>
                    <a:latin typeface="Arial"/>
                    <a:cs typeface="Arial"/>
                  </a:rPr>
                  <a:t>x</a:t>
                </a:r>
                <a:r>
                  <a:rPr lang="en-US" sz="950" b="1" i="0" u="none" strike="noStrike" baseline="-25000">
                    <a:solidFill>
                      <a:srgbClr val="3366FF"/>
                    </a:solidFill>
                    <a:latin typeface="Arial"/>
                    <a:cs typeface="Arial"/>
                  </a:rPr>
                  <a:t>CD</a:t>
                </a:r>
              </a:p>
            </c:rich>
          </c:tx>
          <c:layout>
            <c:manualLayout>
              <c:xMode val="edge"/>
              <c:yMode val="edge"/>
              <c:x val="0.85143241710170869"/>
              <c:y val="0.5804624054346128"/>
            </c:manualLayout>
          </c:layout>
          <c:overlay val="0"/>
          <c:spPr>
            <a:noFill/>
            <a:ln w="25400">
              <a:noFill/>
            </a:ln>
          </c:spPr>
        </c:title>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3535360"/>
        <c:crosses val="autoZero"/>
        <c:crossBetween val="midCat"/>
      </c:valAx>
      <c:valAx>
        <c:axId val="213535360"/>
        <c:scaling>
          <c:orientation val="minMax"/>
        </c:scaling>
        <c:delete val="0"/>
        <c:axPos val="l"/>
        <c:numFmt formatCode="0" sourceLinked="0"/>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13533056"/>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1474292760877"/>
          <c:y val="0.19913567237988117"/>
          <c:w val="0.83002918970472439"/>
          <c:h val="0.45887785374494533"/>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topography'!$C$29:$C$73</c:f>
              <c:numCache>
                <c:formatCode>General</c:formatCode>
                <c:ptCount val="45"/>
              </c:numCache>
            </c:numRef>
          </c:xVal>
          <c:yVal>
            <c:numRef>
              <c:f>'Target Site topography'!$D$29:$D$73</c:f>
              <c:numCache>
                <c:formatCode>General</c:formatCode>
                <c:ptCount val="45"/>
              </c:numCache>
            </c:numRef>
          </c:yVal>
          <c:smooth val="1"/>
          <c:extLst>
            <c:ext xmlns:c16="http://schemas.microsoft.com/office/drawing/2014/chart" uri="{C3380CC4-5D6E-409C-BE32-E72D297353CC}">
              <c16:uniqueId val="{00000000-46AF-424F-8748-7573618711D1}"/>
            </c:ext>
          </c:extLst>
        </c:ser>
        <c:ser>
          <c:idx val="1"/>
          <c:order val="1"/>
          <c:spPr>
            <a:ln w="12700">
              <a:solidFill>
                <a:srgbClr val="000000"/>
              </a:solidFill>
              <a:prstDash val="sysDash"/>
            </a:ln>
          </c:spPr>
          <c:marker>
            <c:symbol val="none"/>
          </c:marker>
          <c:xVal>
            <c:numRef>
              <c:f>'Target Site topography'!$C$100:$C$160</c:f>
              <c:numCache>
                <c:formatCode>0.0</c:formatCode>
                <c:ptCount val="61"/>
              </c:numCache>
            </c:numRef>
          </c:xVal>
          <c:yVal>
            <c:numRef>
              <c:f>'Target Site topography'!$D$100:$D$160</c:f>
              <c:numCache>
                <c:formatCode>0.00</c:formatCode>
                <c:ptCount val="61"/>
              </c:numCache>
            </c:numRef>
          </c:yVal>
          <c:smooth val="1"/>
          <c:extLst>
            <c:ext xmlns:c16="http://schemas.microsoft.com/office/drawing/2014/chart" uri="{C3380CC4-5D6E-409C-BE32-E72D297353CC}">
              <c16:uniqueId val="{00000001-46AF-424F-8748-7573618711D1}"/>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topography'!$C$181</c:f>
              <c:numCache>
                <c:formatCode>General</c:formatCode>
                <c:ptCount val="1"/>
                <c:pt idx="0">
                  <c:v>0</c:v>
                </c:pt>
              </c:numCache>
            </c:numRef>
          </c:xVal>
          <c:yVal>
            <c:numRef>
              <c:f>'Target Site topography'!$D$181</c:f>
              <c:numCache>
                <c:formatCode>General</c:formatCode>
                <c:ptCount val="1"/>
                <c:pt idx="0">
                  <c:v>0</c:v>
                </c:pt>
              </c:numCache>
            </c:numRef>
          </c:yVal>
          <c:smooth val="1"/>
          <c:extLst>
            <c:ext xmlns:c16="http://schemas.microsoft.com/office/drawing/2014/chart" uri="{C3380CC4-5D6E-409C-BE32-E72D297353CC}">
              <c16:uniqueId val="{00000002-46AF-424F-8748-7573618711D1}"/>
            </c:ext>
          </c:extLst>
        </c:ser>
        <c:dLbls>
          <c:showLegendKey val="0"/>
          <c:showVal val="0"/>
          <c:showCatName val="0"/>
          <c:showSerName val="0"/>
          <c:showPercent val="0"/>
          <c:showBubbleSize val="0"/>
        </c:dLbls>
        <c:axId val="221306240"/>
        <c:axId val="221312896"/>
      </c:scatterChart>
      <c:valAx>
        <c:axId val="22130624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79603455022667624"/>
              <c:y val="0.67100087489063864"/>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312896"/>
        <c:crosses val="autoZero"/>
        <c:crossBetween val="midCat"/>
      </c:valAx>
      <c:valAx>
        <c:axId val="221312896"/>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30624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paperSize="9" orientation="landscape" horizontalDpi="300" verticalDpi="300"/>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446454316830931E-2"/>
          <c:y val="0.20258631349040818"/>
          <c:w val="0.86723313366412091"/>
          <c:h val="0.49137956889162837"/>
        </c:manualLayout>
      </c:layout>
      <c:scatterChart>
        <c:scatterStyle val="smoothMarker"/>
        <c:varyColors val="0"/>
        <c:ser>
          <c:idx val="1"/>
          <c:order val="0"/>
          <c:spPr>
            <a:ln w="12700">
              <a:solidFill>
                <a:srgbClr val="000000"/>
              </a:solidFill>
              <a:prstDash val="solid"/>
            </a:ln>
          </c:spPr>
          <c:marker>
            <c:symbol val="circle"/>
            <c:size val="3"/>
            <c:spPr>
              <a:noFill/>
              <a:ln>
                <a:solidFill>
                  <a:srgbClr val="000000"/>
                </a:solidFill>
                <a:prstDash val="solid"/>
              </a:ln>
            </c:spPr>
          </c:marker>
          <c:xVal>
            <c:numRef>
              <c:f>'Target Site topography'!$G$29:$G$73</c:f>
              <c:numCache>
                <c:formatCode>General</c:formatCode>
                <c:ptCount val="45"/>
              </c:numCache>
            </c:numRef>
          </c:xVal>
          <c:yVal>
            <c:numRef>
              <c:f>'Target Site topography'!$H$29:$H$73</c:f>
              <c:numCache>
                <c:formatCode>General</c:formatCode>
                <c:ptCount val="45"/>
              </c:numCache>
            </c:numRef>
          </c:yVal>
          <c:smooth val="1"/>
          <c:extLst>
            <c:ext xmlns:c16="http://schemas.microsoft.com/office/drawing/2014/chart" uri="{C3380CC4-5D6E-409C-BE32-E72D297353CC}">
              <c16:uniqueId val="{00000000-210F-4DFA-8D7B-6C0A1CE1938B}"/>
            </c:ext>
          </c:extLst>
        </c:ser>
        <c:ser>
          <c:idx val="0"/>
          <c:order val="1"/>
          <c:spPr>
            <a:ln w="12700">
              <a:solidFill>
                <a:srgbClr val="000080"/>
              </a:solidFill>
              <a:prstDash val="sysDash"/>
            </a:ln>
          </c:spPr>
          <c:marker>
            <c:symbol val="none"/>
          </c:marker>
          <c:xVal>
            <c:numRef>
              <c:f>'Target Site topography'!$G$100:$G$142</c:f>
              <c:numCache>
                <c:formatCode>General</c:formatCode>
                <c:ptCount val="43"/>
              </c:numCache>
            </c:numRef>
          </c:xVal>
          <c:yVal>
            <c:numRef>
              <c:f>'Target Site topography'!$H$100:$H$142</c:f>
              <c:numCache>
                <c:formatCode>General</c:formatCode>
                <c:ptCount val="43"/>
              </c:numCache>
            </c:numRef>
          </c:yVal>
          <c:smooth val="1"/>
          <c:extLst>
            <c:ext xmlns:c16="http://schemas.microsoft.com/office/drawing/2014/chart" uri="{C3380CC4-5D6E-409C-BE32-E72D297353CC}">
              <c16:uniqueId val="{00000001-210F-4DFA-8D7B-6C0A1CE1938B}"/>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topography'!$G$179</c:f>
              <c:numCache>
                <c:formatCode>General</c:formatCode>
                <c:ptCount val="1"/>
              </c:numCache>
            </c:numRef>
          </c:xVal>
          <c:yVal>
            <c:numRef>
              <c:f>'Target Site topography'!$H$179</c:f>
              <c:numCache>
                <c:formatCode>General</c:formatCode>
                <c:ptCount val="1"/>
              </c:numCache>
            </c:numRef>
          </c:yVal>
          <c:smooth val="1"/>
          <c:extLst>
            <c:ext xmlns:c16="http://schemas.microsoft.com/office/drawing/2014/chart" uri="{C3380CC4-5D6E-409C-BE32-E72D297353CC}">
              <c16:uniqueId val="{00000002-210F-4DFA-8D7B-6C0A1CE1938B}"/>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topography'!$G$181</c:f>
              <c:numCache>
                <c:formatCode>General</c:formatCode>
                <c:ptCount val="1"/>
                <c:pt idx="0">
                  <c:v>0</c:v>
                </c:pt>
              </c:numCache>
            </c:numRef>
          </c:xVal>
          <c:yVal>
            <c:numRef>
              <c:f>'Target Site topography'!$H$181</c:f>
              <c:numCache>
                <c:formatCode>General</c:formatCode>
                <c:ptCount val="1"/>
                <c:pt idx="0">
                  <c:v>0</c:v>
                </c:pt>
              </c:numCache>
            </c:numRef>
          </c:yVal>
          <c:smooth val="1"/>
          <c:extLst>
            <c:ext xmlns:c16="http://schemas.microsoft.com/office/drawing/2014/chart" uri="{C3380CC4-5D6E-409C-BE32-E72D297353CC}">
              <c16:uniqueId val="{00000003-210F-4DFA-8D7B-6C0A1CE1938B}"/>
            </c:ext>
          </c:extLst>
        </c:ser>
        <c:dLbls>
          <c:showLegendKey val="0"/>
          <c:showVal val="0"/>
          <c:showCatName val="0"/>
          <c:showSerName val="0"/>
          <c:showPercent val="0"/>
          <c:showBubbleSize val="0"/>
        </c:dLbls>
        <c:axId val="221354240"/>
        <c:axId val="221364992"/>
      </c:scatterChart>
      <c:valAx>
        <c:axId val="22135424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78813724371410088"/>
              <c:y val="0.67241426313423569"/>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364992"/>
        <c:crosses val="autoZero"/>
        <c:crossBetween val="midCat"/>
      </c:valAx>
      <c:valAx>
        <c:axId val="221364992"/>
        <c:scaling>
          <c:orientation val="minMax"/>
          <c:min val="0"/>
        </c:scaling>
        <c:delete val="0"/>
        <c:axPos val="l"/>
        <c:numFmt formatCode="0" sourceLinked="0"/>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35424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3175">
      <a:solidFill>
        <a:srgbClr val="FFFFFF"/>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57188297384072"/>
          <c:y val="0.12019322469383911"/>
          <c:w val="0.82571774156420841"/>
          <c:h val="0.57211974954267297"/>
        </c:manualLayout>
      </c:layout>
      <c:scatterChart>
        <c:scatterStyle val="smoothMarker"/>
        <c:varyColors val="0"/>
        <c:ser>
          <c:idx val="1"/>
          <c:order val="0"/>
          <c:spPr>
            <a:ln w="12700">
              <a:solidFill>
                <a:srgbClr val="000000"/>
              </a:solidFill>
              <a:prstDash val="solid"/>
            </a:ln>
          </c:spPr>
          <c:marker>
            <c:symbol val="none"/>
          </c:marker>
          <c:xVal>
            <c:numRef>
              <c:f>'Target Site topography'!$I$33:$I$74</c:f>
              <c:numCache>
                <c:formatCode>General</c:formatCode>
                <c:ptCount val="42"/>
              </c:numCache>
            </c:numRef>
          </c:xVal>
          <c:yVal>
            <c:numRef>
              <c:f>'Target Site topography'!$J$33:$J$74</c:f>
              <c:numCache>
                <c:formatCode>General</c:formatCode>
                <c:ptCount val="42"/>
              </c:numCache>
            </c:numRef>
          </c:yVal>
          <c:smooth val="1"/>
          <c:extLst>
            <c:ext xmlns:c16="http://schemas.microsoft.com/office/drawing/2014/chart" uri="{C3380CC4-5D6E-409C-BE32-E72D297353CC}">
              <c16:uniqueId val="{00000000-D023-40EA-9BB3-F07004AB8F51}"/>
            </c:ext>
          </c:extLst>
        </c:ser>
        <c:ser>
          <c:idx val="0"/>
          <c:order val="1"/>
          <c:spPr>
            <a:ln w="12700">
              <a:solidFill>
                <a:srgbClr val="000000"/>
              </a:solidFill>
              <a:prstDash val="solid"/>
            </a:ln>
          </c:spPr>
          <c:marker>
            <c:symbol val="circle"/>
            <c:size val="3"/>
            <c:spPr>
              <a:noFill/>
              <a:ln>
                <a:solidFill>
                  <a:srgbClr val="000000"/>
                </a:solidFill>
                <a:prstDash val="solid"/>
              </a:ln>
            </c:spPr>
          </c:marker>
          <c:xVal>
            <c:numRef>
              <c:f>'Target Site topography'!$I$29:$I$74</c:f>
              <c:numCache>
                <c:formatCode>General</c:formatCode>
                <c:ptCount val="46"/>
              </c:numCache>
            </c:numRef>
          </c:xVal>
          <c:yVal>
            <c:numRef>
              <c:f>'Target Site topography'!$J$29:$J$74</c:f>
              <c:numCache>
                <c:formatCode>General</c:formatCode>
                <c:ptCount val="46"/>
              </c:numCache>
            </c:numRef>
          </c:yVal>
          <c:smooth val="1"/>
          <c:extLst>
            <c:ext xmlns:c16="http://schemas.microsoft.com/office/drawing/2014/chart" uri="{C3380CC4-5D6E-409C-BE32-E72D297353CC}">
              <c16:uniqueId val="{00000001-D023-40EA-9BB3-F07004AB8F51}"/>
            </c:ext>
          </c:extLst>
        </c:ser>
        <c:ser>
          <c:idx val="2"/>
          <c:order val="2"/>
          <c:spPr>
            <a:ln w="12700">
              <a:solidFill>
                <a:srgbClr val="000000"/>
              </a:solidFill>
              <a:prstDash val="sysDash"/>
            </a:ln>
          </c:spPr>
          <c:marker>
            <c:symbol val="none"/>
          </c:marker>
          <c:xVal>
            <c:numRef>
              <c:f>'Target Site topography'!$I$100:$I$160</c:f>
              <c:numCache>
                <c:formatCode>General</c:formatCode>
                <c:ptCount val="61"/>
              </c:numCache>
            </c:numRef>
          </c:xVal>
          <c:yVal>
            <c:numRef>
              <c:f>'Target Site topography'!$J$100:$J$160</c:f>
              <c:numCache>
                <c:formatCode>General</c:formatCode>
                <c:ptCount val="61"/>
              </c:numCache>
            </c:numRef>
          </c:yVal>
          <c:smooth val="1"/>
          <c:extLst>
            <c:ext xmlns:c16="http://schemas.microsoft.com/office/drawing/2014/chart" uri="{C3380CC4-5D6E-409C-BE32-E72D297353CC}">
              <c16:uniqueId val="{00000002-D023-40EA-9BB3-F07004AB8F51}"/>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topography'!$G$182</c:f>
              <c:numCache>
                <c:formatCode>General</c:formatCode>
                <c:ptCount val="1"/>
                <c:pt idx="0">
                  <c:v>0</c:v>
                </c:pt>
              </c:numCache>
            </c:numRef>
          </c:xVal>
          <c:yVal>
            <c:numRef>
              <c:f>'Target Site topography'!$H$182</c:f>
              <c:numCache>
                <c:formatCode>General</c:formatCode>
                <c:ptCount val="1"/>
                <c:pt idx="0">
                  <c:v>0</c:v>
                </c:pt>
              </c:numCache>
            </c:numRef>
          </c:yVal>
          <c:smooth val="1"/>
          <c:extLst>
            <c:ext xmlns:c16="http://schemas.microsoft.com/office/drawing/2014/chart" uri="{C3380CC4-5D6E-409C-BE32-E72D297353CC}">
              <c16:uniqueId val="{00000003-D023-40EA-9BB3-F07004AB8F51}"/>
            </c:ext>
          </c:extLst>
        </c:ser>
        <c:dLbls>
          <c:showLegendKey val="0"/>
          <c:showVal val="0"/>
          <c:showCatName val="0"/>
          <c:showSerName val="0"/>
          <c:showPercent val="0"/>
          <c:showBubbleSize val="0"/>
        </c:dLbls>
        <c:axId val="221521024"/>
        <c:axId val="221523328"/>
      </c:scatterChart>
      <c:valAx>
        <c:axId val="22152102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2286060396296556"/>
              <c:y val="0.54808109109060754"/>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523328"/>
        <c:crosses val="autoZero"/>
        <c:crossBetween val="midCat"/>
      </c:valAx>
      <c:valAx>
        <c:axId val="22152332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521024"/>
        <c:crosses val="autoZero"/>
        <c:crossBetween val="midCat"/>
      </c:valAx>
      <c:spPr>
        <a:solidFill>
          <a:srgbClr val="CCFFFF"/>
        </a:solidFill>
        <a:ln w="3175">
          <a:solidFill>
            <a:srgbClr val="000000"/>
          </a:solidFill>
          <a:prstDash val="solid"/>
        </a:ln>
      </c:spPr>
    </c:plotArea>
    <c:plotVisOnly val="1"/>
    <c:dispBlanksAs val="gap"/>
    <c:showDLblsOverMax val="0"/>
  </c:chart>
  <c:spPr>
    <a:solidFill>
      <a:srgbClr val="FFFFFF"/>
    </a:solidFill>
    <a:ln w="3175">
      <a:solidFill>
        <a:srgbClr val="FFFFFF"/>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
          <c:y val="9.160305343511449E-2"/>
          <c:w val="0.83088235294117663"/>
          <c:h val="0.66412213740458315"/>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topography'!$E$29:$E$70</c:f>
              <c:numCache>
                <c:formatCode>General</c:formatCode>
                <c:ptCount val="42"/>
              </c:numCache>
            </c:numRef>
          </c:xVal>
          <c:yVal>
            <c:numRef>
              <c:f>'Target Site topography'!$F$29:$F$70</c:f>
              <c:numCache>
                <c:formatCode>General</c:formatCode>
                <c:ptCount val="42"/>
              </c:numCache>
            </c:numRef>
          </c:yVal>
          <c:smooth val="1"/>
          <c:extLst>
            <c:ext xmlns:c16="http://schemas.microsoft.com/office/drawing/2014/chart" uri="{C3380CC4-5D6E-409C-BE32-E72D297353CC}">
              <c16:uniqueId val="{00000000-BBE9-449E-A070-9DA8FACB4486}"/>
            </c:ext>
          </c:extLst>
        </c:ser>
        <c:ser>
          <c:idx val="1"/>
          <c:order val="1"/>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1-BBE9-449E-A070-9DA8FACB4486}"/>
            </c:ext>
          </c:extLst>
        </c:ser>
        <c:ser>
          <c:idx val="2"/>
          <c:order val="2"/>
          <c:spPr>
            <a:ln w="12700">
              <a:solidFill>
                <a:srgbClr val="000000"/>
              </a:solidFill>
              <a:prstDash val="sysDash"/>
            </a:ln>
          </c:spPr>
          <c:marker>
            <c:symbol val="none"/>
          </c:marker>
          <c:xVal>
            <c:numRef>
              <c:f>'Target Site topography'!$E$100:$E$160</c:f>
              <c:numCache>
                <c:formatCode>0.0</c:formatCode>
                <c:ptCount val="61"/>
              </c:numCache>
            </c:numRef>
          </c:xVal>
          <c:yVal>
            <c:numRef>
              <c:f>'Target Site topography'!$F$100:$F$160</c:f>
              <c:numCache>
                <c:formatCode>0.00</c:formatCode>
                <c:ptCount val="61"/>
              </c:numCache>
            </c:numRef>
          </c:yVal>
          <c:smooth val="1"/>
          <c:extLst>
            <c:ext xmlns:c16="http://schemas.microsoft.com/office/drawing/2014/chart" uri="{C3380CC4-5D6E-409C-BE32-E72D297353CC}">
              <c16:uniqueId val="{00000002-BBE9-449E-A070-9DA8FACB4486}"/>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topography'!$C$182</c:f>
              <c:numCache>
                <c:formatCode>General</c:formatCode>
                <c:ptCount val="1"/>
                <c:pt idx="0">
                  <c:v>0</c:v>
                </c:pt>
              </c:numCache>
            </c:numRef>
          </c:xVal>
          <c:yVal>
            <c:numRef>
              <c:f>'Target Site topography'!$D$182</c:f>
              <c:numCache>
                <c:formatCode>General</c:formatCode>
                <c:ptCount val="1"/>
                <c:pt idx="0">
                  <c:v>0</c:v>
                </c:pt>
              </c:numCache>
            </c:numRef>
          </c:yVal>
          <c:smooth val="1"/>
          <c:extLst>
            <c:ext xmlns:c16="http://schemas.microsoft.com/office/drawing/2014/chart" uri="{C3380CC4-5D6E-409C-BE32-E72D297353CC}">
              <c16:uniqueId val="{00000003-BBE9-449E-A070-9DA8FACB4486}"/>
            </c:ext>
          </c:extLst>
        </c:ser>
        <c:dLbls>
          <c:showLegendKey val="0"/>
          <c:showVal val="0"/>
          <c:showCatName val="0"/>
          <c:showSerName val="0"/>
          <c:showPercent val="0"/>
          <c:showBubbleSize val="0"/>
        </c:dLbls>
        <c:axId val="221576192"/>
        <c:axId val="221578752"/>
      </c:scatterChart>
      <c:valAx>
        <c:axId val="22157619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00" b="1" i="1" u="none" strike="noStrike" baseline="0">
                    <a:solidFill>
                      <a:srgbClr val="3366FF"/>
                    </a:solidFill>
                    <a:latin typeface="Arial"/>
                    <a:cs typeface="Arial"/>
                  </a:rPr>
                  <a:t>x</a:t>
                </a:r>
                <a:r>
                  <a:rPr lang="en-US" sz="900" b="1" i="0" u="none" strike="noStrike" baseline="-25000">
                    <a:solidFill>
                      <a:srgbClr val="3366FF"/>
                    </a:solidFill>
                    <a:latin typeface="Arial"/>
                    <a:cs typeface="Arial"/>
                  </a:rPr>
                  <a:t>CD</a:t>
                </a:r>
              </a:p>
            </c:rich>
          </c:tx>
          <c:layout>
            <c:manualLayout>
              <c:xMode val="edge"/>
              <c:yMode val="edge"/>
              <c:x val="0.8424100663887607"/>
              <c:y val="0.58084029572639251"/>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578752"/>
        <c:crosses val="autoZero"/>
        <c:crossBetween val="midCat"/>
      </c:valAx>
      <c:valAx>
        <c:axId val="221578752"/>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576192"/>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99454510281692"/>
          <c:y val="0.18534492510824541"/>
          <c:w val="0.83333477013327462"/>
          <c:h val="0.52155199856041135"/>
        </c:manualLayout>
      </c:layout>
      <c:scatterChart>
        <c:scatterStyle val="smoothMarker"/>
        <c:varyColors val="0"/>
        <c:ser>
          <c:idx val="2"/>
          <c:order val="0"/>
          <c:spPr>
            <a:ln w="12700">
              <a:solidFill>
                <a:srgbClr val="000000"/>
              </a:solidFill>
              <a:prstDash val="solid"/>
            </a:ln>
          </c:spPr>
          <c:marker>
            <c:symbol val="square"/>
            <c:size val="3"/>
            <c:spPr>
              <a:noFill/>
              <a:ln>
                <a:solidFill>
                  <a:srgbClr val="000000"/>
                </a:solidFill>
                <a:prstDash val="solid"/>
              </a:ln>
            </c:spPr>
          </c:marker>
          <c:xVal>
            <c:numRef>
              <c:f>'Target Site topography'!$M$29:$M$74</c:f>
              <c:numCache>
                <c:formatCode>General</c:formatCode>
                <c:ptCount val="46"/>
              </c:numCache>
            </c:numRef>
          </c:xVal>
          <c:yVal>
            <c:numRef>
              <c:f>'Target Site topography'!$N$29:$N$74</c:f>
              <c:numCache>
                <c:formatCode>General</c:formatCode>
                <c:ptCount val="46"/>
              </c:numCache>
            </c:numRef>
          </c:yVal>
          <c:smooth val="1"/>
          <c:extLst>
            <c:ext xmlns:c16="http://schemas.microsoft.com/office/drawing/2014/chart" uri="{C3380CC4-5D6E-409C-BE32-E72D297353CC}">
              <c16:uniqueId val="{00000000-1421-4D04-AB30-C06182197EA7}"/>
            </c:ext>
          </c:extLst>
        </c:ser>
        <c:ser>
          <c:idx val="0"/>
          <c:order val="1"/>
          <c:spPr>
            <a:ln w="12700">
              <a:solidFill>
                <a:srgbClr val="000000"/>
              </a:solidFill>
              <a:prstDash val="solid"/>
            </a:ln>
          </c:spPr>
          <c:marker>
            <c:symbol val="circle"/>
            <c:size val="3"/>
            <c:spPr>
              <a:noFill/>
              <a:ln w="9525">
                <a:noFill/>
              </a:ln>
            </c:spPr>
          </c:marker>
          <c:xVal>
            <c:numRef>
              <c:f>'Target Site topography'!$M$29:$M$74</c:f>
              <c:numCache>
                <c:formatCode>General</c:formatCode>
                <c:ptCount val="46"/>
              </c:numCache>
            </c:numRef>
          </c:xVal>
          <c:yVal>
            <c:numRef>
              <c:f>'Target Site topography'!$N$29:$N$74</c:f>
              <c:numCache>
                <c:formatCode>General</c:formatCode>
                <c:ptCount val="46"/>
              </c:numCache>
            </c:numRef>
          </c:yVal>
          <c:smooth val="1"/>
          <c:extLst>
            <c:ext xmlns:c16="http://schemas.microsoft.com/office/drawing/2014/chart" uri="{C3380CC4-5D6E-409C-BE32-E72D297353CC}">
              <c16:uniqueId val="{00000001-1421-4D04-AB30-C06182197EA7}"/>
            </c:ext>
          </c:extLst>
        </c:ser>
        <c:ser>
          <c:idx val="4"/>
          <c:order val="2"/>
          <c:spPr>
            <a:ln w="12700">
              <a:solidFill>
                <a:srgbClr val="000000"/>
              </a:solidFill>
              <a:prstDash val="sysDash"/>
            </a:ln>
          </c:spPr>
          <c:marker>
            <c:symbol val="none"/>
          </c:marker>
          <c:xVal>
            <c:numRef>
              <c:f>'Target Site topography'!$M$100:$M$160</c:f>
              <c:numCache>
                <c:formatCode>General</c:formatCode>
                <c:ptCount val="61"/>
              </c:numCache>
            </c:numRef>
          </c:xVal>
          <c:yVal>
            <c:numRef>
              <c:f>'Target Site topography'!$N$100:$N$160</c:f>
              <c:numCache>
                <c:formatCode>General</c:formatCode>
                <c:ptCount val="61"/>
              </c:numCache>
            </c:numRef>
          </c:yVal>
          <c:smooth val="1"/>
          <c:extLst>
            <c:ext xmlns:c16="http://schemas.microsoft.com/office/drawing/2014/chart" uri="{C3380CC4-5D6E-409C-BE32-E72D297353CC}">
              <c16:uniqueId val="{00000002-1421-4D04-AB30-C06182197EA7}"/>
            </c:ext>
          </c:extLst>
        </c:ser>
        <c:ser>
          <c:idx val="1"/>
          <c:order val="3"/>
          <c:spPr>
            <a:ln w="12700">
              <a:solidFill>
                <a:srgbClr val="FF00FF"/>
              </a:solidFill>
              <a:prstDash val="solid"/>
            </a:ln>
          </c:spPr>
          <c:marker>
            <c:symbol val="x"/>
            <c:size val="7"/>
            <c:spPr>
              <a:noFill/>
              <a:ln>
                <a:solidFill>
                  <a:srgbClr val="000000"/>
                </a:solidFill>
                <a:prstDash val="solid"/>
              </a:ln>
            </c:spPr>
          </c:marker>
          <c:xVal>
            <c:numRef>
              <c:f>'Target Site topography'!$K$182</c:f>
              <c:numCache>
                <c:formatCode>General</c:formatCode>
                <c:ptCount val="1"/>
                <c:pt idx="0">
                  <c:v>0</c:v>
                </c:pt>
              </c:numCache>
            </c:numRef>
          </c:xVal>
          <c:yVal>
            <c:numRef>
              <c:f>'Target Site topography'!$L$182</c:f>
              <c:numCache>
                <c:formatCode>General</c:formatCode>
                <c:ptCount val="1"/>
                <c:pt idx="0">
                  <c:v>0</c:v>
                </c:pt>
              </c:numCache>
            </c:numRef>
          </c:yVal>
          <c:smooth val="1"/>
          <c:extLst>
            <c:ext xmlns:c16="http://schemas.microsoft.com/office/drawing/2014/chart" uri="{C3380CC4-5D6E-409C-BE32-E72D297353CC}">
              <c16:uniqueId val="{00000003-1421-4D04-AB30-C06182197EA7}"/>
            </c:ext>
          </c:extLst>
        </c:ser>
        <c:dLbls>
          <c:showLegendKey val="0"/>
          <c:showVal val="0"/>
          <c:showCatName val="0"/>
          <c:showSerName val="0"/>
          <c:showPercent val="0"/>
          <c:showBubbleSize val="0"/>
        </c:dLbls>
        <c:axId val="221624192"/>
        <c:axId val="221630848"/>
      </c:scatterChart>
      <c:valAx>
        <c:axId val="22162419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745901327551698"/>
              <c:y val="0.53879381099462065"/>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630848"/>
        <c:crosses val="autoZero"/>
        <c:crossBetween val="midCat"/>
      </c:valAx>
      <c:valAx>
        <c:axId val="22163084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62419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paperSize="9" orientation="landscape" horizontalDpi="300" verticalDpi="300"/>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4082397003738"/>
          <c:y val="8.3333333333333343E-2"/>
          <c:w val="0.82771535580524347"/>
          <c:h val="0.67424242424242464"/>
        </c:manualLayout>
      </c:layout>
      <c:scatterChart>
        <c:scatterStyle val="smoothMarker"/>
        <c:varyColors val="0"/>
        <c:ser>
          <c:idx val="1"/>
          <c:order val="0"/>
          <c:spPr>
            <a:ln w="12700">
              <a:solidFill>
                <a:srgbClr val="000000"/>
              </a:solidFill>
              <a:prstDash val="solid"/>
            </a:ln>
          </c:spPr>
          <c:marker>
            <c:symbol val="circle"/>
            <c:size val="3"/>
            <c:spPr>
              <a:noFill/>
              <a:ln>
                <a:solidFill>
                  <a:srgbClr val="000000"/>
                </a:solidFill>
                <a:prstDash val="solid"/>
              </a:ln>
            </c:spPr>
          </c:marker>
          <c:xVal>
            <c:numRef>
              <c:f>'Target Site topography'!$K$29:$K$74</c:f>
              <c:numCache>
                <c:formatCode>General</c:formatCode>
                <c:ptCount val="46"/>
              </c:numCache>
            </c:numRef>
          </c:xVal>
          <c:yVal>
            <c:numRef>
              <c:f>'Target Site topography'!$L$29:$L$74</c:f>
              <c:numCache>
                <c:formatCode>General</c:formatCode>
                <c:ptCount val="46"/>
              </c:numCache>
            </c:numRef>
          </c:yVal>
          <c:smooth val="1"/>
          <c:extLst>
            <c:ext xmlns:c16="http://schemas.microsoft.com/office/drawing/2014/chart" uri="{C3380CC4-5D6E-409C-BE32-E72D297353CC}">
              <c16:uniqueId val="{00000000-5172-4EBD-80F5-81D64908CFBE}"/>
            </c:ext>
          </c:extLst>
        </c:ser>
        <c:ser>
          <c:idx val="0"/>
          <c:order val="1"/>
          <c:spPr>
            <a:ln w="12700">
              <a:solidFill>
                <a:srgbClr val="000000"/>
              </a:solidFill>
              <a:prstDash val="sysDash"/>
            </a:ln>
          </c:spPr>
          <c:marker>
            <c:symbol val="none"/>
          </c:marker>
          <c:xVal>
            <c:numRef>
              <c:f>'Target Site topography'!$K$100:$K$160</c:f>
              <c:numCache>
                <c:formatCode>General</c:formatCode>
                <c:ptCount val="61"/>
              </c:numCache>
            </c:numRef>
          </c:xVal>
          <c:yVal>
            <c:numRef>
              <c:f>'Target Site topography'!$L$100:$L$160</c:f>
              <c:numCache>
                <c:formatCode>General</c:formatCode>
                <c:ptCount val="61"/>
              </c:numCache>
            </c:numRef>
          </c:yVal>
          <c:smooth val="0"/>
          <c:extLst>
            <c:ext xmlns:c16="http://schemas.microsoft.com/office/drawing/2014/chart" uri="{C3380CC4-5D6E-409C-BE32-E72D297353CC}">
              <c16:uniqueId val="{00000001-5172-4EBD-80F5-81D64908CFBE}"/>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topography'!$K$181</c:f>
              <c:numCache>
                <c:formatCode>General</c:formatCode>
                <c:ptCount val="1"/>
                <c:pt idx="0">
                  <c:v>0</c:v>
                </c:pt>
              </c:numCache>
            </c:numRef>
          </c:xVal>
          <c:yVal>
            <c:numRef>
              <c:f>'Target Site topography'!$L$181</c:f>
              <c:numCache>
                <c:formatCode>General</c:formatCode>
                <c:ptCount val="1"/>
                <c:pt idx="0">
                  <c:v>0</c:v>
                </c:pt>
              </c:numCache>
            </c:numRef>
          </c:yVal>
          <c:smooth val="1"/>
          <c:extLst>
            <c:ext xmlns:c16="http://schemas.microsoft.com/office/drawing/2014/chart" uri="{C3380CC4-5D6E-409C-BE32-E72D297353CC}">
              <c16:uniqueId val="{00000002-5172-4EBD-80F5-81D64908CFBE}"/>
            </c:ext>
          </c:extLst>
        </c:ser>
        <c:dLbls>
          <c:showLegendKey val="0"/>
          <c:showVal val="0"/>
          <c:showCatName val="0"/>
          <c:showSerName val="0"/>
          <c:showPercent val="0"/>
          <c:showBubbleSize val="0"/>
        </c:dLbls>
        <c:axId val="221678208"/>
        <c:axId val="221680768"/>
      </c:scatterChart>
      <c:valAx>
        <c:axId val="22167820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5088049387085063"/>
              <c:y val="0.56805137994114352"/>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680768"/>
        <c:crosses val="autoZero"/>
        <c:crossBetween val="midCat"/>
      </c:valAx>
      <c:valAx>
        <c:axId val="22168076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67820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99454510281692"/>
          <c:y val="0.19396561929932651"/>
          <c:w val="0.83333477013327462"/>
          <c:h val="0.48275887470054701"/>
        </c:manualLayout>
      </c:layout>
      <c:scatterChart>
        <c:scatterStyle val="smoothMarker"/>
        <c:varyColors val="0"/>
        <c:ser>
          <c:idx val="0"/>
          <c:order val="0"/>
          <c:spPr>
            <a:ln w="12700">
              <a:solidFill>
                <a:srgbClr val="000000"/>
              </a:solidFill>
              <a:prstDash val="sysDash"/>
            </a:ln>
          </c:spPr>
          <c:marker>
            <c:symbol val="none"/>
          </c:marker>
          <c:xVal>
            <c:numRef>
              <c:f>'Target Site topography'!$O$100:$O$160</c:f>
              <c:numCache>
                <c:formatCode>General</c:formatCode>
                <c:ptCount val="61"/>
              </c:numCache>
            </c:numRef>
          </c:xVal>
          <c:yVal>
            <c:numRef>
              <c:f>'Target Site topography'!$P$100:$P$160</c:f>
              <c:numCache>
                <c:formatCode>General</c:formatCode>
                <c:ptCount val="61"/>
              </c:numCache>
            </c:numRef>
          </c:yVal>
          <c:smooth val="1"/>
          <c:extLst>
            <c:ext xmlns:c16="http://schemas.microsoft.com/office/drawing/2014/chart" uri="{C3380CC4-5D6E-409C-BE32-E72D297353CC}">
              <c16:uniqueId val="{00000000-5572-4332-873A-C2A6EABB161B}"/>
            </c:ext>
          </c:extLst>
        </c:ser>
        <c:ser>
          <c:idx val="1"/>
          <c:order val="1"/>
          <c:spPr>
            <a:ln w="12700">
              <a:solidFill>
                <a:srgbClr val="000000"/>
              </a:solidFill>
              <a:prstDash val="solid"/>
            </a:ln>
          </c:spPr>
          <c:marker>
            <c:symbol val="circle"/>
            <c:size val="3"/>
            <c:spPr>
              <a:noFill/>
              <a:ln>
                <a:solidFill>
                  <a:srgbClr val="000000"/>
                </a:solidFill>
                <a:prstDash val="solid"/>
              </a:ln>
            </c:spPr>
          </c:marker>
          <c:xVal>
            <c:numRef>
              <c:f>'Target Site topography'!$O$29:$O$74</c:f>
              <c:numCache>
                <c:formatCode>General</c:formatCode>
                <c:ptCount val="46"/>
              </c:numCache>
            </c:numRef>
          </c:xVal>
          <c:yVal>
            <c:numRef>
              <c:f>'Target Site topography'!$P$29:$P$74</c:f>
              <c:numCache>
                <c:formatCode>General</c:formatCode>
                <c:ptCount val="46"/>
              </c:numCache>
            </c:numRef>
          </c:yVal>
          <c:smooth val="1"/>
          <c:extLst>
            <c:ext xmlns:c16="http://schemas.microsoft.com/office/drawing/2014/chart" uri="{C3380CC4-5D6E-409C-BE32-E72D297353CC}">
              <c16:uniqueId val="{00000001-5572-4332-873A-C2A6EABB161B}"/>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topography'!$O$181</c:f>
              <c:numCache>
                <c:formatCode>General</c:formatCode>
                <c:ptCount val="1"/>
                <c:pt idx="0">
                  <c:v>0</c:v>
                </c:pt>
              </c:numCache>
            </c:numRef>
          </c:xVal>
          <c:yVal>
            <c:numRef>
              <c:f>'Target Site topography'!$P$181</c:f>
              <c:numCache>
                <c:formatCode>General</c:formatCode>
                <c:ptCount val="1"/>
                <c:pt idx="0">
                  <c:v>0</c:v>
                </c:pt>
              </c:numCache>
            </c:numRef>
          </c:yVal>
          <c:smooth val="1"/>
          <c:extLst>
            <c:ext xmlns:c16="http://schemas.microsoft.com/office/drawing/2014/chart" uri="{C3380CC4-5D6E-409C-BE32-E72D297353CC}">
              <c16:uniqueId val="{00000002-5572-4332-873A-C2A6EABB161B}"/>
            </c:ext>
          </c:extLst>
        </c:ser>
        <c:dLbls>
          <c:showLegendKey val="0"/>
          <c:showVal val="0"/>
          <c:showCatName val="0"/>
          <c:showSerName val="0"/>
          <c:showPercent val="0"/>
          <c:showBubbleSize val="0"/>
        </c:dLbls>
        <c:axId val="221798400"/>
        <c:axId val="221800704"/>
      </c:scatterChart>
      <c:valAx>
        <c:axId val="22179840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745901327551698"/>
              <c:y val="0.52586186395208889"/>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800704"/>
        <c:crosses val="autoZero"/>
        <c:crossBetween val="midCat"/>
      </c:valAx>
      <c:valAx>
        <c:axId val="221800704"/>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79840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54212454212471"/>
          <c:y val="9.8484848484848786E-2"/>
          <c:w val="0.82417582417582591"/>
          <c:h val="0.65909090909090962"/>
        </c:manualLayout>
      </c:layout>
      <c:scatterChart>
        <c:scatterStyle val="smoothMarker"/>
        <c:varyColors val="0"/>
        <c:ser>
          <c:idx val="1"/>
          <c:order val="0"/>
          <c:spPr>
            <a:ln w="12700">
              <a:solidFill>
                <a:srgbClr val="000000"/>
              </a:solidFill>
              <a:prstDash val="solid"/>
            </a:ln>
          </c:spPr>
          <c:marker>
            <c:symbol val="circle"/>
            <c:size val="3"/>
            <c:spPr>
              <a:noFill/>
              <a:ln>
                <a:solidFill>
                  <a:srgbClr val="000000"/>
                </a:solidFill>
                <a:prstDash val="solid"/>
              </a:ln>
            </c:spPr>
          </c:marker>
          <c:xVal>
            <c:numRef>
              <c:f>'Target Site topography'!$Q$29:$Q$74</c:f>
              <c:numCache>
                <c:formatCode>General</c:formatCode>
                <c:ptCount val="46"/>
              </c:numCache>
            </c:numRef>
          </c:xVal>
          <c:yVal>
            <c:numRef>
              <c:f>'Target Site topography'!$R$29:$R$74</c:f>
              <c:numCache>
                <c:formatCode>General</c:formatCode>
                <c:ptCount val="46"/>
              </c:numCache>
            </c:numRef>
          </c:yVal>
          <c:smooth val="1"/>
          <c:extLst>
            <c:ext xmlns:c16="http://schemas.microsoft.com/office/drawing/2014/chart" uri="{C3380CC4-5D6E-409C-BE32-E72D297353CC}">
              <c16:uniqueId val="{00000000-76C5-45DA-ACF0-5AC468AD2B5E}"/>
            </c:ext>
          </c:extLst>
        </c:ser>
        <c:ser>
          <c:idx val="0"/>
          <c:order val="1"/>
          <c:spPr>
            <a:ln w="12700">
              <a:solidFill>
                <a:srgbClr val="000000"/>
              </a:solidFill>
              <a:prstDash val="sysDash"/>
            </a:ln>
          </c:spPr>
          <c:marker>
            <c:symbol val="none"/>
          </c:marker>
          <c:xVal>
            <c:numRef>
              <c:f>'Target Site topography'!$Q$100:$Q$160</c:f>
              <c:numCache>
                <c:formatCode>General</c:formatCode>
                <c:ptCount val="61"/>
              </c:numCache>
            </c:numRef>
          </c:xVal>
          <c:yVal>
            <c:numRef>
              <c:f>'Target Site topography'!$R$100:$R$160</c:f>
              <c:numCache>
                <c:formatCode>General</c:formatCode>
                <c:ptCount val="61"/>
              </c:numCache>
            </c:numRef>
          </c:yVal>
          <c:smooth val="1"/>
          <c:extLst>
            <c:ext xmlns:c16="http://schemas.microsoft.com/office/drawing/2014/chart" uri="{C3380CC4-5D6E-409C-BE32-E72D297353CC}">
              <c16:uniqueId val="{00000001-76C5-45DA-ACF0-5AC468AD2B5E}"/>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topography'!$O$182</c:f>
              <c:numCache>
                <c:formatCode>General</c:formatCode>
                <c:ptCount val="1"/>
                <c:pt idx="0">
                  <c:v>0</c:v>
                </c:pt>
              </c:numCache>
            </c:numRef>
          </c:xVal>
          <c:yVal>
            <c:numRef>
              <c:f>'Target Site topography'!$P$182</c:f>
              <c:numCache>
                <c:formatCode>General</c:formatCode>
                <c:ptCount val="1"/>
                <c:pt idx="0">
                  <c:v>0</c:v>
                </c:pt>
              </c:numCache>
            </c:numRef>
          </c:yVal>
          <c:smooth val="1"/>
          <c:extLst>
            <c:ext xmlns:c16="http://schemas.microsoft.com/office/drawing/2014/chart" uri="{C3380CC4-5D6E-409C-BE32-E72D297353CC}">
              <c16:uniqueId val="{00000002-76C5-45DA-ACF0-5AC468AD2B5E}"/>
            </c:ext>
          </c:extLst>
        </c:ser>
        <c:dLbls>
          <c:showLegendKey val="0"/>
          <c:showVal val="0"/>
          <c:showCatName val="0"/>
          <c:showSerName val="0"/>
          <c:showPercent val="0"/>
          <c:showBubbleSize val="0"/>
        </c:dLbls>
        <c:axId val="221856512"/>
        <c:axId val="221858816"/>
      </c:scatterChart>
      <c:valAx>
        <c:axId val="22185651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900" b="1" i="1" u="none" strike="noStrike" baseline="0">
                    <a:solidFill>
                      <a:srgbClr val="3366FF"/>
                    </a:solidFill>
                    <a:latin typeface="Arial"/>
                    <a:cs typeface="Arial"/>
                  </a:rPr>
                  <a:t>x</a:t>
                </a:r>
                <a:r>
                  <a:rPr lang="en-US" sz="1050" b="1" i="0" u="none" strike="noStrike" baseline="-25000">
                    <a:solidFill>
                      <a:srgbClr val="3366FF"/>
                    </a:solidFill>
                    <a:latin typeface="Arial"/>
                    <a:cs typeface="Arial"/>
                  </a:rPr>
                  <a:t>CD</a:t>
                </a:r>
              </a:p>
            </c:rich>
          </c:tx>
          <c:layout>
            <c:manualLayout>
              <c:xMode val="edge"/>
              <c:yMode val="edge"/>
              <c:x val="0.83143184025073791"/>
              <c:y val="0.58333651475383597"/>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858816"/>
        <c:crosses val="autoZero"/>
        <c:crossBetween val="midCat"/>
      </c:valAx>
      <c:valAx>
        <c:axId val="221858816"/>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856512"/>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9323574103586"/>
          <c:y val="0.20171705524030897"/>
          <c:w val="0.8309879156976957"/>
          <c:h val="0.46781189406795093"/>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topography'!$U$29:$U$74</c:f>
              <c:numCache>
                <c:formatCode>General</c:formatCode>
                <c:ptCount val="46"/>
              </c:numCache>
            </c:numRef>
          </c:xVal>
          <c:yVal>
            <c:numRef>
              <c:f>'Target Site topography'!$V$29:$V$74</c:f>
              <c:numCache>
                <c:formatCode>General</c:formatCode>
                <c:ptCount val="46"/>
              </c:numCache>
            </c:numRef>
          </c:yVal>
          <c:smooth val="1"/>
          <c:extLst>
            <c:ext xmlns:c16="http://schemas.microsoft.com/office/drawing/2014/chart" uri="{C3380CC4-5D6E-409C-BE32-E72D297353CC}">
              <c16:uniqueId val="{00000000-304C-4A23-9350-AE6AB4DF292A}"/>
            </c:ext>
          </c:extLst>
        </c:ser>
        <c:ser>
          <c:idx val="1"/>
          <c:order val="1"/>
          <c:spPr>
            <a:ln w="12700">
              <a:solidFill>
                <a:srgbClr val="000000"/>
              </a:solidFill>
              <a:prstDash val="sysDash"/>
            </a:ln>
          </c:spPr>
          <c:marker>
            <c:symbol val="none"/>
          </c:marker>
          <c:xVal>
            <c:numRef>
              <c:f>'Target Site topography'!$U$100:$U$160</c:f>
              <c:numCache>
                <c:formatCode>General</c:formatCode>
                <c:ptCount val="61"/>
              </c:numCache>
            </c:numRef>
          </c:xVal>
          <c:yVal>
            <c:numRef>
              <c:f>'Target Site topography'!$V$100:$V$160</c:f>
              <c:numCache>
                <c:formatCode>General</c:formatCode>
                <c:ptCount val="61"/>
              </c:numCache>
            </c:numRef>
          </c:yVal>
          <c:smooth val="1"/>
          <c:extLst>
            <c:ext xmlns:c16="http://schemas.microsoft.com/office/drawing/2014/chart" uri="{C3380CC4-5D6E-409C-BE32-E72D297353CC}">
              <c16:uniqueId val="{00000001-304C-4A23-9350-AE6AB4DF292A}"/>
            </c:ext>
          </c:extLst>
        </c:ser>
        <c:ser>
          <c:idx val="2"/>
          <c:order val="2"/>
          <c:spPr>
            <a:ln w="12700">
              <a:solidFill>
                <a:srgbClr val="000000"/>
              </a:solidFill>
              <a:prstDash val="sysDash"/>
            </a:ln>
          </c:spPr>
          <c:marker>
            <c:symbol val="none"/>
          </c:marker>
          <c:xVal>
            <c:numRef>
              <c:f>'Target Site topography'!$U$100:$U$160</c:f>
              <c:numCache>
                <c:formatCode>General</c:formatCode>
                <c:ptCount val="61"/>
              </c:numCache>
            </c:numRef>
          </c:xVal>
          <c:yVal>
            <c:numRef>
              <c:f>'Target Site topography'!$V$100:$V$160</c:f>
              <c:numCache>
                <c:formatCode>General</c:formatCode>
                <c:ptCount val="61"/>
              </c:numCache>
            </c:numRef>
          </c:yVal>
          <c:smooth val="1"/>
          <c:extLst>
            <c:ext xmlns:c16="http://schemas.microsoft.com/office/drawing/2014/chart" uri="{C3380CC4-5D6E-409C-BE32-E72D297353CC}">
              <c16:uniqueId val="{00000002-304C-4A23-9350-AE6AB4DF292A}"/>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topography'!$S$182</c:f>
              <c:numCache>
                <c:formatCode>General</c:formatCode>
                <c:ptCount val="1"/>
                <c:pt idx="0">
                  <c:v>0</c:v>
                </c:pt>
              </c:numCache>
            </c:numRef>
          </c:xVal>
          <c:yVal>
            <c:numRef>
              <c:f>'Target Site topography'!$T$182</c:f>
              <c:numCache>
                <c:formatCode>General</c:formatCode>
                <c:ptCount val="1"/>
                <c:pt idx="0">
                  <c:v>0</c:v>
                </c:pt>
              </c:numCache>
            </c:numRef>
          </c:yVal>
          <c:smooth val="1"/>
          <c:extLst>
            <c:ext xmlns:c16="http://schemas.microsoft.com/office/drawing/2014/chart" uri="{C3380CC4-5D6E-409C-BE32-E72D297353CC}">
              <c16:uniqueId val="{00000003-304C-4A23-9350-AE6AB4DF292A}"/>
            </c:ext>
          </c:extLst>
        </c:ser>
        <c:dLbls>
          <c:showLegendKey val="0"/>
          <c:showVal val="0"/>
          <c:showCatName val="0"/>
          <c:showSerName val="0"/>
          <c:showPercent val="0"/>
          <c:showBubbleSize val="0"/>
        </c:dLbls>
        <c:axId val="221932160"/>
        <c:axId val="221947008"/>
      </c:scatterChart>
      <c:valAx>
        <c:axId val="22193216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788955532183063"/>
              <c:y val="0.52360589541691904"/>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947008"/>
        <c:crosses val="autoZero"/>
        <c:crossBetween val="midCat"/>
      </c:valAx>
      <c:valAx>
        <c:axId val="22194700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193216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48170101871757"/>
          <c:y val="0.18534492510824541"/>
          <c:w val="0.83569491796209616"/>
          <c:h val="0.55172442822919798"/>
        </c:manualLayout>
      </c:layout>
      <c:scatterChart>
        <c:scatterStyle val="smoothMarker"/>
        <c:varyColors val="0"/>
        <c:ser>
          <c:idx val="2"/>
          <c:order val="0"/>
          <c:spPr>
            <a:ln w="12700">
              <a:solidFill>
                <a:srgbClr val="000000"/>
              </a:solidFill>
              <a:prstDash val="solid"/>
            </a:ln>
          </c:spPr>
          <c:marker>
            <c:symbol val="x"/>
            <c:size val="3"/>
            <c:spPr>
              <a:noFill/>
              <a:ln>
                <a:solidFill>
                  <a:srgbClr val="000000"/>
                </a:solidFill>
                <a:prstDash val="solid"/>
              </a:ln>
            </c:spPr>
          </c:marker>
          <c:xVal>
            <c:numRef>
              <c:f>'Target Site topography'!$S$29:$S$74</c:f>
              <c:numCache>
                <c:formatCode>General</c:formatCode>
                <c:ptCount val="46"/>
              </c:numCache>
            </c:numRef>
          </c:xVal>
          <c:yVal>
            <c:numRef>
              <c:f>'Target Site topography'!$T$29:$T$74</c:f>
              <c:numCache>
                <c:formatCode>General</c:formatCode>
                <c:ptCount val="46"/>
              </c:numCache>
            </c:numRef>
          </c:yVal>
          <c:smooth val="1"/>
          <c:extLst>
            <c:ext xmlns:c16="http://schemas.microsoft.com/office/drawing/2014/chart" uri="{C3380CC4-5D6E-409C-BE32-E72D297353CC}">
              <c16:uniqueId val="{00000000-791A-43AF-8C23-D30DE60FF6E9}"/>
            </c:ext>
          </c:extLst>
        </c:ser>
        <c:ser>
          <c:idx val="0"/>
          <c:order val="1"/>
          <c:spPr>
            <a:ln w="12700">
              <a:solidFill>
                <a:srgbClr val="000000"/>
              </a:solidFill>
              <a:prstDash val="sysDash"/>
            </a:ln>
          </c:spPr>
          <c:marker>
            <c:symbol val="none"/>
          </c:marker>
          <c:xVal>
            <c:numRef>
              <c:f>'Target Site topography'!$S$100:$S$160</c:f>
              <c:numCache>
                <c:formatCode>General</c:formatCode>
                <c:ptCount val="61"/>
              </c:numCache>
            </c:numRef>
          </c:xVal>
          <c:yVal>
            <c:numRef>
              <c:f>'Target Site topography'!$T$100:$T$160</c:f>
              <c:numCache>
                <c:formatCode>General</c:formatCode>
                <c:ptCount val="61"/>
              </c:numCache>
            </c:numRef>
          </c:yVal>
          <c:smooth val="1"/>
          <c:extLst>
            <c:ext xmlns:c16="http://schemas.microsoft.com/office/drawing/2014/chart" uri="{C3380CC4-5D6E-409C-BE32-E72D297353CC}">
              <c16:uniqueId val="{00000001-791A-43AF-8C23-D30DE60FF6E9}"/>
            </c:ext>
          </c:extLst>
        </c:ser>
        <c:ser>
          <c:idx val="1"/>
          <c:order val="2"/>
          <c:spPr>
            <a:ln w="12700">
              <a:solidFill>
                <a:srgbClr val="FF00FF"/>
              </a:solidFill>
              <a:prstDash val="solid"/>
            </a:ln>
          </c:spPr>
          <c:marker>
            <c:symbol val="x"/>
            <c:size val="7"/>
            <c:spPr>
              <a:noFill/>
              <a:ln>
                <a:solidFill>
                  <a:srgbClr val="000000"/>
                </a:solidFill>
                <a:prstDash val="solid"/>
              </a:ln>
            </c:spPr>
          </c:marker>
          <c:xVal>
            <c:numRef>
              <c:f>'Target Site topography'!$S$181</c:f>
              <c:numCache>
                <c:formatCode>General</c:formatCode>
                <c:ptCount val="1"/>
                <c:pt idx="0">
                  <c:v>0</c:v>
                </c:pt>
              </c:numCache>
            </c:numRef>
          </c:xVal>
          <c:yVal>
            <c:numRef>
              <c:f>'Target Site topography'!$T$181</c:f>
              <c:numCache>
                <c:formatCode>General</c:formatCode>
                <c:ptCount val="1"/>
                <c:pt idx="0">
                  <c:v>0</c:v>
                </c:pt>
              </c:numCache>
            </c:numRef>
          </c:yVal>
          <c:smooth val="1"/>
          <c:extLst>
            <c:ext xmlns:c16="http://schemas.microsoft.com/office/drawing/2014/chart" uri="{C3380CC4-5D6E-409C-BE32-E72D297353CC}">
              <c16:uniqueId val="{00000002-791A-43AF-8C23-D30DE60FF6E9}"/>
            </c:ext>
          </c:extLst>
        </c:ser>
        <c:dLbls>
          <c:showLegendKey val="0"/>
          <c:showVal val="0"/>
          <c:showCatName val="0"/>
          <c:showSerName val="0"/>
          <c:showPercent val="0"/>
          <c:showBubbleSize val="0"/>
        </c:dLbls>
        <c:axId val="222043520"/>
        <c:axId val="222054272"/>
      </c:scatterChart>
      <c:valAx>
        <c:axId val="22204352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702613260299064"/>
              <c:y val="0.5560348602833487"/>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054272"/>
        <c:crosses val="autoZero"/>
        <c:crossBetween val="midCat"/>
      </c:valAx>
      <c:valAx>
        <c:axId val="222054272"/>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043520"/>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9323574103586"/>
          <c:y val="0.23444976076555021"/>
          <c:w val="0.82817100750889283"/>
          <c:h val="0.49282296650717827"/>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topography'!$W$29:$W$74</c:f>
              <c:numCache>
                <c:formatCode>General</c:formatCode>
                <c:ptCount val="46"/>
              </c:numCache>
            </c:numRef>
          </c:xVal>
          <c:yVal>
            <c:numRef>
              <c:f>'Target Site topography'!$X$29:$X$74</c:f>
              <c:numCache>
                <c:formatCode>General</c:formatCode>
                <c:ptCount val="46"/>
              </c:numCache>
            </c:numRef>
          </c:yVal>
          <c:smooth val="1"/>
          <c:extLst>
            <c:ext xmlns:c16="http://schemas.microsoft.com/office/drawing/2014/chart" uri="{C3380CC4-5D6E-409C-BE32-E72D297353CC}">
              <c16:uniqueId val="{00000000-D7F1-4448-8743-72C9915546A1}"/>
            </c:ext>
          </c:extLst>
        </c:ser>
        <c:ser>
          <c:idx val="1"/>
          <c:order val="1"/>
          <c:spPr>
            <a:ln w="12700">
              <a:solidFill>
                <a:srgbClr val="000000"/>
              </a:solidFill>
              <a:prstDash val="sysDash"/>
            </a:ln>
          </c:spPr>
          <c:marker>
            <c:symbol val="none"/>
          </c:marker>
          <c:xVal>
            <c:numRef>
              <c:f>'Target Site topography'!$W$100:$W$160</c:f>
              <c:numCache>
                <c:formatCode>General</c:formatCode>
                <c:ptCount val="61"/>
              </c:numCache>
            </c:numRef>
          </c:xVal>
          <c:yVal>
            <c:numRef>
              <c:f>'Target Site topography'!$X$100:$X$160</c:f>
              <c:numCache>
                <c:formatCode>General</c:formatCode>
                <c:ptCount val="61"/>
              </c:numCache>
            </c:numRef>
          </c:yVal>
          <c:smooth val="1"/>
          <c:extLst>
            <c:ext xmlns:c16="http://schemas.microsoft.com/office/drawing/2014/chart" uri="{C3380CC4-5D6E-409C-BE32-E72D297353CC}">
              <c16:uniqueId val="{00000001-D7F1-4448-8743-72C9915546A1}"/>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topography'!$W$181</c:f>
              <c:numCache>
                <c:formatCode>General</c:formatCode>
                <c:ptCount val="1"/>
                <c:pt idx="0">
                  <c:v>0</c:v>
                </c:pt>
              </c:numCache>
            </c:numRef>
          </c:xVal>
          <c:yVal>
            <c:numRef>
              <c:f>'Target Site topography'!$X$181</c:f>
              <c:numCache>
                <c:formatCode>General</c:formatCode>
                <c:ptCount val="1"/>
                <c:pt idx="0">
                  <c:v>0</c:v>
                </c:pt>
              </c:numCache>
            </c:numRef>
          </c:yVal>
          <c:smooth val="1"/>
          <c:extLst>
            <c:ext xmlns:c16="http://schemas.microsoft.com/office/drawing/2014/chart" uri="{C3380CC4-5D6E-409C-BE32-E72D297353CC}">
              <c16:uniqueId val="{00000002-D7F1-4448-8743-72C9915546A1}"/>
            </c:ext>
          </c:extLst>
        </c:ser>
        <c:dLbls>
          <c:showLegendKey val="0"/>
          <c:showVal val="0"/>
          <c:showCatName val="0"/>
          <c:showSerName val="0"/>
          <c:showPercent val="0"/>
          <c:showBubbleSize val="0"/>
        </c:dLbls>
        <c:axId val="222105600"/>
        <c:axId val="222107904"/>
      </c:scatterChart>
      <c:valAx>
        <c:axId val="22210560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788955532183063"/>
              <c:y val="0.57894723282289307"/>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07904"/>
        <c:crosses val="autoZero"/>
        <c:crossBetween val="midCat"/>
      </c:valAx>
      <c:valAx>
        <c:axId val="222107904"/>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05600"/>
        <c:crosses val="autoZero"/>
        <c:crossBetween val="midCat"/>
      </c:valAx>
      <c:spPr>
        <a:solidFill>
          <a:srgbClr val="CC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9323574103586"/>
          <c:y val="0.20600890747946457"/>
          <c:w val="0.82817100750889283"/>
          <c:h val="0.47210374630710528"/>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topography'!$Y$29:$Y$74</c:f>
              <c:numCache>
                <c:formatCode>General</c:formatCode>
                <c:ptCount val="46"/>
              </c:numCache>
            </c:numRef>
          </c:xVal>
          <c:yVal>
            <c:numRef>
              <c:f>'Target Site topography'!$Z$29:$Z$74</c:f>
              <c:numCache>
                <c:formatCode>General</c:formatCode>
                <c:ptCount val="46"/>
              </c:numCache>
            </c:numRef>
          </c:yVal>
          <c:smooth val="1"/>
          <c:extLst>
            <c:ext xmlns:c16="http://schemas.microsoft.com/office/drawing/2014/chart" uri="{C3380CC4-5D6E-409C-BE32-E72D297353CC}">
              <c16:uniqueId val="{00000000-8D84-4F61-B8BB-C9F85E4E11A8}"/>
            </c:ext>
          </c:extLst>
        </c:ser>
        <c:ser>
          <c:idx val="1"/>
          <c:order val="1"/>
          <c:spPr>
            <a:ln w="12700">
              <a:solidFill>
                <a:srgbClr val="000000"/>
              </a:solidFill>
              <a:prstDash val="sysDash"/>
            </a:ln>
          </c:spPr>
          <c:marker>
            <c:symbol val="none"/>
          </c:marker>
          <c:xVal>
            <c:numRef>
              <c:f>'Target Site topography'!$Y$100:$Y$160</c:f>
              <c:numCache>
                <c:formatCode>General</c:formatCode>
                <c:ptCount val="61"/>
              </c:numCache>
            </c:numRef>
          </c:xVal>
          <c:yVal>
            <c:numRef>
              <c:f>'Target Site topography'!$Z$100:$Z$160</c:f>
              <c:numCache>
                <c:formatCode>General</c:formatCode>
                <c:ptCount val="61"/>
              </c:numCache>
            </c:numRef>
          </c:yVal>
          <c:smooth val="1"/>
          <c:extLst>
            <c:ext xmlns:c16="http://schemas.microsoft.com/office/drawing/2014/chart" uri="{C3380CC4-5D6E-409C-BE32-E72D297353CC}">
              <c16:uniqueId val="{00000001-8D84-4F61-B8BB-C9F85E4E11A8}"/>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topography'!$W$182</c:f>
              <c:numCache>
                <c:formatCode>General</c:formatCode>
                <c:ptCount val="1"/>
                <c:pt idx="0">
                  <c:v>0</c:v>
                </c:pt>
              </c:numCache>
            </c:numRef>
          </c:xVal>
          <c:yVal>
            <c:numRef>
              <c:f>'Target Site topography'!$X$182</c:f>
              <c:numCache>
                <c:formatCode>General</c:formatCode>
                <c:ptCount val="1"/>
                <c:pt idx="0">
                  <c:v>0</c:v>
                </c:pt>
              </c:numCache>
            </c:numRef>
          </c:yVal>
          <c:smooth val="1"/>
          <c:extLst>
            <c:ext xmlns:c16="http://schemas.microsoft.com/office/drawing/2014/chart" uri="{C3380CC4-5D6E-409C-BE32-E72D297353CC}">
              <c16:uniqueId val="{00000002-8D84-4F61-B8BB-C9F85E4E11A8}"/>
            </c:ext>
          </c:extLst>
        </c:ser>
        <c:dLbls>
          <c:showLegendKey val="0"/>
          <c:showVal val="0"/>
          <c:showCatName val="0"/>
          <c:showSerName val="0"/>
          <c:showPercent val="0"/>
          <c:showBubbleSize val="0"/>
        </c:dLbls>
        <c:axId val="222130944"/>
        <c:axId val="222133248"/>
      </c:scatterChart>
      <c:valAx>
        <c:axId val="22213094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788955532183063"/>
              <c:y val="0.53218943785872963"/>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33248"/>
        <c:crosses val="autoZero"/>
        <c:crossBetween val="midCat"/>
      </c:valAx>
      <c:valAx>
        <c:axId val="222133248"/>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3094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94396030745287"/>
          <c:y val="0.21888446419693131"/>
          <c:w val="0.81690337475366659"/>
          <c:h val="0.50214671198119376"/>
        </c:manualLayout>
      </c:layout>
      <c:scatterChart>
        <c:scatterStyle val="smoothMarker"/>
        <c:varyColors val="0"/>
        <c:ser>
          <c:idx val="0"/>
          <c:order val="0"/>
          <c:spPr>
            <a:ln w="12700">
              <a:solidFill>
                <a:srgbClr val="000000"/>
              </a:solidFill>
              <a:prstDash val="solid"/>
            </a:ln>
          </c:spPr>
          <c:marker>
            <c:symbol val="circle"/>
            <c:size val="3"/>
            <c:spPr>
              <a:noFill/>
              <a:ln>
                <a:solidFill>
                  <a:srgbClr val="000000"/>
                </a:solidFill>
                <a:prstDash val="solid"/>
              </a:ln>
            </c:spPr>
          </c:marker>
          <c:xVal>
            <c:numRef>
              <c:f>'Target Site topography'!$AA$29:$AA$74</c:f>
              <c:numCache>
                <c:formatCode>General</c:formatCode>
                <c:ptCount val="46"/>
              </c:numCache>
            </c:numRef>
          </c:xVal>
          <c:yVal>
            <c:numRef>
              <c:f>'Target Site topography'!$AB$29:$AB$74</c:f>
              <c:numCache>
                <c:formatCode>General</c:formatCode>
                <c:ptCount val="46"/>
              </c:numCache>
            </c:numRef>
          </c:yVal>
          <c:smooth val="1"/>
          <c:extLst>
            <c:ext xmlns:c16="http://schemas.microsoft.com/office/drawing/2014/chart" uri="{C3380CC4-5D6E-409C-BE32-E72D297353CC}">
              <c16:uniqueId val="{00000000-93A9-4717-8959-3A429E0555F9}"/>
            </c:ext>
          </c:extLst>
        </c:ser>
        <c:ser>
          <c:idx val="1"/>
          <c:order val="1"/>
          <c:spPr>
            <a:ln w="12700">
              <a:solidFill>
                <a:srgbClr val="000000"/>
              </a:solidFill>
              <a:prstDash val="sysDash"/>
            </a:ln>
          </c:spPr>
          <c:marker>
            <c:symbol val="none"/>
          </c:marker>
          <c:xVal>
            <c:numRef>
              <c:f>'Target Site topography'!$AA$100:$AA$160</c:f>
              <c:numCache>
                <c:formatCode>General</c:formatCode>
                <c:ptCount val="61"/>
              </c:numCache>
            </c:numRef>
          </c:xVal>
          <c:yVal>
            <c:numRef>
              <c:f>'Target Site topography'!$AB$100:$AB$160</c:f>
              <c:numCache>
                <c:formatCode>General</c:formatCode>
                <c:ptCount val="61"/>
              </c:numCache>
            </c:numRef>
          </c:yVal>
          <c:smooth val="1"/>
          <c:extLst>
            <c:ext xmlns:c16="http://schemas.microsoft.com/office/drawing/2014/chart" uri="{C3380CC4-5D6E-409C-BE32-E72D297353CC}">
              <c16:uniqueId val="{00000001-93A9-4717-8959-3A429E0555F9}"/>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topography'!$AA$181</c:f>
              <c:numCache>
                <c:formatCode>General</c:formatCode>
                <c:ptCount val="1"/>
                <c:pt idx="0">
                  <c:v>0</c:v>
                </c:pt>
              </c:numCache>
            </c:numRef>
          </c:xVal>
          <c:yVal>
            <c:numRef>
              <c:f>'Target Site topography'!$AB$181</c:f>
              <c:numCache>
                <c:formatCode>General</c:formatCode>
                <c:ptCount val="1"/>
                <c:pt idx="0">
                  <c:v>0</c:v>
                </c:pt>
              </c:numCache>
            </c:numRef>
          </c:yVal>
          <c:smooth val="1"/>
          <c:extLst>
            <c:ext xmlns:c16="http://schemas.microsoft.com/office/drawing/2014/chart" uri="{C3380CC4-5D6E-409C-BE32-E72D297353CC}">
              <c16:uniqueId val="{00000002-93A9-4717-8959-3A429E0555F9}"/>
            </c:ext>
          </c:extLst>
        </c:ser>
        <c:dLbls>
          <c:showLegendKey val="0"/>
          <c:showVal val="0"/>
          <c:showCatName val="0"/>
          <c:showSerName val="0"/>
          <c:showPercent val="0"/>
          <c:showBubbleSize val="0"/>
        </c:dLbls>
        <c:axId val="222176768"/>
        <c:axId val="222183424"/>
      </c:scatterChart>
      <c:valAx>
        <c:axId val="22217676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507272331030825"/>
              <c:y val="0.56223299010700556"/>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83424"/>
        <c:crosses val="autoZero"/>
        <c:crossBetween val="midCat"/>
      </c:valAx>
      <c:valAx>
        <c:axId val="222183424"/>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17676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orientation="landscape" horizontalDpi="300" verticalDpi="300"/>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71481186444733"/>
          <c:y val="0.21702206571770091"/>
          <c:w val="0.81428912230380579"/>
          <c:h val="0.52340615849562977"/>
        </c:manualLayout>
      </c:layout>
      <c:scatterChart>
        <c:scatterStyle val="smoothMarker"/>
        <c:varyColors val="0"/>
        <c:ser>
          <c:idx val="1"/>
          <c:order val="0"/>
          <c:spPr>
            <a:ln w="12700">
              <a:solidFill>
                <a:srgbClr val="000000"/>
              </a:solidFill>
              <a:prstDash val="solid"/>
            </a:ln>
          </c:spPr>
          <c:marker>
            <c:symbol val="circle"/>
            <c:size val="3"/>
            <c:spPr>
              <a:noFill/>
              <a:ln>
                <a:solidFill>
                  <a:srgbClr val="000000"/>
                </a:solidFill>
                <a:prstDash val="solid"/>
              </a:ln>
            </c:spPr>
          </c:marker>
          <c:xVal>
            <c:numRef>
              <c:f>'Target Site topography'!$AC$29:$AC$74</c:f>
              <c:numCache>
                <c:formatCode>General</c:formatCode>
                <c:ptCount val="46"/>
              </c:numCache>
            </c:numRef>
          </c:xVal>
          <c:yVal>
            <c:numRef>
              <c:f>'Target Site topography'!$AD$29:$AD$74</c:f>
              <c:numCache>
                <c:formatCode>General</c:formatCode>
                <c:ptCount val="46"/>
              </c:numCache>
            </c:numRef>
          </c:yVal>
          <c:smooth val="1"/>
          <c:extLst>
            <c:ext xmlns:c16="http://schemas.microsoft.com/office/drawing/2014/chart" uri="{C3380CC4-5D6E-409C-BE32-E72D297353CC}">
              <c16:uniqueId val="{00000000-C77C-43FE-A9F0-1D209A703505}"/>
            </c:ext>
          </c:extLst>
        </c:ser>
        <c:ser>
          <c:idx val="0"/>
          <c:order val="1"/>
          <c:spPr>
            <a:ln w="12700">
              <a:solidFill>
                <a:srgbClr val="000000"/>
              </a:solidFill>
              <a:prstDash val="sysDash"/>
            </a:ln>
          </c:spPr>
          <c:marker>
            <c:symbol val="none"/>
          </c:marker>
          <c:xVal>
            <c:numRef>
              <c:f>'Target Site topography'!$AC$100:$AC$160</c:f>
              <c:numCache>
                <c:formatCode>General</c:formatCode>
                <c:ptCount val="61"/>
              </c:numCache>
            </c:numRef>
          </c:xVal>
          <c:yVal>
            <c:numRef>
              <c:f>'Target Site topography'!$AD$100:$AD$160</c:f>
              <c:numCache>
                <c:formatCode>General</c:formatCode>
                <c:ptCount val="61"/>
              </c:numCache>
            </c:numRef>
          </c:yVal>
          <c:smooth val="1"/>
          <c:extLst>
            <c:ext xmlns:c16="http://schemas.microsoft.com/office/drawing/2014/chart" uri="{C3380CC4-5D6E-409C-BE32-E72D297353CC}">
              <c16:uniqueId val="{00000001-C77C-43FE-A9F0-1D209A703505}"/>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topography'!$AA$182</c:f>
              <c:numCache>
                <c:formatCode>General</c:formatCode>
                <c:ptCount val="1"/>
                <c:pt idx="0">
                  <c:v>0</c:v>
                </c:pt>
              </c:numCache>
            </c:numRef>
          </c:xVal>
          <c:yVal>
            <c:numRef>
              <c:f>'Target Site topography'!$AB$182</c:f>
              <c:numCache>
                <c:formatCode>General</c:formatCode>
                <c:ptCount val="1"/>
                <c:pt idx="0">
                  <c:v>0</c:v>
                </c:pt>
              </c:numCache>
            </c:numRef>
          </c:yVal>
          <c:smooth val="1"/>
          <c:extLst>
            <c:ext xmlns:c16="http://schemas.microsoft.com/office/drawing/2014/chart" uri="{C3380CC4-5D6E-409C-BE32-E72D297353CC}">
              <c16:uniqueId val="{00000002-C77C-43FE-A9F0-1D209A703505}"/>
            </c:ext>
          </c:extLst>
        </c:ser>
        <c:dLbls>
          <c:showLegendKey val="0"/>
          <c:showVal val="0"/>
          <c:showCatName val="0"/>
          <c:showSerName val="0"/>
          <c:showPercent val="0"/>
          <c:showBubbleSize val="0"/>
        </c:dLbls>
        <c:axId val="222227456"/>
        <c:axId val="222299648"/>
      </c:scatterChart>
      <c:valAx>
        <c:axId val="22222745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286041167931114"/>
              <c:y val="0.57021528046699077"/>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299648"/>
        <c:crosses val="autoZero"/>
        <c:crossBetween val="midCat"/>
      </c:valAx>
      <c:valAx>
        <c:axId val="22229964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227456"/>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9588704072202"/>
          <c:y val="0.21794928643456293"/>
          <c:w val="0.81741825292841064"/>
          <c:h val="0.47863372707197943"/>
        </c:manualLayout>
      </c:layout>
      <c:scatterChart>
        <c:scatterStyle val="smoothMarker"/>
        <c:varyColors val="0"/>
        <c:ser>
          <c:idx val="1"/>
          <c:order val="0"/>
          <c:spPr>
            <a:ln w="12700">
              <a:solidFill>
                <a:srgbClr val="000000"/>
              </a:solidFill>
              <a:prstDash val="solid"/>
            </a:ln>
          </c:spPr>
          <c:marker>
            <c:symbol val="circle"/>
            <c:size val="3"/>
            <c:spPr>
              <a:noFill/>
              <a:ln>
                <a:solidFill>
                  <a:srgbClr val="000000"/>
                </a:solidFill>
                <a:prstDash val="solid"/>
              </a:ln>
            </c:spPr>
          </c:marker>
          <c:xVal>
            <c:numRef>
              <c:f>'Target Site topography'!$AE$29:$AE$74</c:f>
              <c:numCache>
                <c:formatCode>General</c:formatCode>
                <c:ptCount val="46"/>
              </c:numCache>
            </c:numRef>
          </c:xVal>
          <c:yVal>
            <c:numRef>
              <c:f>'Target Site topography'!$AF$29:$AF$74</c:f>
              <c:numCache>
                <c:formatCode>General</c:formatCode>
                <c:ptCount val="46"/>
              </c:numCache>
            </c:numRef>
          </c:yVal>
          <c:smooth val="1"/>
          <c:extLst>
            <c:ext xmlns:c16="http://schemas.microsoft.com/office/drawing/2014/chart" uri="{C3380CC4-5D6E-409C-BE32-E72D297353CC}">
              <c16:uniqueId val="{00000000-9FCA-4144-BD84-53925D02A9B1}"/>
            </c:ext>
          </c:extLst>
        </c:ser>
        <c:ser>
          <c:idx val="0"/>
          <c:order val="1"/>
          <c:spPr>
            <a:ln w="12700">
              <a:solidFill>
                <a:srgbClr val="000000"/>
              </a:solidFill>
              <a:prstDash val="sysDash"/>
            </a:ln>
          </c:spPr>
          <c:marker>
            <c:symbol val="none"/>
          </c:marker>
          <c:xVal>
            <c:numRef>
              <c:f>'Target Site topography'!$AE$100:$AE$160</c:f>
              <c:numCache>
                <c:formatCode>General</c:formatCode>
                <c:ptCount val="61"/>
              </c:numCache>
            </c:numRef>
          </c:xVal>
          <c:yVal>
            <c:numRef>
              <c:f>'Target Site topography'!$AF$100:$AF$160</c:f>
              <c:numCache>
                <c:formatCode>General</c:formatCode>
                <c:ptCount val="61"/>
              </c:numCache>
            </c:numRef>
          </c:yVal>
          <c:smooth val="1"/>
          <c:extLst>
            <c:ext xmlns:c16="http://schemas.microsoft.com/office/drawing/2014/chart" uri="{C3380CC4-5D6E-409C-BE32-E72D297353CC}">
              <c16:uniqueId val="{00000001-9FCA-4144-BD84-53925D02A9B1}"/>
            </c:ext>
          </c:extLst>
        </c:ser>
        <c:ser>
          <c:idx val="2"/>
          <c:order val="2"/>
          <c:spPr>
            <a:ln w="12700">
              <a:solidFill>
                <a:srgbClr val="FFFF00"/>
              </a:solidFill>
              <a:prstDash val="solid"/>
            </a:ln>
          </c:spPr>
          <c:marker>
            <c:symbol val="x"/>
            <c:size val="7"/>
            <c:spPr>
              <a:noFill/>
              <a:ln>
                <a:solidFill>
                  <a:srgbClr val="000000"/>
                </a:solidFill>
                <a:prstDash val="solid"/>
              </a:ln>
            </c:spPr>
          </c:marker>
          <c:xVal>
            <c:numRef>
              <c:f>'Target Site topography'!$AE$181</c:f>
              <c:numCache>
                <c:formatCode>General</c:formatCode>
                <c:ptCount val="1"/>
                <c:pt idx="0">
                  <c:v>0</c:v>
                </c:pt>
              </c:numCache>
            </c:numRef>
          </c:xVal>
          <c:yVal>
            <c:numRef>
              <c:f>'Target Site topography'!$AF$181</c:f>
              <c:numCache>
                <c:formatCode>General</c:formatCode>
                <c:ptCount val="1"/>
                <c:pt idx="0">
                  <c:v>0</c:v>
                </c:pt>
              </c:numCache>
            </c:numRef>
          </c:yVal>
          <c:smooth val="1"/>
          <c:extLst>
            <c:ext xmlns:c16="http://schemas.microsoft.com/office/drawing/2014/chart" uri="{C3380CC4-5D6E-409C-BE32-E72D297353CC}">
              <c16:uniqueId val="{00000002-9FCA-4144-BD84-53925D02A9B1}"/>
            </c:ext>
          </c:extLst>
        </c:ser>
        <c:dLbls>
          <c:showLegendKey val="0"/>
          <c:showVal val="0"/>
          <c:showCatName val="0"/>
          <c:showSerName val="0"/>
          <c:showPercent val="0"/>
          <c:showBubbleSize val="0"/>
        </c:dLbls>
        <c:axId val="222343168"/>
        <c:axId val="222345472"/>
      </c:scatterChart>
      <c:valAx>
        <c:axId val="22234316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269906909118608"/>
              <c:y val="0.54701031223556063"/>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345472"/>
        <c:crosses val="autoZero"/>
        <c:crossBetween val="midCat"/>
      </c:valAx>
      <c:valAx>
        <c:axId val="222345472"/>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34316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78688960797818"/>
          <c:y val="0.21702206571770091"/>
          <c:w val="0.82022725036115463"/>
          <c:h val="0.50212948538605251"/>
        </c:manualLayout>
      </c:layout>
      <c:scatterChart>
        <c:scatterStyle val="smoothMarker"/>
        <c:varyColors val="0"/>
        <c:ser>
          <c:idx val="1"/>
          <c:order val="0"/>
          <c:spPr>
            <a:ln w="12700">
              <a:solidFill>
                <a:srgbClr val="000000"/>
              </a:solidFill>
              <a:prstDash val="solid"/>
            </a:ln>
          </c:spPr>
          <c:marker>
            <c:symbol val="none"/>
          </c:marker>
          <c:xVal>
            <c:numRef>
              <c:f>'Target Site topography'!$AG$30:$AG$74</c:f>
              <c:numCache>
                <c:formatCode>General</c:formatCode>
                <c:ptCount val="45"/>
              </c:numCache>
            </c:numRef>
          </c:xVal>
          <c:yVal>
            <c:numRef>
              <c:f>'Target Site topography'!$AH$30:$AH$74</c:f>
              <c:numCache>
                <c:formatCode>General</c:formatCode>
                <c:ptCount val="45"/>
              </c:numCache>
            </c:numRef>
          </c:yVal>
          <c:smooth val="1"/>
          <c:extLst>
            <c:ext xmlns:c16="http://schemas.microsoft.com/office/drawing/2014/chart" uri="{C3380CC4-5D6E-409C-BE32-E72D297353CC}">
              <c16:uniqueId val="{00000000-3309-43F0-8669-1557DA3CD93A}"/>
            </c:ext>
          </c:extLst>
        </c:ser>
        <c:ser>
          <c:idx val="0"/>
          <c:order val="1"/>
          <c:spPr>
            <a:ln w="12700">
              <a:solidFill>
                <a:srgbClr val="000000"/>
              </a:solidFill>
              <a:prstDash val="sysDash"/>
            </a:ln>
          </c:spPr>
          <c:marker>
            <c:symbol val="none"/>
          </c:marker>
          <c:xVal>
            <c:numRef>
              <c:f>'Target Site topography'!$AG$100:$AG$160</c:f>
              <c:numCache>
                <c:formatCode>General</c:formatCode>
                <c:ptCount val="61"/>
              </c:numCache>
            </c:numRef>
          </c:xVal>
          <c:yVal>
            <c:numRef>
              <c:f>'Target Site topography'!$AH$100:$AH$160</c:f>
              <c:numCache>
                <c:formatCode>General</c:formatCode>
                <c:ptCount val="61"/>
              </c:numCache>
            </c:numRef>
          </c:yVal>
          <c:smooth val="1"/>
          <c:extLst>
            <c:ext xmlns:c16="http://schemas.microsoft.com/office/drawing/2014/chart" uri="{C3380CC4-5D6E-409C-BE32-E72D297353CC}">
              <c16:uniqueId val="{00000001-3309-43F0-8669-1557DA3CD93A}"/>
            </c:ext>
          </c:extLst>
        </c:ser>
        <c:ser>
          <c:idx val="2"/>
          <c:order val="2"/>
          <c:spPr>
            <a:ln w="12700">
              <a:solidFill>
                <a:srgbClr val="000000"/>
              </a:solidFill>
              <a:prstDash val="solid"/>
            </a:ln>
          </c:spPr>
          <c:marker>
            <c:symbol val="circle"/>
            <c:size val="3"/>
            <c:spPr>
              <a:noFill/>
              <a:ln>
                <a:solidFill>
                  <a:srgbClr val="000000"/>
                </a:solidFill>
                <a:prstDash val="solid"/>
              </a:ln>
            </c:spPr>
          </c:marker>
          <c:xVal>
            <c:numRef>
              <c:f>'Target Site topography'!$AG$29:$AG$74</c:f>
              <c:numCache>
                <c:formatCode>General</c:formatCode>
                <c:ptCount val="46"/>
              </c:numCache>
            </c:numRef>
          </c:xVal>
          <c:yVal>
            <c:numRef>
              <c:f>'Target Site topography'!$AH$29:$AH$74</c:f>
              <c:numCache>
                <c:formatCode>General</c:formatCode>
                <c:ptCount val="46"/>
              </c:numCache>
            </c:numRef>
          </c:yVal>
          <c:smooth val="1"/>
          <c:extLst>
            <c:ext xmlns:c16="http://schemas.microsoft.com/office/drawing/2014/chart" uri="{C3380CC4-5D6E-409C-BE32-E72D297353CC}">
              <c16:uniqueId val="{00000002-3309-43F0-8669-1557DA3CD93A}"/>
            </c:ext>
          </c:extLst>
        </c:ser>
        <c:ser>
          <c:idx val="3"/>
          <c:order val="3"/>
          <c:spPr>
            <a:ln w="12700">
              <a:solidFill>
                <a:srgbClr val="00FFFF"/>
              </a:solidFill>
              <a:prstDash val="solid"/>
            </a:ln>
          </c:spPr>
          <c:marker>
            <c:symbol val="x"/>
            <c:size val="7"/>
            <c:spPr>
              <a:noFill/>
              <a:ln>
                <a:solidFill>
                  <a:srgbClr val="000000"/>
                </a:solidFill>
                <a:prstDash val="solid"/>
              </a:ln>
            </c:spPr>
          </c:marker>
          <c:xVal>
            <c:numRef>
              <c:f>'Target Site topography'!$AE$182</c:f>
              <c:numCache>
                <c:formatCode>General</c:formatCode>
                <c:ptCount val="1"/>
                <c:pt idx="0">
                  <c:v>0</c:v>
                </c:pt>
              </c:numCache>
            </c:numRef>
          </c:xVal>
          <c:yVal>
            <c:numRef>
              <c:f>'Target Site topography'!$AF$182</c:f>
              <c:numCache>
                <c:formatCode>General</c:formatCode>
                <c:ptCount val="1"/>
                <c:pt idx="0">
                  <c:v>0</c:v>
                </c:pt>
              </c:numCache>
            </c:numRef>
          </c:yVal>
          <c:smooth val="1"/>
          <c:extLst>
            <c:ext xmlns:c16="http://schemas.microsoft.com/office/drawing/2014/chart" uri="{C3380CC4-5D6E-409C-BE32-E72D297353CC}">
              <c16:uniqueId val="{00000003-3309-43F0-8669-1557DA3CD93A}"/>
            </c:ext>
          </c:extLst>
        </c:ser>
        <c:dLbls>
          <c:showLegendKey val="0"/>
          <c:showVal val="0"/>
          <c:showCatName val="0"/>
          <c:showSerName val="0"/>
          <c:showPercent val="0"/>
          <c:showBubbleSize val="0"/>
        </c:dLbls>
        <c:axId val="222456448"/>
        <c:axId val="222459008"/>
      </c:scatterChart>
      <c:valAx>
        <c:axId val="22245644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550803451726808"/>
              <c:y val="0.55744876152775957"/>
            </c:manualLayout>
          </c:layout>
          <c:overlay val="0"/>
          <c:spPr>
            <a:noFill/>
            <a:ln w="25400">
              <a:noFill/>
            </a:ln>
          </c:spPr>
        </c:title>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459008"/>
        <c:crosses val="autoZero"/>
        <c:crossBetween val="midCat"/>
      </c:valAx>
      <c:valAx>
        <c:axId val="222459008"/>
        <c:scaling>
          <c:orientation val="minMax"/>
        </c:scaling>
        <c:delete val="0"/>
        <c:axPos val="l"/>
        <c:numFmt formatCode="General" sourceLinked="1"/>
        <c:majorTickMark val="in"/>
        <c:minorTickMark val="none"/>
        <c:tickLblPos val="nextTo"/>
        <c:spPr>
          <a:ln w="3175">
            <a:solidFill>
              <a:srgbClr val="3366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45644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64602166214311"/>
          <c:y val="0.21982770187257045"/>
          <c:w val="0.81586486906129896"/>
          <c:h val="0.48275887470054701"/>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topography'!$AI$29:$AI$74</c:f>
              <c:numCache>
                <c:formatCode>General</c:formatCode>
                <c:ptCount val="46"/>
              </c:numCache>
            </c:numRef>
          </c:xVal>
          <c:yVal>
            <c:numRef>
              <c:f>'Target Site topography'!$AJ$29:$AJ$74</c:f>
              <c:numCache>
                <c:formatCode>General</c:formatCode>
                <c:ptCount val="46"/>
              </c:numCache>
            </c:numRef>
          </c:yVal>
          <c:smooth val="1"/>
          <c:extLst>
            <c:ext xmlns:c16="http://schemas.microsoft.com/office/drawing/2014/chart" uri="{C3380CC4-5D6E-409C-BE32-E72D297353CC}">
              <c16:uniqueId val="{00000000-334D-4DBA-826E-541D47530B9F}"/>
            </c:ext>
          </c:extLst>
        </c:ser>
        <c:ser>
          <c:idx val="0"/>
          <c:order val="1"/>
          <c:spPr>
            <a:ln w="12700">
              <a:solidFill>
                <a:srgbClr val="000000"/>
              </a:solidFill>
              <a:prstDash val="sysDash"/>
            </a:ln>
          </c:spPr>
          <c:marker>
            <c:symbol val="none"/>
          </c:marker>
          <c:xVal>
            <c:numRef>
              <c:f>'Target Site topography'!$AI$100:$AI$160</c:f>
              <c:numCache>
                <c:formatCode>General</c:formatCode>
                <c:ptCount val="61"/>
              </c:numCache>
            </c:numRef>
          </c:xVal>
          <c:yVal>
            <c:numRef>
              <c:f>'Target Site topography'!$AJ$100:$AJ$160</c:f>
              <c:numCache>
                <c:formatCode>General</c:formatCode>
                <c:ptCount val="61"/>
              </c:numCache>
            </c:numRef>
          </c:yVal>
          <c:smooth val="1"/>
          <c:extLst>
            <c:ext xmlns:c16="http://schemas.microsoft.com/office/drawing/2014/chart" uri="{C3380CC4-5D6E-409C-BE32-E72D297353CC}">
              <c16:uniqueId val="{00000001-334D-4DBA-826E-541D47530B9F}"/>
            </c:ext>
          </c:extLst>
        </c:ser>
        <c:ser>
          <c:idx val="1"/>
          <c:order val="2"/>
          <c:spPr>
            <a:ln w="12700">
              <a:solidFill>
                <a:srgbClr val="FF00FF"/>
              </a:solidFill>
              <a:prstDash val="solid"/>
            </a:ln>
          </c:spPr>
          <c:marker>
            <c:symbol val="x"/>
            <c:size val="7"/>
            <c:spPr>
              <a:noFill/>
              <a:ln>
                <a:solidFill>
                  <a:srgbClr val="000000"/>
                </a:solidFill>
                <a:prstDash val="solid"/>
              </a:ln>
            </c:spPr>
          </c:marker>
          <c:xVal>
            <c:numRef>
              <c:f>'Target Site topography'!$AI$181</c:f>
              <c:numCache>
                <c:formatCode>General</c:formatCode>
                <c:ptCount val="1"/>
                <c:pt idx="0">
                  <c:v>0</c:v>
                </c:pt>
              </c:numCache>
            </c:numRef>
          </c:xVal>
          <c:yVal>
            <c:numRef>
              <c:f>'Target Site topography'!$AJ$181</c:f>
              <c:numCache>
                <c:formatCode>General</c:formatCode>
                <c:ptCount val="1"/>
                <c:pt idx="0">
                  <c:v>0</c:v>
                </c:pt>
              </c:numCache>
            </c:numRef>
          </c:yVal>
          <c:smooth val="1"/>
          <c:extLst>
            <c:ext xmlns:c16="http://schemas.microsoft.com/office/drawing/2014/chart" uri="{C3380CC4-5D6E-409C-BE32-E72D297353CC}">
              <c16:uniqueId val="{00000002-334D-4DBA-826E-541D47530B9F}"/>
            </c:ext>
          </c:extLst>
        </c:ser>
        <c:dLbls>
          <c:showLegendKey val="0"/>
          <c:showVal val="0"/>
          <c:showCatName val="0"/>
          <c:showSerName val="0"/>
          <c:showPercent val="0"/>
          <c:showBubbleSize val="0"/>
        </c:dLbls>
        <c:axId val="222518272"/>
        <c:axId val="222524928"/>
      </c:scatterChart>
      <c:valAx>
        <c:axId val="22251827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41933888698695"/>
              <c:y val="0.55172459796116669"/>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524928"/>
        <c:crosses val="autoZero"/>
        <c:crossBetween val="midCat"/>
      </c:valAx>
      <c:valAx>
        <c:axId val="222524928"/>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51827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46913598552812"/>
          <c:y val="0.21982770187257045"/>
          <c:w val="0.81921045199542197"/>
          <c:h val="0.49137956889162837"/>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topography'!$AK$29:$AK$74</c:f>
              <c:numCache>
                <c:formatCode>General</c:formatCode>
                <c:ptCount val="46"/>
              </c:numCache>
            </c:numRef>
          </c:xVal>
          <c:yVal>
            <c:numRef>
              <c:f>'Target Site topography'!$AL$29:$AL$74</c:f>
              <c:numCache>
                <c:formatCode>General</c:formatCode>
                <c:ptCount val="46"/>
              </c:numCache>
            </c:numRef>
          </c:yVal>
          <c:smooth val="1"/>
          <c:extLst>
            <c:ext xmlns:c16="http://schemas.microsoft.com/office/drawing/2014/chart" uri="{C3380CC4-5D6E-409C-BE32-E72D297353CC}">
              <c16:uniqueId val="{00000000-638C-4D3B-96C0-363A1B3035EB}"/>
            </c:ext>
          </c:extLst>
        </c:ser>
        <c:ser>
          <c:idx val="0"/>
          <c:order val="1"/>
          <c:spPr>
            <a:ln w="12700">
              <a:solidFill>
                <a:srgbClr val="000000"/>
              </a:solidFill>
              <a:prstDash val="sysDash"/>
            </a:ln>
          </c:spPr>
          <c:marker>
            <c:symbol val="none"/>
          </c:marker>
          <c:xVal>
            <c:numRef>
              <c:f>'Target Site topography'!$AK$100:$AK$160</c:f>
              <c:numCache>
                <c:formatCode>General</c:formatCode>
                <c:ptCount val="61"/>
              </c:numCache>
            </c:numRef>
          </c:xVal>
          <c:yVal>
            <c:numRef>
              <c:f>'Target Site topography'!$AL$100:$AL$160</c:f>
              <c:numCache>
                <c:formatCode>General</c:formatCode>
                <c:ptCount val="61"/>
              </c:numCache>
            </c:numRef>
          </c:yVal>
          <c:smooth val="1"/>
          <c:extLst>
            <c:ext xmlns:c16="http://schemas.microsoft.com/office/drawing/2014/chart" uri="{C3380CC4-5D6E-409C-BE32-E72D297353CC}">
              <c16:uniqueId val="{00000001-638C-4D3B-96C0-363A1B3035EB}"/>
            </c:ext>
          </c:extLst>
        </c:ser>
        <c:ser>
          <c:idx val="1"/>
          <c:order val="2"/>
          <c:spPr>
            <a:ln w="12700">
              <a:solidFill>
                <a:srgbClr val="FF00FF"/>
              </a:solidFill>
              <a:prstDash val="solid"/>
            </a:ln>
          </c:spPr>
          <c:marker>
            <c:symbol val="x"/>
            <c:size val="7"/>
            <c:spPr>
              <a:noFill/>
              <a:ln>
                <a:solidFill>
                  <a:srgbClr val="000000"/>
                </a:solidFill>
                <a:prstDash val="solid"/>
              </a:ln>
            </c:spPr>
          </c:marker>
          <c:xVal>
            <c:numRef>
              <c:f>'Target Site topography'!$AI$182</c:f>
              <c:numCache>
                <c:formatCode>General</c:formatCode>
                <c:ptCount val="1"/>
                <c:pt idx="0">
                  <c:v>0</c:v>
                </c:pt>
              </c:numCache>
            </c:numRef>
          </c:xVal>
          <c:yVal>
            <c:numRef>
              <c:f>'Target Site topography'!$AJ$182</c:f>
              <c:numCache>
                <c:formatCode>General</c:formatCode>
                <c:ptCount val="1"/>
                <c:pt idx="0">
                  <c:v>0</c:v>
                </c:pt>
              </c:numCache>
            </c:numRef>
          </c:yVal>
          <c:smooth val="1"/>
          <c:extLst>
            <c:ext xmlns:c16="http://schemas.microsoft.com/office/drawing/2014/chart" uri="{C3380CC4-5D6E-409C-BE32-E72D297353CC}">
              <c16:uniqueId val="{00000002-638C-4D3B-96C0-363A1B3035EB}"/>
            </c:ext>
          </c:extLst>
        </c:ser>
        <c:dLbls>
          <c:showLegendKey val="0"/>
          <c:showVal val="0"/>
          <c:showCatName val="0"/>
          <c:showSerName val="0"/>
          <c:showPercent val="0"/>
          <c:showBubbleSize val="0"/>
        </c:dLbls>
        <c:axId val="222552064"/>
        <c:axId val="222554368"/>
      </c:scatterChart>
      <c:valAx>
        <c:axId val="222552064"/>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46342576743151"/>
              <c:y val="0.5560348602833487"/>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554368"/>
        <c:crosses val="autoZero"/>
        <c:crossBetween val="midCat"/>
      </c:valAx>
      <c:valAx>
        <c:axId val="222554368"/>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2552064"/>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9323574103586"/>
          <c:y val="0.21030075971861928"/>
          <c:w val="0.82817100750889283"/>
          <c:h val="0.4806874507854163"/>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topography'!$AM$29:$AM$74</c:f>
              <c:numCache>
                <c:formatCode>General</c:formatCode>
                <c:ptCount val="46"/>
              </c:numCache>
            </c:numRef>
          </c:xVal>
          <c:yVal>
            <c:numRef>
              <c:f>'Target Site topography'!$AN$29:$AN$74</c:f>
              <c:numCache>
                <c:formatCode>General</c:formatCode>
                <c:ptCount val="46"/>
              </c:numCache>
            </c:numRef>
          </c:yVal>
          <c:smooth val="1"/>
          <c:extLst>
            <c:ext xmlns:c16="http://schemas.microsoft.com/office/drawing/2014/chart" uri="{C3380CC4-5D6E-409C-BE32-E72D297353CC}">
              <c16:uniqueId val="{00000000-625E-4EA7-8B8A-78BF7E7E07C5}"/>
            </c:ext>
          </c:extLst>
        </c:ser>
        <c:ser>
          <c:idx val="1"/>
          <c:order val="1"/>
          <c:spPr>
            <a:ln w="12700">
              <a:solidFill>
                <a:srgbClr val="FF00FF"/>
              </a:solidFill>
              <a:prstDash val="solid"/>
            </a:ln>
          </c:spPr>
          <c:marker>
            <c:symbol val="x"/>
            <c:size val="7"/>
            <c:spPr>
              <a:noFill/>
              <a:ln>
                <a:solidFill>
                  <a:srgbClr val="000000"/>
                </a:solidFill>
                <a:prstDash val="solid"/>
              </a:ln>
            </c:spPr>
          </c:marker>
          <c:xVal>
            <c:numRef>
              <c:f>'Target Site topography'!$AM$181</c:f>
              <c:numCache>
                <c:formatCode>General</c:formatCode>
                <c:ptCount val="1"/>
                <c:pt idx="0">
                  <c:v>0</c:v>
                </c:pt>
              </c:numCache>
            </c:numRef>
          </c:xVal>
          <c:yVal>
            <c:numRef>
              <c:f>'Target Site topography'!$AN$181</c:f>
              <c:numCache>
                <c:formatCode>General</c:formatCode>
                <c:ptCount val="1"/>
                <c:pt idx="0">
                  <c:v>0</c:v>
                </c:pt>
              </c:numCache>
            </c:numRef>
          </c:yVal>
          <c:smooth val="1"/>
          <c:extLst>
            <c:ext xmlns:c16="http://schemas.microsoft.com/office/drawing/2014/chart" uri="{C3380CC4-5D6E-409C-BE32-E72D297353CC}">
              <c16:uniqueId val="{00000001-625E-4EA7-8B8A-78BF7E7E07C5}"/>
            </c:ext>
          </c:extLst>
        </c:ser>
        <c:dLbls>
          <c:showLegendKey val="0"/>
          <c:showVal val="0"/>
          <c:showCatName val="0"/>
          <c:showSerName val="0"/>
          <c:showPercent val="0"/>
          <c:showBubbleSize val="0"/>
        </c:dLbls>
        <c:axId val="224411008"/>
        <c:axId val="224434048"/>
      </c:scatterChart>
      <c:valAx>
        <c:axId val="224411008"/>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4788955532183063"/>
              <c:y val="0.54077355715151065"/>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4434048"/>
        <c:crosses val="autoZero"/>
        <c:crossBetween val="midCat"/>
      </c:valAx>
      <c:valAx>
        <c:axId val="224434048"/>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4411008"/>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49323574103586"/>
          <c:y val="0.21030075971861928"/>
          <c:w val="0.82817100750889283"/>
          <c:h val="0.50643856422034728"/>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topography'!$AO$29:$AO$74</c:f>
              <c:numCache>
                <c:formatCode>General</c:formatCode>
                <c:ptCount val="46"/>
              </c:numCache>
            </c:numRef>
          </c:xVal>
          <c:yVal>
            <c:numRef>
              <c:f>'Target Site topography'!$AP$29:$AP$74</c:f>
              <c:numCache>
                <c:formatCode>General</c:formatCode>
                <c:ptCount val="46"/>
              </c:numCache>
            </c:numRef>
          </c:yVal>
          <c:smooth val="1"/>
          <c:extLst>
            <c:ext xmlns:c16="http://schemas.microsoft.com/office/drawing/2014/chart" uri="{C3380CC4-5D6E-409C-BE32-E72D297353CC}">
              <c16:uniqueId val="{00000000-B2C3-4399-98C8-D59EE529A5BF}"/>
            </c:ext>
          </c:extLst>
        </c:ser>
        <c:ser>
          <c:idx val="0"/>
          <c:order val="1"/>
          <c:spPr>
            <a:ln w="12700">
              <a:solidFill>
                <a:srgbClr val="000000"/>
              </a:solidFill>
              <a:prstDash val="sysDash"/>
            </a:ln>
          </c:spPr>
          <c:marker>
            <c:symbol val="none"/>
          </c:marker>
          <c:xVal>
            <c:numRef>
              <c:f>'Target Site topography'!$AO$100:$AO$160</c:f>
              <c:numCache>
                <c:formatCode>General</c:formatCode>
                <c:ptCount val="61"/>
              </c:numCache>
            </c:numRef>
          </c:xVal>
          <c:yVal>
            <c:numRef>
              <c:f>'Target Site topography'!$AP$100:$AP$160</c:f>
              <c:numCache>
                <c:formatCode>General</c:formatCode>
                <c:ptCount val="61"/>
              </c:numCache>
            </c:numRef>
          </c:yVal>
          <c:smooth val="1"/>
          <c:extLst>
            <c:ext xmlns:c16="http://schemas.microsoft.com/office/drawing/2014/chart" uri="{C3380CC4-5D6E-409C-BE32-E72D297353CC}">
              <c16:uniqueId val="{00000001-B2C3-4399-98C8-D59EE529A5BF}"/>
            </c:ext>
          </c:extLst>
        </c:ser>
        <c:ser>
          <c:idx val="1"/>
          <c:order val="2"/>
          <c:spPr>
            <a:ln w="12700">
              <a:solidFill>
                <a:srgbClr val="FF00FF"/>
              </a:solidFill>
              <a:prstDash val="solid"/>
            </a:ln>
          </c:spPr>
          <c:marker>
            <c:symbol val="x"/>
            <c:size val="7"/>
            <c:spPr>
              <a:noFill/>
              <a:ln>
                <a:solidFill>
                  <a:srgbClr val="000000"/>
                </a:solidFill>
                <a:prstDash val="solid"/>
              </a:ln>
            </c:spPr>
          </c:marker>
          <c:xVal>
            <c:numRef>
              <c:f>'Target Site topography'!$AM$182</c:f>
              <c:numCache>
                <c:formatCode>General</c:formatCode>
                <c:ptCount val="1"/>
                <c:pt idx="0">
                  <c:v>0</c:v>
                </c:pt>
              </c:numCache>
            </c:numRef>
          </c:xVal>
          <c:yVal>
            <c:numRef>
              <c:f>'Target Site topography'!$AN$182</c:f>
              <c:numCache>
                <c:formatCode>General</c:formatCode>
                <c:ptCount val="1"/>
                <c:pt idx="0">
                  <c:v>0</c:v>
                </c:pt>
              </c:numCache>
            </c:numRef>
          </c:yVal>
          <c:smooth val="1"/>
          <c:extLst>
            <c:ext xmlns:c16="http://schemas.microsoft.com/office/drawing/2014/chart" uri="{C3380CC4-5D6E-409C-BE32-E72D297353CC}">
              <c16:uniqueId val="{00000002-B2C3-4399-98C8-D59EE529A5BF}"/>
            </c:ext>
          </c:extLst>
        </c:ser>
        <c:dLbls>
          <c:showLegendKey val="0"/>
          <c:showVal val="0"/>
          <c:showCatName val="0"/>
          <c:showSerName val="0"/>
          <c:showPercent val="0"/>
          <c:showBubbleSize val="0"/>
        </c:dLbls>
        <c:axId val="224452992"/>
        <c:axId val="224455296"/>
      </c:scatterChart>
      <c:valAx>
        <c:axId val="22445299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4788955532183063"/>
              <c:y val="0.55364944766519952"/>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4455296"/>
        <c:crosses val="autoZero"/>
        <c:crossBetween val="midCat"/>
      </c:valAx>
      <c:valAx>
        <c:axId val="224455296"/>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2445299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68085106382977"/>
          <c:y val="9.2105263157895051E-2"/>
          <c:w val="0.78723404255319362"/>
          <c:h val="0.5592105263157896"/>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topography'!$AM$29:$AM$74</c:f>
              <c:numCache>
                <c:formatCode>General</c:formatCode>
                <c:ptCount val="46"/>
              </c:numCache>
            </c:numRef>
          </c:xVal>
          <c:yVal>
            <c:numRef>
              <c:f>'Target Site topography'!$AN$29:$AN$74</c:f>
              <c:numCache>
                <c:formatCode>General</c:formatCode>
                <c:ptCount val="46"/>
              </c:numCache>
            </c:numRef>
          </c:yVal>
          <c:smooth val="1"/>
          <c:extLst>
            <c:ext xmlns:c16="http://schemas.microsoft.com/office/drawing/2014/chart" uri="{C3380CC4-5D6E-409C-BE32-E72D297353CC}">
              <c16:uniqueId val="{00000000-3C4D-43EC-B14A-922CB887BD68}"/>
            </c:ext>
          </c:extLst>
        </c:ser>
        <c:ser>
          <c:idx val="0"/>
          <c:order val="1"/>
          <c:spPr>
            <a:ln w="12700">
              <a:solidFill>
                <a:srgbClr val="000080"/>
              </a:solidFill>
              <a:prstDash val="solid"/>
            </a:ln>
          </c:spPr>
          <c:marker>
            <c:symbol val="none"/>
          </c:marker>
          <c:xVal>
            <c:numRef>
              <c:f>'Target Site topography'!$AQ$29:$AQ$73</c:f>
              <c:numCache>
                <c:formatCode>General</c:formatCode>
                <c:ptCount val="45"/>
              </c:numCache>
            </c:numRef>
          </c:xVal>
          <c:yVal>
            <c:numRef>
              <c:f>'Target Site topography'!$AR$29:$AR$73</c:f>
              <c:numCache>
                <c:formatCode>General</c:formatCode>
                <c:ptCount val="45"/>
              </c:numCache>
            </c:numRef>
          </c:yVal>
          <c:smooth val="1"/>
          <c:extLst>
            <c:ext xmlns:c16="http://schemas.microsoft.com/office/drawing/2014/chart" uri="{C3380CC4-5D6E-409C-BE32-E72D297353CC}">
              <c16:uniqueId val="{00000001-3C4D-43EC-B14A-922CB887BD68}"/>
            </c:ext>
          </c:extLst>
        </c:ser>
        <c:dLbls>
          <c:showLegendKey val="0"/>
          <c:showVal val="0"/>
          <c:showCatName val="0"/>
          <c:showSerName val="0"/>
          <c:showPercent val="0"/>
          <c:showBubbleSize val="0"/>
        </c:dLbls>
        <c:axId val="230298752"/>
        <c:axId val="230300672"/>
      </c:scatterChart>
      <c:valAx>
        <c:axId val="230298752"/>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y</a:t>
                </a:r>
                <a:r>
                  <a:rPr lang="en-US" sz="1000" b="1" i="0" u="none" strike="noStrike" baseline="-25000">
                    <a:solidFill>
                      <a:srgbClr val="3366FF"/>
                    </a:solidFill>
                    <a:latin typeface="Arial"/>
                    <a:cs typeface="Arial"/>
                  </a:rPr>
                  <a:t>AB</a:t>
                </a:r>
              </a:p>
            </c:rich>
          </c:tx>
          <c:layout>
            <c:manualLayout>
              <c:xMode val="edge"/>
              <c:yMode val="edge"/>
              <c:x val="0.83056592394035711"/>
              <c:y val="0.47938112999033083"/>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30300672"/>
        <c:crosses val="autoZero"/>
        <c:crossBetween val="midCat"/>
      </c:valAx>
      <c:valAx>
        <c:axId val="230300672"/>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30298752"/>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29914529914573"/>
          <c:y val="9.2105263157895051E-2"/>
          <c:w val="0.78632478632478664"/>
          <c:h val="0.5592105263157896"/>
        </c:manualLayout>
      </c:layout>
      <c:scatterChart>
        <c:scatterStyle val="smoothMarker"/>
        <c:varyColors val="0"/>
        <c:ser>
          <c:idx val="2"/>
          <c:order val="0"/>
          <c:spPr>
            <a:ln w="12700">
              <a:solidFill>
                <a:srgbClr val="000000"/>
              </a:solidFill>
              <a:prstDash val="solid"/>
            </a:ln>
          </c:spPr>
          <c:marker>
            <c:symbol val="circle"/>
            <c:size val="3"/>
            <c:spPr>
              <a:noFill/>
              <a:ln>
                <a:solidFill>
                  <a:srgbClr val="000000"/>
                </a:solidFill>
                <a:prstDash val="solid"/>
              </a:ln>
            </c:spPr>
          </c:marker>
          <c:xVal>
            <c:numRef>
              <c:f>'Target Site topography'!$AO$29:$AO$74</c:f>
              <c:numCache>
                <c:formatCode>General</c:formatCode>
                <c:ptCount val="46"/>
              </c:numCache>
            </c:numRef>
          </c:xVal>
          <c:yVal>
            <c:numRef>
              <c:f>'Target Site topography'!$AP$29:$AP$74</c:f>
              <c:numCache>
                <c:formatCode>General</c:formatCode>
                <c:ptCount val="46"/>
              </c:numCache>
            </c:numRef>
          </c:yVal>
          <c:smooth val="1"/>
          <c:extLst>
            <c:ext xmlns:c16="http://schemas.microsoft.com/office/drawing/2014/chart" uri="{C3380CC4-5D6E-409C-BE32-E72D297353CC}">
              <c16:uniqueId val="{00000000-D1AC-46DC-BA8F-A15765D5D6CA}"/>
            </c:ext>
          </c:extLst>
        </c:ser>
        <c:ser>
          <c:idx val="0"/>
          <c:order val="1"/>
          <c:spPr>
            <a:ln w="12700">
              <a:solidFill>
                <a:srgbClr val="000080"/>
              </a:solidFill>
              <a:prstDash val="solid"/>
            </a:ln>
          </c:spPr>
          <c:marker>
            <c:symbol val="none"/>
          </c:marker>
          <c:xVal>
            <c:numRef>
              <c:f>'Target Site topography'!$AS$29:$AS$73</c:f>
              <c:numCache>
                <c:formatCode>General</c:formatCode>
                <c:ptCount val="45"/>
              </c:numCache>
            </c:numRef>
          </c:xVal>
          <c:yVal>
            <c:numRef>
              <c:f>'Target Site topography'!$AT$29:$AT$73</c:f>
              <c:numCache>
                <c:formatCode>General</c:formatCode>
                <c:ptCount val="45"/>
              </c:numCache>
            </c:numRef>
          </c:yVal>
          <c:smooth val="1"/>
          <c:extLst>
            <c:ext xmlns:c16="http://schemas.microsoft.com/office/drawing/2014/chart" uri="{C3380CC4-5D6E-409C-BE32-E72D297353CC}">
              <c16:uniqueId val="{00000001-D1AC-46DC-BA8F-A15765D5D6CA}"/>
            </c:ext>
          </c:extLst>
        </c:ser>
        <c:dLbls>
          <c:showLegendKey val="0"/>
          <c:showVal val="0"/>
          <c:showCatName val="0"/>
          <c:showSerName val="0"/>
          <c:showPercent val="0"/>
          <c:showBubbleSize val="0"/>
        </c:dLbls>
        <c:axId val="230356096"/>
        <c:axId val="230358016"/>
      </c:scatterChart>
      <c:valAx>
        <c:axId val="23035609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1000" b="1" i="1" u="none" strike="noStrike" baseline="0">
                    <a:solidFill>
                      <a:srgbClr val="3366FF"/>
                    </a:solidFill>
                    <a:latin typeface="Arial"/>
                    <a:cs typeface="Arial"/>
                  </a:rPr>
                  <a:t>x</a:t>
                </a:r>
                <a:r>
                  <a:rPr lang="en-US" sz="1000" b="1" i="0" u="none" strike="noStrike" baseline="-25000">
                    <a:solidFill>
                      <a:srgbClr val="3366FF"/>
                    </a:solidFill>
                    <a:latin typeface="Arial"/>
                    <a:cs typeface="Arial"/>
                  </a:rPr>
                  <a:t>CD</a:t>
                </a:r>
              </a:p>
            </c:rich>
          </c:tx>
          <c:layout>
            <c:manualLayout>
              <c:xMode val="edge"/>
              <c:yMode val="edge"/>
              <c:x val="0.83000067299280045"/>
              <c:y val="0.47938112999033083"/>
            </c:manualLayout>
          </c:layout>
          <c:overlay val="0"/>
          <c:spPr>
            <a:noFill/>
            <a:ln w="25400">
              <a:noFill/>
            </a:ln>
          </c:spPr>
        </c:title>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30358016"/>
        <c:crosses val="autoZero"/>
        <c:crossBetween val="midCat"/>
      </c:valAx>
      <c:valAx>
        <c:axId val="230358016"/>
        <c:scaling>
          <c:orientation val="minMax"/>
        </c:scaling>
        <c:delete val="0"/>
        <c:axPos val="l"/>
        <c:numFmt formatCode="General" sourceLinked="1"/>
        <c:majorTickMark val="in"/>
        <c:minorTickMark val="none"/>
        <c:tickLblPos val="nextTo"/>
        <c:spPr>
          <a:ln w="3175">
            <a:solidFill>
              <a:srgbClr val="0000FF"/>
            </a:solidFill>
            <a:prstDash val="solid"/>
          </a:ln>
        </c:spPr>
        <c:txPr>
          <a:bodyPr rot="0" vert="horz"/>
          <a:lstStyle/>
          <a:p>
            <a:pPr>
              <a:defRPr sz="800" b="0" i="0" u="none" strike="noStrike" baseline="0">
                <a:solidFill>
                  <a:srgbClr val="3366FF"/>
                </a:solidFill>
                <a:latin typeface="Arial"/>
                <a:ea typeface="Arial"/>
                <a:cs typeface="Arial"/>
              </a:defRPr>
            </a:pPr>
            <a:endParaRPr lang="en-US"/>
          </a:p>
        </c:txPr>
        <c:crossAx val="230356096"/>
        <c:crosses val="autoZero"/>
        <c:crossBetween val="midCat"/>
      </c:valAx>
      <c:spPr>
        <a:solidFill>
          <a:srgbClr val="CC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rPr lang="en-US"/>
              <a:t>Mean Speed vs. Standard Profiles</a:t>
            </a:r>
          </a:p>
        </c:rich>
      </c:tx>
      <c:layout>
        <c:manualLayout>
          <c:xMode val="edge"/>
          <c:yMode val="edge"/>
          <c:x val="0.28342341394408227"/>
          <c:y val="3.2755381886491151E-2"/>
        </c:manualLayout>
      </c:layout>
      <c:overlay val="0"/>
      <c:spPr>
        <a:noFill/>
        <a:ln w="25400">
          <a:noFill/>
        </a:ln>
      </c:spPr>
    </c:title>
    <c:autoTitleDeleted val="0"/>
    <c:plotArea>
      <c:layout>
        <c:manualLayout>
          <c:layoutTarget val="inner"/>
          <c:xMode val="edge"/>
          <c:yMode val="edge"/>
          <c:x val="0.12260365693017321"/>
          <c:y val="0.16144578313253075"/>
          <c:w val="0.61747659944832523"/>
          <c:h val="0.66746987951807524"/>
        </c:manualLayout>
      </c:layout>
      <c:radarChart>
        <c:radarStyle val="marker"/>
        <c:varyColors val="0"/>
        <c:ser>
          <c:idx val="1"/>
          <c:order val="0"/>
          <c:tx>
            <c:strRef>
              <c:f>RWDI_FACTORS!$AE$102</c:f>
              <c:strCache>
                <c:ptCount val="1"/>
                <c:pt idx="0">
                  <c:v>SITE</c:v>
                </c:pt>
              </c:strCache>
            </c:strRef>
          </c:tx>
          <c:spPr>
            <a:ln w="28575">
              <a:noFill/>
            </a:ln>
          </c:spPr>
          <c:marker>
            <c:symbol val="circle"/>
            <c:size val="10"/>
            <c:spPr>
              <a:solidFill>
                <a:srgbClr val="000000"/>
              </a:solidFill>
              <a:ln>
                <a:solidFill>
                  <a:srgbClr val="000000"/>
                </a:solidFill>
                <a:prstDash val="solid"/>
              </a:ln>
            </c:spPr>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RWDI_FACTORS!$AE$103:$AE$138</c:f>
              <c:numCache>
                <c:formatCode>0.00</c:formatCode>
                <c:ptCount val="36"/>
                <c:pt idx="0">
                  <c:v>44.981914714921579</c:v>
                </c:pt>
                <c:pt idx="1">
                  <c:v>52.56736059502267</c:v>
                </c:pt>
                <c:pt idx="2">
                  <c:v>52.56736059502267</c:v>
                </c:pt>
                <c:pt idx="3">
                  <c:v>52.56736059502267</c:v>
                </c:pt>
                <c:pt idx="4">
                  <c:v>50.614870779813096</c:v>
                </c:pt>
                <c:pt idx="5">
                  <c:v>50.614870779813096</c:v>
                </c:pt>
                <c:pt idx="6">
                  <c:v>50.614870779813096</c:v>
                </c:pt>
                <c:pt idx="7">
                  <c:v>47.772185901052453</c:v>
                </c:pt>
                <c:pt idx="8">
                  <c:v>47.772185901052453</c:v>
                </c:pt>
                <c:pt idx="9">
                  <c:v>47.772185901052453</c:v>
                </c:pt>
                <c:pt idx="10">
                  <c:v>45.580708433766802</c:v>
                </c:pt>
                <c:pt idx="11">
                  <c:v>45.580708433766802</c:v>
                </c:pt>
                <c:pt idx="12">
                  <c:v>45.580708433766802</c:v>
                </c:pt>
                <c:pt idx="13">
                  <c:v>42.117577040195741</c:v>
                </c:pt>
                <c:pt idx="14">
                  <c:v>42.117577040195741</c:v>
                </c:pt>
                <c:pt idx="15">
                  <c:v>42.117577040195741</c:v>
                </c:pt>
                <c:pt idx="16">
                  <c:v>52.56736059502267</c:v>
                </c:pt>
                <c:pt idx="17">
                  <c:v>52.56736059502267</c:v>
                </c:pt>
                <c:pt idx="18">
                  <c:v>52.56736059502267</c:v>
                </c:pt>
                <c:pt idx="19">
                  <c:v>50.614870779813096</c:v>
                </c:pt>
                <c:pt idx="20">
                  <c:v>50.614870779813096</c:v>
                </c:pt>
                <c:pt idx="21">
                  <c:v>50.614870779813096</c:v>
                </c:pt>
                <c:pt idx="22">
                  <c:v>47.772185901052453</c:v>
                </c:pt>
                <c:pt idx="23">
                  <c:v>47.772185901052453</c:v>
                </c:pt>
                <c:pt idx="24">
                  <c:v>47.772185901052453</c:v>
                </c:pt>
                <c:pt idx="25">
                  <c:v>45.580708433766802</c:v>
                </c:pt>
                <c:pt idx="26">
                  <c:v>45.580708433766802</c:v>
                </c:pt>
                <c:pt idx="27">
                  <c:v>45.580708433766802</c:v>
                </c:pt>
                <c:pt idx="28">
                  <c:v>42.117577040195741</c:v>
                </c:pt>
                <c:pt idx="29">
                  <c:v>42.117577040195741</c:v>
                </c:pt>
                <c:pt idx="30">
                  <c:v>42.117577040195741</c:v>
                </c:pt>
                <c:pt idx="31">
                  <c:v>43.697811079983012</c:v>
                </c:pt>
                <c:pt idx="32">
                  <c:v>43.697811079983012</c:v>
                </c:pt>
                <c:pt idx="33">
                  <c:v>43.697811079983012</c:v>
                </c:pt>
                <c:pt idx="34">
                  <c:v>44.981914714921579</c:v>
                </c:pt>
                <c:pt idx="35">
                  <c:v>44.981914714921579</c:v>
                </c:pt>
              </c:numCache>
            </c:numRef>
          </c:val>
          <c:extLst>
            <c:ext xmlns:c16="http://schemas.microsoft.com/office/drawing/2014/chart" uri="{C3380CC4-5D6E-409C-BE32-E72D297353CC}">
              <c16:uniqueId val="{00000000-11FF-48E8-A297-262F10515D35}"/>
            </c:ext>
          </c:extLst>
        </c:ser>
        <c:ser>
          <c:idx val="2"/>
          <c:order val="1"/>
          <c:tx>
            <c:strRef>
              <c:f>RWDI_FACTORS!$AF$102</c:f>
              <c:strCache>
                <c:ptCount val="1"/>
                <c:pt idx="0">
                  <c:v>OPEN</c:v>
                </c:pt>
              </c:strCache>
            </c:strRef>
          </c:tx>
          <c:spPr>
            <a:ln w="38100">
              <a:solidFill>
                <a:srgbClr val="333333"/>
              </a:solidFill>
              <a:prstDash val="sysDash"/>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RWDI_FACTORS!$AF$103:$AF$138</c:f>
              <c:numCache>
                <c:formatCode>0.00</c:formatCode>
                <c:ptCount val="36"/>
                <c:pt idx="0">
                  <c:v>52.56736059502267</c:v>
                </c:pt>
                <c:pt idx="1">
                  <c:v>52.56736059502267</c:v>
                </c:pt>
                <c:pt idx="2">
                  <c:v>52.56736059502267</c:v>
                </c:pt>
                <c:pt idx="3">
                  <c:v>52.56736059502267</c:v>
                </c:pt>
                <c:pt idx="4">
                  <c:v>52.56736059502267</c:v>
                </c:pt>
                <c:pt idx="5">
                  <c:v>52.56736059502267</c:v>
                </c:pt>
                <c:pt idx="6">
                  <c:v>52.56736059502267</c:v>
                </c:pt>
                <c:pt idx="7">
                  <c:v>52.56736059502267</c:v>
                </c:pt>
                <c:pt idx="8">
                  <c:v>52.56736059502267</c:v>
                </c:pt>
                <c:pt idx="9">
                  <c:v>52.56736059502267</c:v>
                </c:pt>
                <c:pt idx="10">
                  <c:v>52.56736059502267</c:v>
                </c:pt>
                <c:pt idx="11">
                  <c:v>52.56736059502267</c:v>
                </c:pt>
                <c:pt idx="12">
                  <c:v>52.56736059502267</c:v>
                </c:pt>
                <c:pt idx="13">
                  <c:v>52.56736059502267</c:v>
                </c:pt>
                <c:pt idx="14">
                  <c:v>52.56736059502267</c:v>
                </c:pt>
                <c:pt idx="15">
                  <c:v>52.56736059502267</c:v>
                </c:pt>
                <c:pt idx="16">
                  <c:v>52.56736059502267</c:v>
                </c:pt>
                <c:pt idx="17">
                  <c:v>52.56736059502267</c:v>
                </c:pt>
                <c:pt idx="18">
                  <c:v>52.56736059502267</c:v>
                </c:pt>
                <c:pt idx="19">
                  <c:v>52.56736059502267</c:v>
                </c:pt>
                <c:pt idx="20">
                  <c:v>52.56736059502267</c:v>
                </c:pt>
                <c:pt idx="21">
                  <c:v>52.56736059502267</c:v>
                </c:pt>
                <c:pt idx="22">
                  <c:v>52.56736059502267</c:v>
                </c:pt>
                <c:pt idx="23">
                  <c:v>52.56736059502267</c:v>
                </c:pt>
                <c:pt idx="24">
                  <c:v>52.56736059502267</c:v>
                </c:pt>
                <c:pt idx="25">
                  <c:v>52.56736059502267</c:v>
                </c:pt>
                <c:pt idx="26">
                  <c:v>52.56736059502267</c:v>
                </c:pt>
                <c:pt idx="27">
                  <c:v>52.56736059502267</c:v>
                </c:pt>
                <c:pt idx="28">
                  <c:v>52.56736059502267</c:v>
                </c:pt>
                <c:pt idx="29">
                  <c:v>52.56736059502267</c:v>
                </c:pt>
                <c:pt idx="30">
                  <c:v>52.56736059502267</c:v>
                </c:pt>
                <c:pt idx="31">
                  <c:v>52.56736059502267</c:v>
                </c:pt>
                <c:pt idx="32">
                  <c:v>52.56736059502267</c:v>
                </c:pt>
                <c:pt idx="33">
                  <c:v>52.56736059502267</c:v>
                </c:pt>
                <c:pt idx="34">
                  <c:v>52.56736059502267</c:v>
                </c:pt>
                <c:pt idx="35">
                  <c:v>52.56736059502267</c:v>
                </c:pt>
              </c:numCache>
            </c:numRef>
          </c:val>
          <c:extLst>
            <c:ext xmlns:c16="http://schemas.microsoft.com/office/drawing/2014/chart" uri="{C3380CC4-5D6E-409C-BE32-E72D297353CC}">
              <c16:uniqueId val="{00000001-11FF-48E8-A297-262F10515D35}"/>
            </c:ext>
          </c:extLst>
        </c:ser>
        <c:ser>
          <c:idx val="3"/>
          <c:order val="2"/>
          <c:tx>
            <c:strRef>
              <c:f>RWDI_FACTORS!$AG$102</c:f>
              <c:strCache>
                <c:ptCount val="1"/>
                <c:pt idx="0">
                  <c:v>SUB/OPEN</c:v>
                </c:pt>
              </c:strCache>
            </c:strRef>
          </c:tx>
          <c:spPr>
            <a:ln w="25400">
              <a:solidFill>
                <a:srgbClr val="333333"/>
              </a:solidFill>
              <a:prstDash val="lgDashDotDot"/>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RWDI_FACTORS!$AG$103:$AG$138</c:f>
              <c:numCache>
                <c:formatCode>0.00</c:formatCode>
                <c:ptCount val="36"/>
                <c:pt idx="0">
                  <c:v>50.614870779813096</c:v>
                </c:pt>
                <c:pt idx="1">
                  <c:v>50.614870779813096</c:v>
                </c:pt>
                <c:pt idx="2">
                  <c:v>50.614870779813096</c:v>
                </c:pt>
                <c:pt idx="3">
                  <c:v>50.614870779813096</c:v>
                </c:pt>
                <c:pt idx="4">
                  <c:v>50.614870779813096</c:v>
                </c:pt>
                <c:pt idx="5">
                  <c:v>50.614870779813096</c:v>
                </c:pt>
                <c:pt idx="6">
                  <c:v>50.614870779813096</c:v>
                </c:pt>
                <c:pt idx="7">
                  <c:v>50.614870779813096</c:v>
                </c:pt>
                <c:pt idx="8">
                  <c:v>50.614870779813096</c:v>
                </c:pt>
                <c:pt idx="9">
                  <c:v>50.614870779813096</c:v>
                </c:pt>
                <c:pt idx="10">
                  <c:v>50.614870779813096</c:v>
                </c:pt>
                <c:pt idx="11">
                  <c:v>50.614870779813096</c:v>
                </c:pt>
                <c:pt idx="12">
                  <c:v>50.614870779813096</c:v>
                </c:pt>
                <c:pt idx="13">
                  <c:v>50.614870779813096</c:v>
                </c:pt>
                <c:pt idx="14">
                  <c:v>50.614870779813096</c:v>
                </c:pt>
                <c:pt idx="15">
                  <c:v>50.614870779813096</c:v>
                </c:pt>
                <c:pt idx="16">
                  <c:v>50.614870779813096</c:v>
                </c:pt>
                <c:pt idx="17">
                  <c:v>50.614870779813096</c:v>
                </c:pt>
                <c:pt idx="18">
                  <c:v>50.614870779813096</c:v>
                </c:pt>
                <c:pt idx="19">
                  <c:v>50.614870779813096</c:v>
                </c:pt>
                <c:pt idx="20">
                  <c:v>50.614870779813096</c:v>
                </c:pt>
                <c:pt idx="21">
                  <c:v>50.614870779813096</c:v>
                </c:pt>
                <c:pt idx="22">
                  <c:v>50.614870779813096</c:v>
                </c:pt>
                <c:pt idx="23">
                  <c:v>50.614870779813096</c:v>
                </c:pt>
                <c:pt idx="24">
                  <c:v>50.614870779813096</c:v>
                </c:pt>
                <c:pt idx="25">
                  <c:v>50.614870779813096</c:v>
                </c:pt>
                <c:pt idx="26">
                  <c:v>50.614870779813096</c:v>
                </c:pt>
                <c:pt idx="27">
                  <c:v>50.614870779813096</c:v>
                </c:pt>
                <c:pt idx="28">
                  <c:v>50.614870779813096</c:v>
                </c:pt>
                <c:pt idx="29">
                  <c:v>50.614870779813096</c:v>
                </c:pt>
                <c:pt idx="30">
                  <c:v>50.614870779813096</c:v>
                </c:pt>
                <c:pt idx="31">
                  <c:v>50.614870779813096</c:v>
                </c:pt>
                <c:pt idx="32">
                  <c:v>50.614870779813096</c:v>
                </c:pt>
                <c:pt idx="33">
                  <c:v>50.614870779813096</c:v>
                </c:pt>
                <c:pt idx="34">
                  <c:v>50.614870779813096</c:v>
                </c:pt>
                <c:pt idx="35">
                  <c:v>50.614870779813096</c:v>
                </c:pt>
              </c:numCache>
            </c:numRef>
          </c:val>
          <c:extLst>
            <c:ext xmlns:c16="http://schemas.microsoft.com/office/drawing/2014/chart" uri="{C3380CC4-5D6E-409C-BE32-E72D297353CC}">
              <c16:uniqueId val="{00000002-11FF-48E8-A297-262F10515D35}"/>
            </c:ext>
          </c:extLst>
        </c:ser>
        <c:ser>
          <c:idx val="4"/>
          <c:order val="3"/>
          <c:tx>
            <c:strRef>
              <c:f>RWDI_FACTORS!$AH$102</c:f>
              <c:strCache>
                <c:ptCount val="1"/>
                <c:pt idx="0">
                  <c:v>SUBURBAN</c:v>
                </c:pt>
              </c:strCache>
            </c:strRef>
          </c:tx>
          <c:spPr>
            <a:ln w="38100">
              <a:solidFill>
                <a:srgbClr val="333333"/>
              </a:solidFill>
              <a:prstDash val="lgDash"/>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RWDI_FACTORS!$AH$103:$AH$138</c:f>
              <c:numCache>
                <c:formatCode>0.00</c:formatCode>
                <c:ptCount val="36"/>
                <c:pt idx="0">
                  <c:v>47.772185901052453</c:v>
                </c:pt>
                <c:pt idx="1">
                  <c:v>47.772185901052453</c:v>
                </c:pt>
                <c:pt idx="2">
                  <c:v>47.772185901052453</c:v>
                </c:pt>
                <c:pt idx="3">
                  <c:v>47.772185901052453</c:v>
                </c:pt>
                <c:pt idx="4">
                  <c:v>47.772185901052453</c:v>
                </c:pt>
                <c:pt idx="5">
                  <c:v>47.772185901052453</c:v>
                </c:pt>
                <c:pt idx="6">
                  <c:v>47.772185901052453</c:v>
                </c:pt>
                <c:pt idx="7">
                  <c:v>47.772185901052453</c:v>
                </c:pt>
                <c:pt idx="8">
                  <c:v>47.772185901052453</c:v>
                </c:pt>
                <c:pt idx="9">
                  <c:v>47.772185901052453</c:v>
                </c:pt>
                <c:pt idx="10">
                  <c:v>47.772185901052453</c:v>
                </c:pt>
                <c:pt idx="11">
                  <c:v>47.772185901052453</c:v>
                </c:pt>
                <c:pt idx="12">
                  <c:v>47.772185901052453</c:v>
                </c:pt>
                <c:pt idx="13">
                  <c:v>47.772185901052453</c:v>
                </c:pt>
                <c:pt idx="14">
                  <c:v>47.772185901052453</c:v>
                </c:pt>
                <c:pt idx="15">
                  <c:v>47.772185901052453</c:v>
                </c:pt>
                <c:pt idx="16">
                  <c:v>47.772185901052453</c:v>
                </c:pt>
                <c:pt idx="17">
                  <c:v>47.772185901052453</c:v>
                </c:pt>
                <c:pt idx="18">
                  <c:v>47.772185901052453</c:v>
                </c:pt>
                <c:pt idx="19">
                  <c:v>47.772185901052453</c:v>
                </c:pt>
                <c:pt idx="20">
                  <c:v>47.772185901052453</c:v>
                </c:pt>
                <c:pt idx="21">
                  <c:v>47.772185901052453</c:v>
                </c:pt>
                <c:pt idx="22">
                  <c:v>47.772185901052453</c:v>
                </c:pt>
                <c:pt idx="23">
                  <c:v>47.772185901052453</c:v>
                </c:pt>
                <c:pt idx="24">
                  <c:v>47.772185901052453</c:v>
                </c:pt>
                <c:pt idx="25">
                  <c:v>47.772185901052453</c:v>
                </c:pt>
                <c:pt idx="26">
                  <c:v>47.772185901052453</c:v>
                </c:pt>
                <c:pt idx="27">
                  <c:v>47.772185901052453</c:v>
                </c:pt>
                <c:pt idx="28">
                  <c:v>47.772185901052453</c:v>
                </c:pt>
                <c:pt idx="29">
                  <c:v>47.772185901052453</c:v>
                </c:pt>
                <c:pt idx="30">
                  <c:v>47.772185901052453</c:v>
                </c:pt>
                <c:pt idx="31">
                  <c:v>47.772185901052453</c:v>
                </c:pt>
                <c:pt idx="32">
                  <c:v>47.772185901052453</c:v>
                </c:pt>
                <c:pt idx="33">
                  <c:v>47.772185901052453</c:v>
                </c:pt>
                <c:pt idx="34">
                  <c:v>47.772185901052453</c:v>
                </c:pt>
                <c:pt idx="35">
                  <c:v>47.772185901052453</c:v>
                </c:pt>
              </c:numCache>
            </c:numRef>
          </c:val>
          <c:extLst>
            <c:ext xmlns:c16="http://schemas.microsoft.com/office/drawing/2014/chart" uri="{C3380CC4-5D6E-409C-BE32-E72D297353CC}">
              <c16:uniqueId val="{00000003-11FF-48E8-A297-262F10515D35}"/>
            </c:ext>
          </c:extLst>
        </c:ser>
        <c:ser>
          <c:idx val="5"/>
          <c:order val="4"/>
          <c:tx>
            <c:strRef>
              <c:f>RWDI_FACTORS!$AI$102</c:f>
              <c:strCache>
                <c:ptCount val="1"/>
                <c:pt idx="0">
                  <c:v>URBAN</c:v>
                </c:pt>
              </c:strCache>
            </c:strRef>
          </c:tx>
          <c:spPr>
            <a:ln w="38100">
              <a:solidFill>
                <a:srgbClr val="333333"/>
              </a:solidFill>
              <a:prstDash val="solid"/>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RWDI_FACTORS!$AI$103:$AI$138</c:f>
              <c:numCache>
                <c:formatCode>0.00</c:formatCode>
                <c:ptCount val="36"/>
                <c:pt idx="0">
                  <c:v>45.580708433766802</c:v>
                </c:pt>
                <c:pt idx="1">
                  <c:v>45.580708433766802</c:v>
                </c:pt>
                <c:pt idx="2">
                  <c:v>45.580708433766802</c:v>
                </c:pt>
                <c:pt idx="3">
                  <c:v>45.580708433766802</c:v>
                </c:pt>
                <c:pt idx="4">
                  <c:v>45.580708433766802</c:v>
                </c:pt>
                <c:pt idx="5">
                  <c:v>45.580708433766802</c:v>
                </c:pt>
                <c:pt idx="6">
                  <c:v>45.580708433766802</c:v>
                </c:pt>
                <c:pt idx="7">
                  <c:v>45.580708433766802</c:v>
                </c:pt>
                <c:pt idx="8">
                  <c:v>45.580708433766802</c:v>
                </c:pt>
                <c:pt idx="9">
                  <c:v>45.580708433766802</c:v>
                </c:pt>
                <c:pt idx="10">
                  <c:v>45.580708433766802</c:v>
                </c:pt>
                <c:pt idx="11">
                  <c:v>45.580708433766802</c:v>
                </c:pt>
                <c:pt idx="12">
                  <c:v>45.580708433766802</c:v>
                </c:pt>
                <c:pt idx="13">
                  <c:v>45.580708433766802</c:v>
                </c:pt>
                <c:pt idx="14">
                  <c:v>45.580708433766802</c:v>
                </c:pt>
                <c:pt idx="15">
                  <c:v>45.580708433766802</c:v>
                </c:pt>
                <c:pt idx="16">
                  <c:v>45.580708433766802</c:v>
                </c:pt>
                <c:pt idx="17">
                  <c:v>45.580708433766802</c:v>
                </c:pt>
                <c:pt idx="18">
                  <c:v>45.580708433766802</c:v>
                </c:pt>
                <c:pt idx="19">
                  <c:v>45.580708433766802</c:v>
                </c:pt>
                <c:pt idx="20">
                  <c:v>45.580708433766802</c:v>
                </c:pt>
                <c:pt idx="21">
                  <c:v>45.580708433766802</c:v>
                </c:pt>
                <c:pt idx="22">
                  <c:v>45.580708433766802</c:v>
                </c:pt>
                <c:pt idx="23">
                  <c:v>45.580708433766802</c:v>
                </c:pt>
                <c:pt idx="24">
                  <c:v>45.580708433766802</c:v>
                </c:pt>
                <c:pt idx="25">
                  <c:v>45.580708433766802</c:v>
                </c:pt>
                <c:pt idx="26">
                  <c:v>45.580708433766802</c:v>
                </c:pt>
                <c:pt idx="27">
                  <c:v>45.580708433766802</c:v>
                </c:pt>
                <c:pt idx="28">
                  <c:v>45.580708433766802</c:v>
                </c:pt>
                <c:pt idx="29">
                  <c:v>45.580708433766802</c:v>
                </c:pt>
                <c:pt idx="30">
                  <c:v>45.580708433766802</c:v>
                </c:pt>
                <c:pt idx="31">
                  <c:v>45.580708433766802</c:v>
                </c:pt>
                <c:pt idx="32">
                  <c:v>45.580708433766802</c:v>
                </c:pt>
                <c:pt idx="33">
                  <c:v>45.580708433766802</c:v>
                </c:pt>
                <c:pt idx="34">
                  <c:v>45.580708433766802</c:v>
                </c:pt>
                <c:pt idx="35">
                  <c:v>45.580708433766802</c:v>
                </c:pt>
              </c:numCache>
            </c:numRef>
          </c:val>
          <c:extLst>
            <c:ext xmlns:c16="http://schemas.microsoft.com/office/drawing/2014/chart" uri="{C3380CC4-5D6E-409C-BE32-E72D297353CC}">
              <c16:uniqueId val="{00000004-11FF-48E8-A297-262F10515D35}"/>
            </c:ext>
          </c:extLst>
        </c:ser>
        <c:dLbls>
          <c:showLegendKey val="0"/>
          <c:showVal val="0"/>
          <c:showCatName val="0"/>
          <c:showSerName val="0"/>
          <c:showPercent val="0"/>
          <c:showBubbleSize val="0"/>
        </c:dLbls>
        <c:axId val="251529472"/>
        <c:axId val="251641856"/>
      </c:radarChart>
      <c:catAx>
        <c:axId val="251529472"/>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251641856"/>
        <c:crosses val="autoZero"/>
        <c:auto val="0"/>
        <c:lblAlgn val="ctr"/>
        <c:lblOffset val="100"/>
        <c:noMultiLvlLbl val="0"/>
      </c:catAx>
      <c:valAx>
        <c:axId val="251641856"/>
        <c:scaling>
          <c:orientation val="minMax"/>
        </c:scaling>
        <c:delete val="0"/>
        <c:axPos val="l"/>
        <c:majorGridlines>
          <c:spPr>
            <a:ln w="3175">
              <a:solidFill>
                <a:srgbClr val="00000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350" b="0" i="0" u="none" strike="noStrike" baseline="0">
                <a:solidFill>
                  <a:srgbClr val="000000"/>
                </a:solidFill>
                <a:latin typeface="Arial"/>
                <a:ea typeface="Arial"/>
                <a:cs typeface="Arial"/>
              </a:defRPr>
            </a:pPr>
            <a:endParaRPr lang="en-US"/>
          </a:p>
        </c:txPr>
        <c:crossAx val="251529472"/>
        <c:crosses val="autoZero"/>
        <c:crossBetween val="between"/>
      </c:valAx>
      <c:spPr>
        <a:noFill/>
        <a:ln w="25400">
          <a:noFill/>
        </a:ln>
      </c:spPr>
    </c:plotArea>
    <c:legend>
      <c:legendPos val="r"/>
      <c:layout>
        <c:manualLayout>
          <c:xMode val="edge"/>
          <c:yMode val="edge"/>
          <c:x val="0.74676767853907089"/>
          <c:y val="0.43614454676955938"/>
          <c:w val="0.23851989548077118"/>
          <c:h val="0.2048191856317218"/>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Turbulence Intensity vs. Standard Profiles</a:t>
            </a:r>
          </a:p>
        </c:rich>
      </c:tx>
      <c:layout>
        <c:manualLayout>
          <c:xMode val="edge"/>
          <c:yMode val="edge"/>
          <c:x val="0.23274494302670043"/>
          <c:y val="3.2692182133949671E-2"/>
        </c:manualLayout>
      </c:layout>
      <c:overlay val="0"/>
      <c:spPr>
        <a:noFill/>
        <a:ln w="25400">
          <a:noFill/>
        </a:ln>
      </c:spPr>
    </c:title>
    <c:autoTitleDeleted val="0"/>
    <c:plotArea>
      <c:layout>
        <c:manualLayout>
          <c:layoutTarget val="inner"/>
          <c:xMode val="edge"/>
          <c:yMode val="edge"/>
          <c:x val="0.11240465860046445"/>
          <c:y val="0.13227513615845773"/>
          <c:w val="0.62826175253474115"/>
          <c:h val="0.75276577486540563"/>
        </c:manualLayout>
      </c:layout>
      <c:radarChart>
        <c:radarStyle val="marker"/>
        <c:varyColors val="0"/>
        <c:ser>
          <c:idx val="1"/>
          <c:order val="0"/>
          <c:tx>
            <c:strRef>
              <c:f>RWDI_FACTORS!$AE$102</c:f>
              <c:strCache>
                <c:ptCount val="1"/>
                <c:pt idx="0">
                  <c:v>SITE</c:v>
                </c:pt>
              </c:strCache>
            </c:strRef>
          </c:tx>
          <c:spPr>
            <a:ln w="28575">
              <a:noFill/>
            </a:ln>
          </c:spPr>
          <c:marker>
            <c:symbol val="circle"/>
            <c:size val="10"/>
            <c:spPr>
              <a:solidFill>
                <a:srgbClr val="000000"/>
              </a:solidFill>
              <a:ln>
                <a:solidFill>
                  <a:srgbClr val="000000"/>
                </a:solidFill>
                <a:prstDash val="solid"/>
              </a:ln>
            </c:spPr>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RWDI_FACTORS!$AK$103:$AK$138</c:f>
              <c:numCache>
                <c:formatCode>0.000</c:formatCode>
                <c:ptCount val="36"/>
                <c:pt idx="0" formatCode="0.00">
                  <c:v>0.18996455122229031</c:v>
                </c:pt>
                <c:pt idx="1">
                  <c:v>0.10136646185266636</c:v>
                </c:pt>
                <c:pt idx="2">
                  <c:v>0.10136646185266636</c:v>
                </c:pt>
                <c:pt idx="3">
                  <c:v>0.10136646185266636</c:v>
                </c:pt>
                <c:pt idx="4">
                  <c:v>0.12033426426237992</c:v>
                </c:pt>
                <c:pt idx="5">
                  <c:v>0.12033426426237992</c:v>
                </c:pt>
                <c:pt idx="6">
                  <c:v>0.12033426426237992</c:v>
                </c:pt>
                <c:pt idx="7">
                  <c:v>0.15041439697904124</c:v>
                </c:pt>
                <c:pt idx="8">
                  <c:v>0.15041439697904124</c:v>
                </c:pt>
                <c:pt idx="9">
                  <c:v>0.15041439697904124</c:v>
                </c:pt>
                <c:pt idx="10">
                  <c:v>0.1811554897459601</c:v>
                </c:pt>
                <c:pt idx="11">
                  <c:v>0.1811554897459601</c:v>
                </c:pt>
                <c:pt idx="12">
                  <c:v>0.1811554897459601</c:v>
                </c:pt>
                <c:pt idx="13">
                  <c:v>0.23667254275369529</c:v>
                </c:pt>
                <c:pt idx="14">
                  <c:v>0.23667254275369529</c:v>
                </c:pt>
                <c:pt idx="15">
                  <c:v>0.23667254275369529</c:v>
                </c:pt>
                <c:pt idx="16">
                  <c:v>0.10136646185266636</c:v>
                </c:pt>
                <c:pt idx="17">
                  <c:v>0.10136646185266636</c:v>
                </c:pt>
                <c:pt idx="18">
                  <c:v>0.10136646185266636</c:v>
                </c:pt>
                <c:pt idx="19">
                  <c:v>0.12033426426237992</c:v>
                </c:pt>
                <c:pt idx="20">
                  <c:v>0.12033426426237992</c:v>
                </c:pt>
                <c:pt idx="21">
                  <c:v>0.12033426426237992</c:v>
                </c:pt>
                <c:pt idx="22">
                  <c:v>0.15041439697904124</c:v>
                </c:pt>
                <c:pt idx="23">
                  <c:v>0.15041439697904124</c:v>
                </c:pt>
                <c:pt idx="24">
                  <c:v>0.15041439697904124</c:v>
                </c:pt>
                <c:pt idx="25">
                  <c:v>0.1811554897459601</c:v>
                </c:pt>
                <c:pt idx="26">
                  <c:v>0.1811554897459601</c:v>
                </c:pt>
                <c:pt idx="27">
                  <c:v>0.1811554897459601</c:v>
                </c:pt>
                <c:pt idx="28">
                  <c:v>0.23667254275369529</c:v>
                </c:pt>
                <c:pt idx="29">
                  <c:v>0.23667254275369529</c:v>
                </c:pt>
                <c:pt idx="30">
                  <c:v>0.23667254275369529</c:v>
                </c:pt>
                <c:pt idx="31">
                  <c:v>0.21244327899944421</c:v>
                </c:pt>
                <c:pt idx="32">
                  <c:v>0.21244327899944421</c:v>
                </c:pt>
                <c:pt idx="33">
                  <c:v>0.21244327899944421</c:v>
                </c:pt>
                <c:pt idx="34">
                  <c:v>0.18996455122229031</c:v>
                </c:pt>
                <c:pt idx="35">
                  <c:v>0.18996455122229031</c:v>
                </c:pt>
              </c:numCache>
            </c:numRef>
          </c:val>
          <c:extLst>
            <c:ext xmlns:c16="http://schemas.microsoft.com/office/drawing/2014/chart" uri="{C3380CC4-5D6E-409C-BE32-E72D297353CC}">
              <c16:uniqueId val="{00000000-C095-4FB3-A22F-7F5811A9216A}"/>
            </c:ext>
          </c:extLst>
        </c:ser>
        <c:ser>
          <c:idx val="2"/>
          <c:order val="1"/>
          <c:tx>
            <c:strRef>
              <c:f>RWDI_FACTORS!$AF$102</c:f>
              <c:strCache>
                <c:ptCount val="1"/>
                <c:pt idx="0">
                  <c:v>OPEN</c:v>
                </c:pt>
              </c:strCache>
            </c:strRef>
          </c:tx>
          <c:spPr>
            <a:ln w="38100">
              <a:solidFill>
                <a:srgbClr val="333333"/>
              </a:solidFill>
              <a:prstDash val="sysDash"/>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RWDI_FACTORS!$AL$103:$AL$138</c:f>
              <c:numCache>
                <c:formatCode>0.00</c:formatCode>
                <c:ptCount val="36"/>
                <c:pt idx="0">
                  <c:v>0.10136646185266636</c:v>
                </c:pt>
                <c:pt idx="1">
                  <c:v>0.10136646185266636</c:v>
                </c:pt>
                <c:pt idx="2">
                  <c:v>0.10136646185266636</c:v>
                </c:pt>
                <c:pt idx="3">
                  <c:v>0.10136646185266636</c:v>
                </c:pt>
                <c:pt idx="4">
                  <c:v>0.10136646185266636</c:v>
                </c:pt>
                <c:pt idx="5">
                  <c:v>0.10136646185266636</c:v>
                </c:pt>
                <c:pt idx="6">
                  <c:v>0.10136646185266636</c:v>
                </c:pt>
                <c:pt idx="7">
                  <c:v>0.10136646185266636</c:v>
                </c:pt>
                <c:pt idx="8">
                  <c:v>0.10136646185266636</c:v>
                </c:pt>
                <c:pt idx="9">
                  <c:v>0.10136646185266636</c:v>
                </c:pt>
                <c:pt idx="10">
                  <c:v>0.10136646185266636</c:v>
                </c:pt>
                <c:pt idx="11">
                  <c:v>0.10136646185266636</c:v>
                </c:pt>
                <c:pt idx="12">
                  <c:v>0.10136646185266636</c:v>
                </c:pt>
                <c:pt idx="13">
                  <c:v>0.10136646185266636</c:v>
                </c:pt>
                <c:pt idx="14">
                  <c:v>0.10136646185266636</c:v>
                </c:pt>
                <c:pt idx="15">
                  <c:v>0.10136646185266636</c:v>
                </c:pt>
                <c:pt idx="16">
                  <c:v>0.10136646185266636</c:v>
                </c:pt>
                <c:pt idx="17">
                  <c:v>0.10136646185266636</c:v>
                </c:pt>
                <c:pt idx="18">
                  <c:v>0.10136646185266636</c:v>
                </c:pt>
                <c:pt idx="19">
                  <c:v>0.10136646185266636</c:v>
                </c:pt>
                <c:pt idx="20">
                  <c:v>0.10136646185266636</c:v>
                </c:pt>
                <c:pt idx="21">
                  <c:v>0.10136646185266636</c:v>
                </c:pt>
                <c:pt idx="22">
                  <c:v>0.10136646185266636</c:v>
                </c:pt>
                <c:pt idx="23">
                  <c:v>0.10136646185266636</c:v>
                </c:pt>
                <c:pt idx="24">
                  <c:v>0.10136646185266636</c:v>
                </c:pt>
                <c:pt idx="25">
                  <c:v>0.10136646185266636</c:v>
                </c:pt>
                <c:pt idx="26">
                  <c:v>0.10136646185266636</c:v>
                </c:pt>
                <c:pt idx="27">
                  <c:v>0.10136646185266636</c:v>
                </c:pt>
                <c:pt idx="28">
                  <c:v>0.10136646185266636</c:v>
                </c:pt>
                <c:pt idx="29">
                  <c:v>0.10136646185266636</c:v>
                </c:pt>
                <c:pt idx="30">
                  <c:v>0.10136646185266636</c:v>
                </c:pt>
                <c:pt idx="31">
                  <c:v>0.10136646185266636</c:v>
                </c:pt>
                <c:pt idx="32">
                  <c:v>0.10136646185266636</c:v>
                </c:pt>
                <c:pt idx="33">
                  <c:v>0.10136646185266636</c:v>
                </c:pt>
                <c:pt idx="34">
                  <c:v>0.10136646185266636</c:v>
                </c:pt>
                <c:pt idx="35">
                  <c:v>0.10136646185266636</c:v>
                </c:pt>
              </c:numCache>
            </c:numRef>
          </c:val>
          <c:extLst>
            <c:ext xmlns:c16="http://schemas.microsoft.com/office/drawing/2014/chart" uri="{C3380CC4-5D6E-409C-BE32-E72D297353CC}">
              <c16:uniqueId val="{00000001-C095-4FB3-A22F-7F5811A9216A}"/>
            </c:ext>
          </c:extLst>
        </c:ser>
        <c:ser>
          <c:idx val="3"/>
          <c:order val="2"/>
          <c:tx>
            <c:strRef>
              <c:f>RWDI_FACTORS!$AG$102</c:f>
              <c:strCache>
                <c:ptCount val="1"/>
                <c:pt idx="0">
                  <c:v>SUB/OPEN</c:v>
                </c:pt>
              </c:strCache>
            </c:strRef>
          </c:tx>
          <c:spPr>
            <a:ln w="25400">
              <a:solidFill>
                <a:srgbClr val="333333"/>
              </a:solidFill>
              <a:prstDash val="lgDashDotDot"/>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RWDI_FACTORS!$AM$103:$AM$138</c:f>
              <c:numCache>
                <c:formatCode>0.00</c:formatCode>
                <c:ptCount val="36"/>
                <c:pt idx="0">
                  <c:v>0.12033426426237992</c:v>
                </c:pt>
                <c:pt idx="1">
                  <c:v>0.12033426426237992</c:v>
                </c:pt>
                <c:pt idx="2">
                  <c:v>0.12033426426237992</c:v>
                </c:pt>
                <c:pt idx="3">
                  <c:v>0.12033426426237992</c:v>
                </c:pt>
                <c:pt idx="4">
                  <c:v>0.12033426426237992</c:v>
                </c:pt>
                <c:pt idx="5">
                  <c:v>0.12033426426237992</c:v>
                </c:pt>
                <c:pt idx="6">
                  <c:v>0.12033426426237992</c:v>
                </c:pt>
                <c:pt idx="7">
                  <c:v>0.12033426426237992</c:v>
                </c:pt>
                <c:pt idx="8">
                  <c:v>0.12033426426237992</c:v>
                </c:pt>
                <c:pt idx="9">
                  <c:v>0.12033426426237992</c:v>
                </c:pt>
                <c:pt idx="10">
                  <c:v>0.12033426426237992</c:v>
                </c:pt>
                <c:pt idx="11">
                  <c:v>0.12033426426237992</c:v>
                </c:pt>
                <c:pt idx="12">
                  <c:v>0.12033426426237992</c:v>
                </c:pt>
                <c:pt idx="13">
                  <c:v>0.12033426426237992</c:v>
                </c:pt>
                <c:pt idx="14">
                  <c:v>0.12033426426237992</c:v>
                </c:pt>
                <c:pt idx="15">
                  <c:v>0.12033426426237992</c:v>
                </c:pt>
                <c:pt idx="16">
                  <c:v>0.12033426426237992</c:v>
                </c:pt>
                <c:pt idx="17">
                  <c:v>0.12033426426237992</c:v>
                </c:pt>
                <c:pt idx="18">
                  <c:v>0.12033426426237992</c:v>
                </c:pt>
                <c:pt idx="19">
                  <c:v>0.12033426426237992</c:v>
                </c:pt>
                <c:pt idx="20">
                  <c:v>0.12033426426237992</c:v>
                </c:pt>
                <c:pt idx="21">
                  <c:v>0.12033426426237992</c:v>
                </c:pt>
                <c:pt idx="22">
                  <c:v>0.12033426426237992</c:v>
                </c:pt>
                <c:pt idx="23">
                  <c:v>0.12033426426237992</c:v>
                </c:pt>
                <c:pt idx="24">
                  <c:v>0.12033426426237992</c:v>
                </c:pt>
                <c:pt idx="25">
                  <c:v>0.12033426426237992</c:v>
                </c:pt>
                <c:pt idx="26">
                  <c:v>0.12033426426237992</c:v>
                </c:pt>
                <c:pt idx="27">
                  <c:v>0.12033426426237992</c:v>
                </c:pt>
                <c:pt idx="28">
                  <c:v>0.12033426426237992</c:v>
                </c:pt>
                <c:pt idx="29">
                  <c:v>0.12033426426237992</c:v>
                </c:pt>
                <c:pt idx="30">
                  <c:v>0.12033426426237992</c:v>
                </c:pt>
                <c:pt idx="31">
                  <c:v>0.12033426426237992</c:v>
                </c:pt>
                <c:pt idx="32">
                  <c:v>0.12033426426237992</c:v>
                </c:pt>
                <c:pt idx="33">
                  <c:v>0.12033426426237992</c:v>
                </c:pt>
                <c:pt idx="34">
                  <c:v>0.12033426426237992</c:v>
                </c:pt>
                <c:pt idx="35">
                  <c:v>0.12033426426237992</c:v>
                </c:pt>
              </c:numCache>
            </c:numRef>
          </c:val>
          <c:extLst>
            <c:ext xmlns:c16="http://schemas.microsoft.com/office/drawing/2014/chart" uri="{C3380CC4-5D6E-409C-BE32-E72D297353CC}">
              <c16:uniqueId val="{00000002-C095-4FB3-A22F-7F5811A9216A}"/>
            </c:ext>
          </c:extLst>
        </c:ser>
        <c:ser>
          <c:idx val="4"/>
          <c:order val="3"/>
          <c:tx>
            <c:strRef>
              <c:f>RWDI_FACTORS!$AH$102</c:f>
              <c:strCache>
                <c:ptCount val="1"/>
                <c:pt idx="0">
                  <c:v>SUBURBAN</c:v>
                </c:pt>
              </c:strCache>
            </c:strRef>
          </c:tx>
          <c:spPr>
            <a:ln w="38100">
              <a:solidFill>
                <a:srgbClr val="333333"/>
              </a:solidFill>
              <a:prstDash val="lgDash"/>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RWDI_FACTORS!$AN$103:$AN$138</c:f>
              <c:numCache>
                <c:formatCode>0.00</c:formatCode>
                <c:ptCount val="36"/>
                <c:pt idx="0">
                  <c:v>0.15041439697904124</c:v>
                </c:pt>
                <c:pt idx="1">
                  <c:v>0.15041439697904124</c:v>
                </c:pt>
                <c:pt idx="2">
                  <c:v>0.15041439697904124</c:v>
                </c:pt>
                <c:pt idx="3">
                  <c:v>0.15041439697904124</c:v>
                </c:pt>
                <c:pt idx="4">
                  <c:v>0.15041439697904124</c:v>
                </c:pt>
                <c:pt idx="5">
                  <c:v>0.15041439697904124</c:v>
                </c:pt>
                <c:pt idx="6">
                  <c:v>0.15041439697904124</c:v>
                </c:pt>
                <c:pt idx="7">
                  <c:v>0.15041439697904124</c:v>
                </c:pt>
                <c:pt idx="8">
                  <c:v>0.15041439697904124</c:v>
                </c:pt>
                <c:pt idx="9">
                  <c:v>0.15041439697904124</c:v>
                </c:pt>
                <c:pt idx="10">
                  <c:v>0.15041439697904124</c:v>
                </c:pt>
                <c:pt idx="11">
                  <c:v>0.15041439697904124</c:v>
                </c:pt>
                <c:pt idx="12">
                  <c:v>0.15041439697904124</c:v>
                </c:pt>
                <c:pt idx="13">
                  <c:v>0.15041439697904124</c:v>
                </c:pt>
                <c:pt idx="14">
                  <c:v>0.15041439697904124</c:v>
                </c:pt>
                <c:pt idx="15">
                  <c:v>0.15041439697904124</c:v>
                </c:pt>
                <c:pt idx="16">
                  <c:v>0.15041439697904124</c:v>
                </c:pt>
                <c:pt idx="17">
                  <c:v>0.15041439697904124</c:v>
                </c:pt>
                <c:pt idx="18">
                  <c:v>0.15041439697904124</c:v>
                </c:pt>
                <c:pt idx="19">
                  <c:v>0.15041439697904124</c:v>
                </c:pt>
                <c:pt idx="20">
                  <c:v>0.15041439697904124</c:v>
                </c:pt>
                <c:pt idx="21">
                  <c:v>0.15041439697904124</c:v>
                </c:pt>
                <c:pt idx="22">
                  <c:v>0.15041439697904124</c:v>
                </c:pt>
                <c:pt idx="23">
                  <c:v>0.15041439697904124</c:v>
                </c:pt>
                <c:pt idx="24">
                  <c:v>0.15041439697904124</c:v>
                </c:pt>
                <c:pt idx="25">
                  <c:v>0.15041439697904124</c:v>
                </c:pt>
                <c:pt idx="26">
                  <c:v>0.15041439697904124</c:v>
                </c:pt>
                <c:pt idx="27">
                  <c:v>0.15041439697904124</c:v>
                </c:pt>
                <c:pt idx="28">
                  <c:v>0.15041439697904124</c:v>
                </c:pt>
                <c:pt idx="29">
                  <c:v>0.15041439697904124</c:v>
                </c:pt>
                <c:pt idx="30">
                  <c:v>0.15041439697904124</c:v>
                </c:pt>
                <c:pt idx="31">
                  <c:v>0.15041439697904124</c:v>
                </c:pt>
                <c:pt idx="32">
                  <c:v>0.15041439697904124</c:v>
                </c:pt>
                <c:pt idx="33">
                  <c:v>0.15041439697904124</c:v>
                </c:pt>
                <c:pt idx="34">
                  <c:v>0.15041439697904124</c:v>
                </c:pt>
                <c:pt idx="35">
                  <c:v>0.15041439697904124</c:v>
                </c:pt>
              </c:numCache>
            </c:numRef>
          </c:val>
          <c:extLst>
            <c:ext xmlns:c16="http://schemas.microsoft.com/office/drawing/2014/chart" uri="{C3380CC4-5D6E-409C-BE32-E72D297353CC}">
              <c16:uniqueId val="{00000003-C095-4FB3-A22F-7F5811A9216A}"/>
            </c:ext>
          </c:extLst>
        </c:ser>
        <c:ser>
          <c:idx val="5"/>
          <c:order val="4"/>
          <c:tx>
            <c:strRef>
              <c:f>RWDI_FACTORS!$AI$102</c:f>
              <c:strCache>
                <c:ptCount val="1"/>
                <c:pt idx="0">
                  <c:v>URBAN</c:v>
                </c:pt>
              </c:strCache>
            </c:strRef>
          </c:tx>
          <c:spPr>
            <a:ln w="38100">
              <a:solidFill>
                <a:srgbClr val="333333"/>
              </a:solidFill>
              <a:prstDash val="solid"/>
            </a:ln>
          </c:spPr>
          <c:marker>
            <c:symbol val="none"/>
          </c:marker>
          <c:cat>
            <c:numRef>
              <c:f>RWDI_FACTORS!$AD$103:$AD$138</c:f>
              <c:numCache>
                <c:formatCode>General</c:formatCode>
                <c:ptCount val="36"/>
                <c:pt idx="0">
                  <c:v>360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pt idx="21">
                  <c:v>210</c:v>
                </c:pt>
                <c:pt idx="22">
                  <c:v>220</c:v>
                </c:pt>
                <c:pt idx="23">
                  <c:v>230</c:v>
                </c:pt>
                <c:pt idx="24">
                  <c:v>240</c:v>
                </c:pt>
                <c:pt idx="25">
                  <c:v>250</c:v>
                </c:pt>
                <c:pt idx="26">
                  <c:v>260</c:v>
                </c:pt>
                <c:pt idx="27">
                  <c:v>270</c:v>
                </c:pt>
                <c:pt idx="28">
                  <c:v>280</c:v>
                </c:pt>
                <c:pt idx="29">
                  <c:v>290</c:v>
                </c:pt>
                <c:pt idx="30">
                  <c:v>300</c:v>
                </c:pt>
                <c:pt idx="31">
                  <c:v>310</c:v>
                </c:pt>
                <c:pt idx="32">
                  <c:v>320</c:v>
                </c:pt>
                <c:pt idx="33">
                  <c:v>330</c:v>
                </c:pt>
                <c:pt idx="34">
                  <c:v>340</c:v>
                </c:pt>
                <c:pt idx="35">
                  <c:v>350</c:v>
                </c:pt>
              </c:numCache>
            </c:numRef>
          </c:cat>
          <c:val>
            <c:numRef>
              <c:f>RWDI_FACTORS!$AO$103:$AO$138</c:f>
              <c:numCache>
                <c:formatCode>0.00</c:formatCode>
                <c:ptCount val="36"/>
                <c:pt idx="0">
                  <c:v>0.1811554897459601</c:v>
                </c:pt>
                <c:pt idx="1">
                  <c:v>0.1811554897459601</c:v>
                </c:pt>
                <c:pt idx="2">
                  <c:v>0.1811554897459601</c:v>
                </c:pt>
                <c:pt idx="3">
                  <c:v>0.1811554897459601</c:v>
                </c:pt>
                <c:pt idx="4">
                  <c:v>0.1811554897459601</c:v>
                </c:pt>
                <c:pt idx="5">
                  <c:v>0.1811554897459601</c:v>
                </c:pt>
                <c:pt idx="6">
                  <c:v>0.1811554897459601</c:v>
                </c:pt>
                <c:pt idx="7">
                  <c:v>0.1811554897459601</c:v>
                </c:pt>
                <c:pt idx="8">
                  <c:v>0.1811554897459601</c:v>
                </c:pt>
                <c:pt idx="9">
                  <c:v>0.1811554897459601</c:v>
                </c:pt>
                <c:pt idx="10">
                  <c:v>0.1811554897459601</c:v>
                </c:pt>
                <c:pt idx="11">
                  <c:v>0.1811554897459601</c:v>
                </c:pt>
                <c:pt idx="12">
                  <c:v>0.1811554897459601</c:v>
                </c:pt>
                <c:pt idx="13">
                  <c:v>0.1811554897459601</c:v>
                </c:pt>
                <c:pt idx="14">
                  <c:v>0.1811554897459601</c:v>
                </c:pt>
                <c:pt idx="15">
                  <c:v>0.1811554897459601</c:v>
                </c:pt>
                <c:pt idx="16">
                  <c:v>0.1811554897459601</c:v>
                </c:pt>
                <c:pt idx="17">
                  <c:v>0.1811554897459601</c:v>
                </c:pt>
                <c:pt idx="18">
                  <c:v>0.1811554897459601</c:v>
                </c:pt>
                <c:pt idx="19">
                  <c:v>0.1811554897459601</c:v>
                </c:pt>
                <c:pt idx="20">
                  <c:v>0.1811554897459601</c:v>
                </c:pt>
                <c:pt idx="21">
                  <c:v>0.1811554897459601</c:v>
                </c:pt>
                <c:pt idx="22">
                  <c:v>0.1811554897459601</c:v>
                </c:pt>
                <c:pt idx="23">
                  <c:v>0.1811554897459601</c:v>
                </c:pt>
                <c:pt idx="24">
                  <c:v>0.1811554897459601</c:v>
                </c:pt>
                <c:pt idx="25">
                  <c:v>0.1811554897459601</c:v>
                </c:pt>
                <c:pt idx="26">
                  <c:v>0.1811554897459601</c:v>
                </c:pt>
                <c:pt idx="27">
                  <c:v>0.1811554897459601</c:v>
                </c:pt>
                <c:pt idx="28">
                  <c:v>0.1811554897459601</c:v>
                </c:pt>
                <c:pt idx="29">
                  <c:v>0.1811554897459601</c:v>
                </c:pt>
                <c:pt idx="30">
                  <c:v>0.1811554897459601</c:v>
                </c:pt>
                <c:pt idx="31">
                  <c:v>0.1811554897459601</c:v>
                </c:pt>
                <c:pt idx="32">
                  <c:v>0.1811554897459601</c:v>
                </c:pt>
                <c:pt idx="33">
                  <c:v>0.1811554897459601</c:v>
                </c:pt>
                <c:pt idx="34">
                  <c:v>0.1811554897459601</c:v>
                </c:pt>
                <c:pt idx="35">
                  <c:v>0.1811554897459601</c:v>
                </c:pt>
              </c:numCache>
            </c:numRef>
          </c:val>
          <c:extLst>
            <c:ext xmlns:c16="http://schemas.microsoft.com/office/drawing/2014/chart" uri="{C3380CC4-5D6E-409C-BE32-E72D297353CC}">
              <c16:uniqueId val="{00000004-C095-4FB3-A22F-7F5811A9216A}"/>
            </c:ext>
          </c:extLst>
        </c:ser>
        <c:dLbls>
          <c:showLegendKey val="0"/>
          <c:showVal val="0"/>
          <c:showCatName val="0"/>
          <c:showSerName val="0"/>
          <c:showPercent val="0"/>
          <c:showBubbleSize val="0"/>
        </c:dLbls>
        <c:axId val="251847424"/>
        <c:axId val="251848960"/>
      </c:radarChart>
      <c:catAx>
        <c:axId val="25184742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txPr>
          <a:bodyPr rot="0" vert="horz"/>
          <a:lstStyle/>
          <a:p>
            <a:pPr>
              <a:defRPr sz="800" b="0" i="0" u="none" strike="noStrike" baseline="0">
                <a:solidFill>
                  <a:srgbClr val="000000"/>
                </a:solidFill>
                <a:latin typeface="Arial"/>
                <a:ea typeface="Arial"/>
                <a:cs typeface="Arial"/>
              </a:defRPr>
            </a:pPr>
            <a:endParaRPr lang="en-US"/>
          </a:p>
        </c:txPr>
        <c:crossAx val="251848960"/>
        <c:crosses val="autoZero"/>
        <c:auto val="0"/>
        <c:lblAlgn val="ctr"/>
        <c:lblOffset val="100"/>
        <c:noMultiLvlLbl val="0"/>
      </c:catAx>
      <c:valAx>
        <c:axId val="251848960"/>
        <c:scaling>
          <c:orientation val="minMax"/>
        </c:scaling>
        <c:delete val="0"/>
        <c:axPos val="l"/>
        <c:majorGridlines>
          <c:spPr>
            <a:ln w="3175">
              <a:solidFill>
                <a:srgbClr val="000000"/>
              </a:solidFill>
              <a:prstDash val="solid"/>
            </a:ln>
          </c:spPr>
        </c:majorGridlines>
        <c:numFmt formatCode="0.00" sourceLinked="1"/>
        <c:majorTickMark val="cross"/>
        <c:minorTickMark val="none"/>
        <c:tickLblPos val="nextTo"/>
        <c:spPr>
          <a:ln w="3175">
            <a:solidFill>
              <a:srgbClr val="000000"/>
            </a:solidFill>
            <a:prstDash val="solid"/>
          </a:ln>
        </c:spPr>
        <c:txPr>
          <a:bodyPr rot="0" vert="horz"/>
          <a:lstStyle/>
          <a:p>
            <a:pPr>
              <a:defRPr sz="325" b="0" i="0" u="none" strike="noStrike" baseline="0">
                <a:solidFill>
                  <a:srgbClr val="000000"/>
                </a:solidFill>
                <a:latin typeface="Arial"/>
                <a:ea typeface="Arial"/>
                <a:cs typeface="Arial"/>
              </a:defRPr>
            </a:pPr>
            <a:endParaRPr lang="en-US"/>
          </a:p>
        </c:txPr>
        <c:crossAx val="251847424"/>
        <c:crosses val="autoZero"/>
        <c:crossBetween val="between"/>
      </c:valAx>
      <c:spPr>
        <a:noFill/>
        <a:ln w="25400">
          <a:noFill/>
        </a:ln>
      </c:spPr>
    </c:plotArea>
    <c:legend>
      <c:legendPos val="r"/>
      <c:layout>
        <c:manualLayout>
          <c:xMode val="edge"/>
          <c:yMode val="edge"/>
          <c:x val="0.7607387028428676"/>
          <c:y val="0.45214034812812498"/>
          <c:w val="0.21477321358926552"/>
          <c:h val="0.2044251185019789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44" r="0.75000000000000144"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1E-2"/>
          <c:w val="0.60994320807616165"/>
          <c:h val="0.69006044996244709"/>
        </c:manualLayout>
      </c:layout>
      <c:scatterChart>
        <c:scatterStyle val="smoothMarker"/>
        <c:varyColors val="0"/>
        <c:ser>
          <c:idx val="1"/>
          <c:order val="0"/>
          <c:tx>
            <c:strRef>
              <c:f>PLOTS!$AW$49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PLOTS!$AW$51:$AW$70</c:f>
              <c:numCache>
                <c:formatCode>General</c:formatCode>
                <c:ptCount val="20"/>
                <c:pt idx="0">
                  <c:v>0.824197975633716</c:v>
                </c:pt>
                <c:pt idx="1">
                  <c:v>0.85504199095541178</c:v>
                </c:pt>
                <c:pt idx="2">
                  <c:v>0.87756077419999945</c:v>
                </c:pt>
                <c:pt idx="3">
                  <c:v>0.90007955744458712</c:v>
                </c:pt>
                <c:pt idx="4">
                  <c:v>0.92259834068917468</c:v>
                </c:pt>
                <c:pt idx="5">
                  <c:v>0.93926214898542282</c:v>
                </c:pt>
                <c:pt idx="6">
                  <c:v>0.95592595728167107</c:v>
                </c:pt>
                <c:pt idx="7">
                  <c:v>0.98149361027389326</c:v>
                </c:pt>
                <c:pt idx="8">
                  <c:v>1.0011542909469988</c:v>
                </c:pt>
                <c:pt idx="9">
                  <c:v>1.0208149716201043</c:v>
                </c:pt>
                <c:pt idx="10">
                  <c:v>1.0345686799740932</c:v>
                </c:pt>
                <c:pt idx="11">
                  <c:v>1.0530524842477871</c:v>
                </c:pt>
                <c:pt idx="12">
                  <c:v>1.0715362885214808</c:v>
                </c:pt>
                <c:pt idx="13">
                  <c:v>1.0825630467999512</c:v>
                </c:pt>
                <c:pt idx="14">
                  <c:v>1.0935898050784214</c:v>
                </c:pt>
                <c:pt idx="15">
                  <c:v>1.1046165633568914</c:v>
                </c:pt>
                <c:pt idx="16">
                  <c:v>1.1146114263422466</c:v>
                </c:pt>
                <c:pt idx="17">
                  <c:v>1.1359860439370459</c:v>
                </c:pt>
                <c:pt idx="18">
                  <c:v>1.1524024386392715</c:v>
                </c:pt>
                <c:pt idx="19">
                  <c:v>1.1690727936750265</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C6BF-4F87-B13E-03FE18E6FEFE}"/>
            </c:ext>
          </c:extLst>
        </c:ser>
        <c:ser>
          <c:idx val="5"/>
          <c:order val="1"/>
          <c:tx>
            <c:strRef>
              <c:f>PLOTS!$AW$6</c:f>
              <c:strCache>
                <c:ptCount val="1"/>
                <c:pt idx="0">
                  <c:v>10-30</c:v>
                </c:pt>
              </c:strCache>
            </c:strRef>
          </c:tx>
          <c:marker>
            <c:symbol val="none"/>
          </c:marker>
          <c:xVal>
            <c:numRef>
              <c:f>PLOTS!$AW$8:$AW$16</c:f>
              <c:numCache>
                <c:formatCode>General</c:formatCode>
                <c:ptCount val="9"/>
                <c:pt idx="0">
                  <c:v>0.73904183231475307</c:v>
                </c:pt>
                <c:pt idx="1">
                  <c:v>0.84913767063209744</c:v>
                </c:pt>
                <c:pt idx="2">
                  <c:v>0.90220456083833089</c:v>
                </c:pt>
                <c:pt idx="3">
                  <c:v>0.97816622092630823</c:v>
                </c:pt>
                <c:pt idx="4">
                  <c:v>1.0261252398843985</c:v>
                </c:pt>
                <c:pt idx="5">
                  <c:v>1.0625583997248218</c:v>
                </c:pt>
                <c:pt idx="6">
                  <c:v>1.1186294475847789</c:v>
                </c:pt>
                <c:pt idx="7">
                  <c:v>1.1628357016829898</c:v>
                </c:pt>
                <c:pt idx="8">
                  <c:v>1.2333571465252515</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C6BF-4F87-B13E-03FE18E6FEFE}"/>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C6BF-4F87-B13E-03FE18E6FEFE}"/>
            </c:ext>
          </c:extLst>
        </c:ser>
        <c:dLbls>
          <c:showLegendKey val="0"/>
          <c:showVal val="0"/>
          <c:showCatName val="0"/>
          <c:showSerName val="0"/>
          <c:showPercent val="0"/>
          <c:showBubbleSize val="0"/>
        </c:dLbls>
        <c:axId val="252367232"/>
        <c:axId val="252369152"/>
      </c:scatterChart>
      <c:valAx>
        <c:axId val="25236723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3585537728"/>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369152"/>
        <c:crosses val="autoZero"/>
        <c:crossBetween val="midCat"/>
        <c:majorUnit val="0.2"/>
      </c:valAx>
      <c:valAx>
        <c:axId val="25236915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247596962216E-3"/>
              <c:y val="0.1783631779755341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367232"/>
        <c:crosses val="autoZero"/>
        <c:crossBetween val="midCat"/>
      </c:valAx>
      <c:spPr>
        <a:noFill/>
        <a:ln w="12700">
          <a:solidFill>
            <a:srgbClr val="808080"/>
          </a:solidFill>
          <a:prstDash val="solid"/>
        </a:ln>
      </c:spPr>
    </c:plotArea>
    <c:legend>
      <c:legendPos val="r"/>
      <c:layout>
        <c:manualLayout>
          <c:xMode val="edge"/>
          <c:yMode val="edge"/>
          <c:x val="0.78393962817875762"/>
          <c:y val="7.8349407507493515E-2"/>
          <c:w val="0.21606037182124302"/>
          <c:h val="0.3444967308080574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orientation="landscape"/>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38E-2"/>
          <c:w val="0.60994320807616165"/>
          <c:h val="0.69006044996244686"/>
        </c:manualLayout>
      </c:layout>
      <c:scatterChart>
        <c:scatterStyle val="smoothMarker"/>
        <c:varyColors val="0"/>
        <c:ser>
          <c:idx val="1"/>
          <c:order val="0"/>
          <c:tx>
            <c:strRef>
              <c:f>PLOTS!$AW$49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PLOTS!$AW$73:$AW$92</c:f>
              <c:numCache>
                <c:formatCode>General</c:formatCode>
                <c:ptCount val="20"/>
                <c:pt idx="0">
                  <c:v>0.13733333333333334</c:v>
                </c:pt>
                <c:pt idx="1">
                  <c:v>0.13166666666666665</c:v>
                </c:pt>
                <c:pt idx="2">
                  <c:v>0.126</c:v>
                </c:pt>
                <c:pt idx="3">
                  <c:v>0.12033333333333333</c:v>
                </c:pt>
                <c:pt idx="4">
                  <c:v>0.11591666666666667</c:v>
                </c:pt>
                <c:pt idx="5">
                  <c:v>0.1115</c:v>
                </c:pt>
                <c:pt idx="6">
                  <c:v>0.10833333333333334</c:v>
                </c:pt>
                <c:pt idx="7">
                  <c:v>0.1009</c:v>
                </c:pt>
                <c:pt idx="8">
                  <c:v>9.5399999999999985E-2</c:v>
                </c:pt>
                <c:pt idx="9">
                  <c:v>8.989999999999998E-2</c:v>
                </c:pt>
                <c:pt idx="10">
                  <c:v>8.6333333333333331E-2</c:v>
                </c:pt>
                <c:pt idx="11">
                  <c:v>8.111666666666667E-2</c:v>
                </c:pt>
                <c:pt idx="12">
                  <c:v>7.5899999999999995E-2</c:v>
                </c:pt>
                <c:pt idx="13">
                  <c:v>7.4266666666666661E-2</c:v>
                </c:pt>
                <c:pt idx="14">
                  <c:v>7.2633333333333341E-2</c:v>
                </c:pt>
                <c:pt idx="15">
                  <c:v>7.1000000000000008E-2</c:v>
                </c:pt>
                <c:pt idx="16">
                  <c:v>7.0444444444444448E-2</c:v>
                </c:pt>
                <c:pt idx="17">
                  <c:v>7.1099999999999997E-2</c:v>
                </c:pt>
                <c:pt idx="18">
                  <c:v>7.2166666666666657E-2</c:v>
                </c:pt>
                <c:pt idx="19">
                  <c:v>7.1499999999999994E-2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ED2-4F8F-9F82-7BD5186CBABB}"/>
            </c:ext>
          </c:extLst>
        </c:ser>
        <c:ser>
          <c:idx val="5"/>
          <c:order val="1"/>
          <c:tx>
            <c:strRef>
              <c:f>PLOTS!$AW$6</c:f>
              <c:strCache>
                <c:ptCount val="1"/>
                <c:pt idx="0">
                  <c:v>10-30</c:v>
                </c:pt>
              </c:strCache>
            </c:strRef>
          </c:tx>
          <c:marker>
            <c:symbol val="none"/>
          </c:marker>
          <c:xVal>
            <c:numRef>
              <c:f>PLOTS!$AW$26:$AW$34</c:f>
              <c:numCache>
                <c:formatCode>General</c:formatCode>
                <c:ptCount val="9"/>
                <c:pt idx="0">
                  <c:v>0.14123980841495135</c:v>
                </c:pt>
                <c:pt idx="1">
                  <c:v>0.12817176575231357</c:v>
                </c:pt>
                <c:pt idx="2">
                  <c:v>0.12022818337227335</c:v>
                </c:pt>
                <c:pt idx="3">
                  <c:v>0.10599283782193085</c:v>
                </c:pt>
                <c:pt idx="4">
                  <c:v>9.5669718346991575E-2</c:v>
                </c:pt>
                <c:pt idx="5">
                  <c:v>8.770444438167227E-2</c:v>
                </c:pt>
                <c:pt idx="6">
                  <c:v>7.6210987912681077E-2</c:v>
                </c:pt>
                <c:pt idx="7">
                  <c:v>6.8285413451198665E-2</c:v>
                </c:pt>
                <c:pt idx="8">
                  <c:v>5.7675842652349929E-2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ED2-4F8F-9F82-7BD5186CBABB}"/>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ED2-4F8F-9F82-7BD5186CBABB}"/>
            </c:ext>
          </c:extLst>
        </c:ser>
        <c:dLbls>
          <c:showLegendKey val="0"/>
          <c:showVal val="0"/>
          <c:showCatName val="0"/>
          <c:showSerName val="0"/>
          <c:showPercent val="0"/>
          <c:showBubbleSize val="0"/>
        </c:dLbls>
        <c:axId val="252736640"/>
        <c:axId val="252738560"/>
      </c:scatterChart>
      <c:valAx>
        <c:axId val="252736640"/>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830685421"/>
              <c:y val="0.8625755047945754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738560"/>
        <c:crosses val="autoZero"/>
        <c:crossBetween val="midCat"/>
        <c:majorUnit val="0.1"/>
      </c:valAx>
      <c:valAx>
        <c:axId val="25273856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869700466181E-3"/>
              <c:y val="0.178363348145838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736640"/>
        <c:crosses val="autoZero"/>
        <c:crossBetween val="midCat"/>
      </c:valAx>
      <c:spPr>
        <a:noFill/>
        <a:ln w="12700">
          <a:solidFill>
            <a:srgbClr val="808080"/>
          </a:solidFill>
          <a:prstDash val="solid"/>
        </a:ln>
      </c:spPr>
    </c:plotArea>
    <c:legend>
      <c:legendPos val="r"/>
      <c:layout>
        <c:manualLayout>
          <c:xMode val="edge"/>
          <c:yMode val="edge"/>
          <c:x val="0.7839397128499036"/>
          <c:y val="7.7589459733374916E-2"/>
          <c:w val="0.21606028715009701"/>
          <c:h val="0.37671723707803861"/>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55" r="0.75000000000000355" t="1" header="0.5" footer="0.5"/>
    <c:pageSetup orientation="landscape"/>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38E-2"/>
          <c:w val="0.60994320807616165"/>
          <c:h val="0.69006044996244686"/>
        </c:manualLayout>
      </c:layout>
      <c:scatterChart>
        <c:scatterStyle val="smoothMarker"/>
        <c:varyColors val="0"/>
        <c:ser>
          <c:idx val="1"/>
          <c:order val="0"/>
          <c:tx>
            <c:strRef>
              <c:f>PLOTS!$AX$49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PLOTS!$AX$51:$AX$70</c:f>
              <c:numCache>
                <c:formatCode>General</c:formatCode>
                <c:ptCount val="20"/>
                <c:pt idx="0">
                  <c:v>0.80949839047170868</c:v>
                </c:pt>
                <c:pt idx="1">
                  <c:v>0.84326893387188961</c:v>
                </c:pt>
                <c:pt idx="2">
                  <c:v>0.86708630495294259</c:v>
                </c:pt>
                <c:pt idx="3">
                  <c:v>0.88836642272724509</c:v>
                </c:pt>
                <c:pt idx="4">
                  <c:v>0.90605470865989279</c:v>
                </c:pt>
                <c:pt idx="5">
                  <c:v>0.9221818589367432</c:v>
                </c:pt>
                <c:pt idx="6">
                  <c:v>0.93830900921359361</c:v>
                </c:pt>
                <c:pt idx="7">
                  <c:v>0.98138292783435876</c:v>
                </c:pt>
                <c:pt idx="8">
                  <c:v>1.0011611944943595</c:v>
                </c:pt>
                <c:pt idx="9">
                  <c:v>1.0219895110071051</c:v>
                </c:pt>
                <c:pt idx="10">
                  <c:v>1.0428178275198507</c:v>
                </c:pt>
                <c:pt idx="11">
                  <c:v>1.070336679640463</c:v>
                </c:pt>
                <c:pt idx="12">
                  <c:v>1.0957554320555856</c:v>
                </c:pt>
                <c:pt idx="13">
                  <c:v>1.1168851517668044</c:v>
                </c:pt>
                <c:pt idx="14">
                  <c:v>1.1373148382428599</c:v>
                </c:pt>
                <c:pt idx="15">
                  <c:v>1.1570444914837519</c:v>
                </c:pt>
                <c:pt idx="16">
                  <c:v>1.1747146663718846</c:v>
                </c:pt>
                <c:pt idx="17">
                  <c:v>1.2121551158536397</c:v>
                </c:pt>
                <c:pt idx="18">
                  <c:v>1.2329573200155499</c:v>
                </c:pt>
                <c:pt idx="19">
                  <c:v>1.2516594244719701</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7EC8-4C9A-BE7A-B21310B04882}"/>
            </c:ext>
          </c:extLst>
        </c:ser>
        <c:ser>
          <c:idx val="5"/>
          <c:order val="1"/>
          <c:tx>
            <c:strRef>
              <c:f>PLOTS!$AX$6</c:f>
              <c:strCache>
                <c:ptCount val="1"/>
                <c:pt idx="0">
                  <c:v>40-60</c:v>
                </c:pt>
              </c:strCache>
            </c:strRef>
          </c:tx>
          <c:marker>
            <c:symbol val="none"/>
          </c:marker>
          <c:xVal>
            <c:numRef>
              <c:f>PLOTS!$AX$8:$AX$16</c:f>
              <c:numCache>
                <c:formatCode>General</c:formatCode>
                <c:ptCount val="9"/>
                <c:pt idx="0">
                  <c:v>0.69969638884101248</c:v>
                </c:pt>
                <c:pt idx="1">
                  <c:v>0.82681581763668688</c:v>
                </c:pt>
                <c:pt idx="2">
                  <c:v>0.88792066167268779</c:v>
                </c:pt>
                <c:pt idx="3">
                  <c:v>0.97505203485024694</c:v>
                </c:pt>
                <c:pt idx="4">
                  <c:v>1.0297853347336801</c:v>
                </c:pt>
                <c:pt idx="5">
                  <c:v>1.0711950292148167</c:v>
                </c:pt>
                <c:pt idx="6">
                  <c:v>1.1346316199950908</c:v>
                </c:pt>
                <c:pt idx="7">
                  <c:v>1.1844177847695228</c:v>
                </c:pt>
                <c:pt idx="8">
                  <c:v>1.2635552015261324</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7EC8-4C9A-BE7A-B21310B04882}"/>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7EC8-4C9A-BE7A-B21310B04882}"/>
            </c:ext>
          </c:extLst>
        </c:ser>
        <c:dLbls>
          <c:showLegendKey val="0"/>
          <c:showVal val="0"/>
          <c:showCatName val="0"/>
          <c:showSerName val="0"/>
          <c:showPercent val="0"/>
          <c:showBubbleSize val="0"/>
        </c:dLbls>
        <c:axId val="252782464"/>
        <c:axId val="252801024"/>
      </c:scatterChart>
      <c:valAx>
        <c:axId val="25278246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558336899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801024"/>
        <c:crosses val="autoZero"/>
        <c:crossBetween val="midCat"/>
        <c:majorUnit val="0.2"/>
      </c:valAx>
      <c:valAx>
        <c:axId val="25280102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1975580517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782464"/>
        <c:crosses val="autoZero"/>
        <c:crossBetween val="midCat"/>
      </c:valAx>
      <c:spPr>
        <a:noFill/>
        <a:ln w="12700">
          <a:solidFill>
            <a:srgbClr val="808080"/>
          </a:solidFill>
          <a:prstDash val="solid"/>
        </a:ln>
      </c:spPr>
    </c:plotArea>
    <c:legend>
      <c:legendPos val="r"/>
      <c:layout>
        <c:manualLayout>
          <c:xMode val="edge"/>
          <c:yMode val="edge"/>
          <c:x val="0.78393960655908412"/>
          <c:y val="7.8349361259420033E-2"/>
          <c:w val="0.21606039344091879"/>
          <c:h val="0.3444965858140980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55" r="0.75000000000000355" t="1" header="0.5" footer="0.5"/>
    <c:pageSetup orientation="landscape"/>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66E-2"/>
          <c:w val="0.60994320807616165"/>
          <c:h val="0.69006044996244653"/>
        </c:manualLayout>
      </c:layout>
      <c:scatterChart>
        <c:scatterStyle val="smoothMarker"/>
        <c:varyColors val="0"/>
        <c:ser>
          <c:idx val="1"/>
          <c:order val="0"/>
          <c:tx>
            <c:strRef>
              <c:f>PLOTS!$AX$49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PLOTS!$AX$73:$AX$92</c:f>
              <c:numCache>
                <c:formatCode>General</c:formatCode>
                <c:ptCount val="20"/>
                <c:pt idx="0">
                  <c:v>0.16099999999999998</c:v>
                </c:pt>
                <c:pt idx="1">
                  <c:v>0.15537499999999999</c:v>
                </c:pt>
                <c:pt idx="2">
                  <c:v>0.14974999999999999</c:v>
                </c:pt>
                <c:pt idx="3">
                  <c:v>0.14250000000000002</c:v>
                </c:pt>
                <c:pt idx="4">
                  <c:v>0.13800000000000001</c:v>
                </c:pt>
                <c:pt idx="5">
                  <c:v>0.13450000000000001</c:v>
                </c:pt>
                <c:pt idx="6">
                  <c:v>0.13100000000000001</c:v>
                </c:pt>
                <c:pt idx="7">
                  <c:v>0.124</c:v>
                </c:pt>
                <c:pt idx="8">
                  <c:v>0.1195</c:v>
                </c:pt>
                <c:pt idx="9">
                  <c:v>0.115</c:v>
                </c:pt>
                <c:pt idx="10">
                  <c:v>0.11027500000000001</c:v>
                </c:pt>
                <c:pt idx="11">
                  <c:v>0.10555</c:v>
                </c:pt>
                <c:pt idx="12">
                  <c:v>0.10017500000000001</c:v>
                </c:pt>
                <c:pt idx="13">
                  <c:v>9.4800000000000009E-2</c:v>
                </c:pt>
                <c:pt idx="14">
                  <c:v>9.1900000000000009E-2</c:v>
                </c:pt>
                <c:pt idx="15">
                  <c:v>8.900000000000001E-2</c:v>
                </c:pt>
                <c:pt idx="16">
                  <c:v>8.6500000000000007E-2</c:v>
                </c:pt>
                <c:pt idx="17">
                  <c:v>8.4000000000000005E-2</c:v>
                </c:pt>
                <c:pt idx="18">
                  <c:v>8.2599999999999993E-2</c:v>
                </c:pt>
                <c:pt idx="19">
                  <c:v>8.2100000000000006E-2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F3B-4C92-8E56-2D0E776011DE}"/>
            </c:ext>
          </c:extLst>
        </c:ser>
        <c:ser>
          <c:idx val="5"/>
          <c:order val="1"/>
          <c:tx>
            <c:strRef>
              <c:f>PLOTS!$AX$6</c:f>
              <c:strCache>
                <c:ptCount val="1"/>
                <c:pt idx="0">
                  <c:v>40-60</c:v>
                </c:pt>
              </c:strCache>
            </c:strRef>
          </c:tx>
          <c:marker>
            <c:symbol val="none"/>
          </c:marker>
          <c:xVal>
            <c:numRef>
              <c:f>PLOTS!$AX$26:$AX$34</c:f>
              <c:numCache>
                <c:formatCode>General</c:formatCode>
                <c:ptCount val="9"/>
                <c:pt idx="0">
                  <c:v>0.16602307074333802</c:v>
                </c:pt>
                <c:pt idx="1">
                  <c:v>0.14934818806161623</c:v>
                </c:pt>
                <c:pt idx="2">
                  <c:v>0.140443386910407</c:v>
                </c:pt>
                <c:pt idx="3">
                  <c:v>0.12524626895922755</c:v>
                </c:pt>
                <c:pt idx="4">
                  <c:v>0.11424051285719854</c:v>
                </c:pt>
                <c:pt idx="5">
                  <c:v>0.1055812207708879</c:v>
                </c:pt>
                <c:pt idx="6">
                  <c:v>9.2686533839626981E-2</c:v>
                </c:pt>
                <c:pt idx="7">
                  <c:v>8.3472278417976956E-2</c:v>
                </c:pt>
                <c:pt idx="8">
                  <c:v>7.080703050658646E-2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F3B-4C92-8E56-2D0E776011DE}"/>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F3B-4C92-8E56-2D0E776011DE}"/>
            </c:ext>
          </c:extLst>
        </c:ser>
        <c:dLbls>
          <c:showLegendKey val="0"/>
          <c:showVal val="0"/>
          <c:showCatName val="0"/>
          <c:showSerName val="0"/>
          <c:showPercent val="0"/>
          <c:showBubbleSize val="0"/>
        </c:dLbls>
        <c:axId val="252832384"/>
        <c:axId val="252834560"/>
      </c:scatterChart>
      <c:valAx>
        <c:axId val="252832384"/>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5047945754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834560"/>
        <c:crosses val="autoZero"/>
        <c:crossBetween val="midCat"/>
        <c:majorUnit val="0.1"/>
      </c:valAx>
      <c:valAx>
        <c:axId val="25283456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48145838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832384"/>
        <c:crosses val="autoZero"/>
        <c:crossBetween val="midCat"/>
      </c:valAx>
      <c:spPr>
        <a:noFill/>
        <a:ln w="12700">
          <a:solidFill>
            <a:srgbClr val="808080"/>
          </a:solidFill>
          <a:prstDash val="solid"/>
        </a:ln>
      </c:spPr>
    </c:plotArea>
    <c:legend>
      <c:legendPos val="r"/>
      <c:layout>
        <c:manualLayout>
          <c:xMode val="edge"/>
          <c:yMode val="edge"/>
          <c:x val="0.78393970850106753"/>
          <c:y val="7.7589459733374916E-2"/>
          <c:w val="0.21606029149893283"/>
          <c:h val="0.37671723707803861"/>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77" r="0.75000000000000377" t="1" header="0.5" footer="0.5"/>
    <c:pageSetup orientation="landscape"/>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66E-2"/>
          <c:w val="0.60994320807616165"/>
          <c:h val="0.69006044996244653"/>
        </c:manualLayout>
      </c:layout>
      <c:scatterChart>
        <c:scatterStyle val="smoothMarker"/>
        <c:varyColors val="0"/>
        <c:ser>
          <c:idx val="1"/>
          <c:order val="0"/>
          <c:tx>
            <c:strRef>
              <c:f>PLOTS!$AY$49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PLOTS!$AY$51:$AY$70</c:f>
              <c:numCache>
                <c:formatCode>General</c:formatCode>
                <c:ptCount val="20"/>
                <c:pt idx="0">
                  <c:v>0.73036594228916563</c:v>
                </c:pt>
                <c:pt idx="1">
                  <c:v>0.76898701515167223</c:v>
                </c:pt>
                <c:pt idx="2">
                  <c:v>0.8076080880141786</c:v>
                </c:pt>
                <c:pt idx="3">
                  <c:v>0.84489454110717521</c:v>
                </c:pt>
                <c:pt idx="4">
                  <c:v>0.88218099420017193</c:v>
                </c:pt>
                <c:pt idx="5">
                  <c:v>0.90815013445488313</c:v>
                </c:pt>
                <c:pt idx="6">
                  <c:v>0.93411927470959455</c:v>
                </c:pt>
                <c:pt idx="7">
                  <c:v>0.96805585639897618</c:v>
                </c:pt>
                <c:pt idx="8">
                  <c:v>1.0019924380883578</c:v>
                </c:pt>
                <c:pt idx="9">
                  <c:v>1.0195376180323021</c:v>
                </c:pt>
                <c:pt idx="10">
                  <c:v>1.0514303646354026</c:v>
                </c:pt>
                <c:pt idx="11">
                  <c:v>1.0833231112385031</c:v>
                </c:pt>
                <c:pt idx="12">
                  <c:v>1.1230507328261341</c:v>
                </c:pt>
                <c:pt idx="13">
                  <c:v>1.1520109643315359</c:v>
                </c:pt>
                <c:pt idx="14">
                  <c:v>1.1817982043035569</c:v>
                </c:pt>
                <c:pt idx="15">
                  <c:v>1.2051176248015678</c:v>
                </c:pt>
                <c:pt idx="16">
                  <c:v>1.2284370452995785</c:v>
                </c:pt>
                <c:pt idx="17">
                  <c:v>1.2712354664128214</c:v>
                </c:pt>
                <c:pt idx="18">
                  <c:v>1.314033887526064</c:v>
                </c:pt>
                <c:pt idx="19">
                  <c:v>1.3413283297066512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54F-4878-BB3D-CB8A8F35D139}"/>
            </c:ext>
          </c:extLst>
        </c:ser>
        <c:ser>
          <c:idx val="5"/>
          <c:order val="1"/>
          <c:tx>
            <c:strRef>
              <c:f>PLOTS!$AY$6</c:f>
              <c:strCache>
                <c:ptCount val="1"/>
                <c:pt idx="0">
                  <c:v>70-90</c:v>
                </c:pt>
              </c:strCache>
            </c:strRef>
          </c:tx>
          <c:marker>
            <c:symbol val="none"/>
          </c:marker>
          <c:xVal>
            <c:numRef>
              <c:f>PLOTS!$AY$8:$AY$16</c:f>
              <c:numCache>
                <c:formatCode>General</c:formatCode>
                <c:ptCount val="9"/>
                <c:pt idx="0">
                  <c:v>0.63497081769649288</c:v>
                </c:pt>
                <c:pt idx="1">
                  <c:v>0.79009382813740281</c:v>
                </c:pt>
                <c:pt idx="2">
                  <c:v>0.86442189490606791</c:v>
                </c:pt>
                <c:pt idx="3">
                  <c:v>0.96992905960006193</c:v>
                </c:pt>
                <c:pt idx="4">
                  <c:v>1.0358057021557656</c:v>
                </c:pt>
                <c:pt idx="5">
                  <c:v>1.0853988891292607</c:v>
                </c:pt>
                <c:pt idx="6">
                  <c:v>1.1609371301919273</c:v>
                </c:pt>
                <c:pt idx="7">
                  <c:v>1.2198743170237178</c:v>
                </c:pt>
                <c:pt idx="8">
                  <c:v>1.3130834759087742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54F-4878-BB3D-CB8A8F35D13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54F-4878-BB3D-CB8A8F35D139}"/>
            </c:ext>
          </c:extLst>
        </c:ser>
        <c:dLbls>
          <c:showLegendKey val="0"/>
          <c:showVal val="0"/>
          <c:showCatName val="0"/>
          <c:showSerName val="0"/>
          <c:showPercent val="0"/>
          <c:showBubbleSize val="0"/>
        </c:dLbls>
        <c:axId val="252870016"/>
        <c:axId val="252884480"/>
      </c:scatterChart>
      <c:valAx>
        <c:axId val="25287001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5583368998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884480"/>
        <c:crosses val="autoZero"/>
        <c:crossBetween val="midCat"/>
        <c:majorUnit val="0.2"/>
      </c:valAx>
      <c:valAx>
        <c:axId val="25288448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1975580517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2870016"/>
        <c:crosses val="autoZero"/>
        <c:crossBetween val="midCat"/>
      </c:valAx>
      <c:spPr>
        <a:noFill/>
        <a:ln w="12700">
          <a:solidFill>
            <a:srgbClr val="808080"/>
          </a:solidFill>
          <a:prstDash val="solid"/>
        </a:ln>
      </c:spPr>
    </c:plotArea>
    <c:legend>
      <c:legendPos val="r"/>
      <c:layout>
        <c:manualLayout>
          <c:xMode val="edge"/>
          <c:yMode val="edge"/>
          <c:x val="0.78393960655908412"/>
          <c:y val="7.8349361259420033E-2"/>
          <c:w val="0.21606039344091879"/>
          <c:h val="0.3444965858140980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77" r="0.75000000000000377" t="1" header="0.5" footer="0.5"/>
    <c:pageSetup orientation="landscape"/>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07E-2"/>
          <c:w val="0.60994320807616165"/>
          <c:h val="0.69006044996244631"/>
        </c:manualLayout>
      </c:layout>
      <c:scatterChart>
        <c:scatterStyle val="smoothMarker"/>
        <c:varyColors val="0"/>
        <c:ser>
          <c:idx val="1"/>
          <c:order val="0"/>
          <c:tx>
            <c:strRef>
              <c:f>PLOTS!$AY$49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PLOTS!$AY$73:$AY$92</c:f>
              <c:numCache>
                <c:formatCode>General</c:formatCode>
                <c:ptCount val="20"/>
                <c:pt idx="0">
                  <c:v>0.21199999999999999</c:v>
                </c:pt>
                <c:pt idx="1">
                  <c:v>0.19883333333333333</c:v>
                </c:pt>
                <c:pt idx="2">
                  <c:v>0.192</c:v>
                </c:pt>
                <c:pt idx="3">
                  <c:v>0.18516666666666665</c:v>
                </c:pt>
                <c:pt idx="4">
                  <c:v>0.17833333333333332</c:v>
                </c:pt>
                <c:pt idx="5">
                  <c:v>0.17299999999999996</c:v>
                </c:pt>
                <c:pt idx="6">
                  <c:v>0.16766666666666666</c:v>
                </c:pt>
                <c:pt idx="7">
                  <c:v>0.15983333333333336</c:v>
                </c:pt>
                <c:pt idx="8">
                  <c:v>0.15200000000000002</c:v>
                </c:pt>
                <c:pt idx="9">
                  <c:v>0.14585666666666666</c:v>
                </c:pt>
                <c:pt idx="10">
                  <c:v>0.14001166666666665</c:v>
                </c:pt>
                <c:pt idx="11">
                  <c:v>0.13416666666666666</c:v>
                </c:pt>
                <c:pt idx="12">
                  <c:v>0.128</c:v>
                </c:pt>
                <c:pt idx="13">
                  <c:v>0.12322222222222223</c:v>
                </c:pt>
                <c:pt idx="14">
                  <c:v>0.11726</c:v>
                </c:pt>
                <c:pt idx="15">
                  <c:v>0.11366666666666667</c:v>
                </c:pt>
                <c:pt idx="16">
                  <c:v>0.10833333333333334</c:v>
                </c:pt>
                <c:pt idx="17">
                  <c:v>0.10129999999999999</c:v>
                </c:pt>
                <c:pt idx="18">
                  <c:v>9.6433333333333329E-2</c:v>
                </c:pt>
                <c:pt idx="19">
                  <c:v>9.0200000000000016E-2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96D-4AF3-924B-DA0E8E2DACA7}"/>
            </c:ext>
          </c:extLst>
        </c:ser>
        <c:ser>
          <c:idx val="5"/>
          <c:order val="1"/>
          <c:tx>
            <c:strRef>
              <c:f>PLOTS!$AY$6</c:f>
              <c:strCache>
                <c:ptCount val="1"/>
                <c:pt idx="0">
                  <c:v>70-90</c:v>
                </c:pt>
              </c:strCache>
            </c:strRef>
          </c:tx>
          <c:marker>
            <c:symbol val="none"/>
          </c:marker>
          <c:xVal>
            <c:numRef>
              <c:f>PLOTS!$AY$26:$AY$34</c:f>
              <c:numCache>
                <c:formatCode>General</c:formatCode>
                <c:ptCount val="9"/>
                <c:pt idx="0">
                  <c:v>0.21131742741810233</c:v>
                </c:pt>
                <c:pt idx="1">
                  <c:v>0.18499145538091874</c:v>
                </c:pt>
                <c:pt idx="2">
                  <c:v>0.17349202900465818</c:v>
                </c:pt>
                <c:pt idx="3">
                  <c:v>0.15589294836729869</c:v>
                </c:pt>
                <c:pt idx="4">
                  <c:v>0.14363109354190495</c:v>
                </c:pt>
                <c:pt idx="5">
                  <c:v>0.13390313476801766</c:v>
                </c:pt>
                <c:pt idx="6">
                  <c:v>0.1189825957116368</c:v>
                </c:pt>
                <c:pt idx="7">
                  <c:v>0.10788300573964435</c:v>
                </c:pt>
                <c:pt idx="8">
                  <c:v>9.205828697833196E-2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96D-4AF3-924B-DA0E8E2DACA7}"/>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96D-4AF3-924B-DA0E8E2DACA7}"/>
            </c:ext>
          </c:extLst>
        </c:ser>
        <c:dLbls>
          <c:showLegendKey val="0"/>
          <c:showVal val="0"/>
          <c:showCatName val="0"/>
          <c:showSerName val="0"/>
          <c:showPercent val="0"/>
          <c:showBubbleSize val="0"/>
        </c:dLbls>
        <c:axId val="253038976"/>
        <c:axId val="253040896"/>
      </c:scatterChart>
      <c:valAx>
        <c:axId val="253038976"/>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5047945754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040896"/>
        <c:crosses val="autoZero"/>
        <c:crossBetween val="midCat"/>
        <c:majorUnit val="0.1"/>
      </c:valAx>
      <c:valAx>
        <c:axId val="25304089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481458386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038976"/>
        <c:crosses val="autoZero"/>
        <c:crossBetween val="midCat"/>
      </c:valAx>
      <c:spPr>
        <a:noFill/>
        <a:ln w="12700">
          <a:solidFill>
            <a:srgbClr val="808080"/>
          </a:solidFill>
          <a:prstDash val="solid"/>
        </a:ln>
      </c:spPr>
    </c:plotArea>
    <c:legend>
      <c:legendPos val="r"/>
      <c:layout>
        <c:manualLayout>
          <c:xMode val="edge"/>
          <c:yMode val="edge"/>
          <c:x val="0.78393970850106753"/>
          <c:y val="7.7589459733374916E-2"/>
          <c:w val="0.21606029149893283"/>
          <c:h val="0.37671723707803861"/>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07E-2"/>
          <c:w val="0.60994320807616165"/>
          <c:h val="0.69006044996244631"/>
        </c:manualLayout>
      </c:layout>
      <c:scatterChart>
        <c:scatterStyle val="smoothMarker"/>
        <c:varyColors val="0"/>
        <c:ser>
          <c:idx val="1"/>
          <c:order val="0"/>
          <c:tx>
            <c:strRef>
              <c:f>PLOTS!$AZ$49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PLOTS!$AZ$51:$AZ$70</c:f>
              <c:numCache>
                <c:formatCode>General</c:formatCode>
                <c:ptCount val="20"/>
                <c:pt idx="0">
                  <c:v>0.64439374020747164</c:v>
                </c:pt>
                <c:pt idx="1">
                  <c:v>0.75422218451172174</c:v>
                </c:pt>
                <c:pt idx="2">
                  <c:v>0.79203503670083286</c:v>
                </c:pt>
                <c:pt idx="3">
                  <c:v>0.82984788888994387</c:v>
                </c:pt>
                <c:pt idx="4">
                  <c:v>0.86766074107905489</c:v>
                </c:pt>
                <c:pt idx="5">
                  <c:v>0.89340060401648635</c:v>
                </c:pt>
                <c:pt idx="6">
                  <c:v>0.93201039842263345</c:v>
                </c:pt>
                <c:pt idx="7">
                  <c:v>0.97062019282878043</c:v>
                </c:pt>
                <c:pt idx="8">
                  <c:v>1.0018324938545129</c:v>
                </c:pt>
                <c:pt idx="9">
                  <c:v>1.0330447948802455</c:v>
                </c:pt>
                <c:pt idx="10">
                  <c:v>1.0642570959059778</c:v>
                </c:pt>
                <c:pt idx="11">
                  <c:v>1.1147364665677033</c:v>
                </c:pt>
                <c:pt idx="12">
                  <c:v>1.1652158372294288</c:v>
                </c:pt>
                <c:pt idx="13">
                  <c:v>1.2055839753590192</c:v>
                </c:pt>
                <c:pt idx="14">
                  <c:v>1.2459521134886098</c:v>
                </c:pt>
                <c:pt idx="15">
                  <c:v>1.2863202516182</c:v>
                </c:pt>
                <c:pt idx="16">
                  <c:v>1.3193515363062116</c:v>
                </c:pt>
                <c:pt idx="17">
                  <c:v>1.3854141056822342</c:v>
                </c:pt>
                <c:pt idx="18">
                  <c:v>1.4248479769083984</c:v>
                </c:pt>
                <c:pt idx="19">
                  <c:v>1.4642818481345623</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D31-46CA-9F79-0D0D854A47D5}"/>
            </c:ext>
          </c:extLst>
        </c:ser>
        <c:ser>
          <c:idx val="5"/>
          <c:order val="1"/>
          <c:tx>
            <c:strRef>
              <c:f>PLOTS!$AZ$6</c:f>
              <c:strCache>
                <c:ptCount val="1"/>
                <c:pt idx="0">
                  <c:v>100-120</c:v>
                </c:pt>
              </c:strCache>
            </c:strRef>
          </c:tx>
          <c:marker>
            <c:symbol val="none"/>
          </c:marker>
          <c:xVal>
            <c:numRef>
              <c:f>PLOTS!$AZ$8:$AZ$16</c:f>
              <c:numCache>
                <c:formatCode>General</c:formatCode>
                <c:ptCount val="9"/>
                <c:pt idx="0">
                  <c:v>0.53945659286291781</c:v>
                </c:pt>
                <c:pt idx="1">
                  <c:v>0.74096539335403477</c:v>
                </c:pt>
                <c:pt idx="2">
                  <c:v>0.83705586338978955</c:v>
                </c:pt>
                <c:pt idx="3">
                  <c:v>0.96356308780278666</c:v>
                </c:pt>
                <c:pt idx="4">
                  <c:v>1.0443308798791107</c:v>
                </c:pt>
                <c:pt idx="5">
                  <c:v>1.1065896901290559</c:v>
                </c:pt>
                <c:pt idx="6">
                  <c:v>1.2012855895140986</c:v>
                </c:pt>
                <c:pt idx="7">
                  <c:v>1.2739131878157237</c:v>
                </c:pt>
                <c:pt idx="8">
                  <c:v>1.3859302402036353</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D31-46CA-9F79-0D0D854A47D5}"/>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D31-46CA-9F79-0D0D854A47D5}"/>
            </c:ext>
          </c:extLst>
        </c:ser>
        <c:dLbls>
          <c:showLegendKey val="0"/>
          <c:showVal val="0"/>
          <c:showCatName val="0"/>
          <c:showSerName val="0"/>
          <c:showPercent val="0"/>
          <c:showBubbleSize val="0"/>
        </c:dLbls>
        <c:axId val="253166720"/>
        <c:axId val="253168640"/>
      </c:scatterChart>
      <c:valAx>
        <c:axId val="25316672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5447903675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168640"/>
        <c:crosses val="autoZero"/>
        <c:crossBetween val="midCat"/>
        <c:majorUnit val="0.2"/>
      </c:valAx>
      <c:valAx>
        <c:axId val="25316864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235657667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166720"/>
        <c:crosses val="autoZero"/>
        <c:crossBetween val="midCat"/>
      </c:valAx>
      <c:spPr>
        <a:noFill/>
        <a:ln w="12700">
          <a:solidFill>
            <a:srgbClr val="808080"/>
          </a:solidFill>
          <a:prstDash val="solid"/>
        </a:ln>
      </c:spPr>
    </c:plotArea>
    <c:legend>
      <c:legendPos val="r"/>
      <c:layout>
        <c:manualLayout>
          <c:xMode val="edge"/>
          <c:yMode val="edge"/>
          <c:x val="0.78393960655908412"/>
          <c:y val="7.834924442059972E-2"/>
          <c:w val="0.21606039344091846"/>
          <c:h val="0.344496446962166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35E-2"/>
          <c:w val="0.60994320807616165"/>
          <c:h val="0.69006044996244609"/>
        </c:manualLayout>
      </c:layout>
      <c:scatterChart>
        <c:scatterStyle val="smoothMarker"/>
        <c:varyColors val="0"/>
        <c:ser>
          <c:idx val="1"/>
          <c:order val="0"/>
          <c:tx>
            <c:strRef>
              <c:f>PLOTS!$AZ$49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PLOTS!$AZ$73:$AZ$92</c:f>
              <c:numCache>
                <c:formatCode>General</c:formatCode>
                <c:ptCount val="20"/>
                <c:pt idx="0">
                  <c:v>0.253</c:v>
                </c:pt>
                <c:pt idx="1">
                  <c:v>0.24033333333333337</c:v>
                </c:pt>
                <c:pt idx="2">
                  <c:v>0.22766666666666668</c:v>
                </c:pt>
                <c:pt idx="3">
                  <c:v>0.21833333333333335</c:v>
                </c:pt>
                <c:pt idx="4">
                  <c:v>0.21033333333333334</c:v>
                </c:pt>
                <c:pt idx="5">
                  <c:v>0.20425000000000001</c:v>
                </c:pt>
                <c:pt idx="6">
                  <c:v>0.19816666666666669</c:v>
                </c:pt>
                <c:pt idx="7">
                  <c:v>0.18666666666666668</c:v>
                </c:pt>
                <c:pt idx="8">
                  <c:v>0.17988888888888888</c:v>
                </c:pt>
                <c:pt idx="9">
                  <c:v>0.17311111111111113</c:v>
                </c:pt>
                <c:pt idx="10">
                  <c:v>0.16866666666666666</c:v>
                </c:pt>
                <c:pt idx="11">
                  <c:v>0.1575</c:v>
                </c:pt>
                <c:pt idx="12">
                  <c:v>0.14911111111111111</c:v>
                </c:pt>
                <c:pt idx="13">
                  <c:v>0.14233333333333334</c:v>
                </c:pt>
                <c:pt idx="14">
                  <c:v>0.13522222222222222</c:v>
                </c:pt>
                <c:pt idx="15">
                  <c:v>0.12866666666666668</c:v>
                </c:pt>
                <c:pt idx="16">
                  <c:v>0.12222222222222222</c:v>
                </c:pt>
                <c:pt idx="17">
                  <c:v>0.11333333333333333</c:v>
                </c:pt>
                <c:pt idx="18">
                  <c:v>0.10596666666666667</c:v>
                </c:pt>
                <c:pt idx="19">
                  <c:v>9.9266666666666656E-2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9E7F-4632-9967-C129721A0019}"/>
            </c:ext>
          </c:extLst>
        </c:ser>
        <c:ser>
          <c:idx val="5"/>
          <c:order val="1"/>
          <c:tx>
            <c:strRef>
              <c:f>PLOTS!$AZ$6</c:f>
              <c:strCache>
                <c:ptCount val="1"/>
                <c:pt idx="0">
                  <c:v>100-120</c:v>
                </c:pt>
              </c:strCache>
            </c:strRef>
          </c:tx>
          <c:marker>
            <c:symbol val="none"/>
          </c:marker>
          <c:xVal>
            <c:numRef>
              <c:f>PLOTS!$AZ$26:$AZ$34</c:f>
              <c:numCache>
                <c:formatCode>General</c:formatCode>
                <c:ptCount val="9"/>
                <c:pt idx="0">
                  <c:v>0.28225140223532202</c:v>
                </c:pt>
                <c:pt idx="1">
                  <c:v>0.23013564393821373</c:v>
                </c:pt>
                <c:pt idx="2">
                  <c:v>0.21198279427250416</c:v>
                </c:pt>
                <c:pt idx="3">
                  <c:v>0.18855319135366194</c:v>
                </c:pt>
                <c:pt idx="4">
                  <c:v>0.17173944227607035</c:v>
                </c:pt>
                <c:pt idx="5">
                  <c:v>0.1579311308425434</c:v>
                </c:pt>
                <c:pt idx="6">
                  <c:v>0.13645565704764426</c:v>
                </c:pt>
                <c:pt idx="7">
                  <c:v>0.12056174254356307</c:v>
                </c:pt>
                <c:pt idx="8">
                  <c:v>9.8718004516844121E-2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9E7F-4632-9967-C129721A0019}"/>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9E7F-4632-9967-C129721A0019}"/>
            </c:ext>
          </c:extLst>
        </c:ser>
        <c:dLbls>
          <c:showLegendKey val="0"/>
          <c:showVal val="0"/>
          <c:showCatName val="0"/>
          <c:showSerName val="0"/>
          <c:showPercent val="0"/>
          <c:showBubbleSize val="0"/>
        </c:dLbls>
        <c:axId val="253249408"/>
        <c:axId val="253272064"/>
      </c:scatterChart>
      <c:valAx>
        <c:axId val="253249408"/>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272064"/>
        <c:crosses val="autoZero"/>
        <c:crossBetween val="midCat"/>
        <c:majorUnit val="0.1"/>
      </c:valAx>
      <c:valAx>
        <c:axId val="25327206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249408"/>
        <c:crosses val="autoZero"/>
        <c:crossBetween val="midCat"/>
      </c:valAx>
      <c:spPr>
        <a:noFill/>
        <a:ln w="12700">
          <a:solidFill>
            <a:srgbClr val="808080"/>
          </a:solidFill>
          <a:prstDash val="solid"/>
        </a:ln>
      </c:spPr>
    </c:plotArea>
    <c:legend>
      <c:legendPos val="r"/>
      <c:layout>
        <c:manualLayout>
          <c:xMode val="edge"/>
          <c:yMode val="edge"/>
          <c:x val="0.78393970850106753"/>
          <c:y val="7.7589443331417887E-2"/>
          <c:w val="0.21606029149893277"/>
          <c:h val="0.37671714112658994"/>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orientation="landscape"/>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35E-2"/>
          <c:w val="0.60994320807616165"/>
          <c:h val="0.69006044996244609"/>
        </c:manualLayout>
      </c:layout>
      <c:scatterChart>
        <c:scatterStyle val="smoothMarker"/>
        <c:varyColors val="0"/>
        <c:ser>
          <c:idx val="1"/>
          <c:order val="0"/>
          <c:tx>
            <c:strRef>
              <c:f>PLOTS!$BA$49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PLOTS!$BA$51:$BA$70</c:f>
              <c:numCache>
                <c:formatCode>General</c:formatCode>
                <c:ptCount val="20"/>
                <c:pt idx="0">
                  <c:v>0.62527133512284694</c:v>
                </c:pt>
                <c:pt idx="1">
                  <c:v>0.67940949284409202</c:v>
                </c:pt>
                <c:pt idx="2">
                  <c:v>0.73354765056533711</c:v>
                </c:pt>
                <c:pt idx="3">
                  <c:v>0.78768580828658219</c:v>
                </c:pt>
                <c:pt idx="4">
                  <c:v>0.84182396600782727</c:v>
                </c:pt>
                <c:pt idx="5">
                  <c:v>0.87092525799612397</c:v>
                </c:pt>
                <c:pt idx="6">
                  <c:v>0.90002654998442078</c:v>
                </c:pt>
                <c:pt idx="7">
                  <c:v>0.96245613726657719</c:v>
                </c:pt>
                <c:pt idx="8">
                  <c:v>1.0023417069190659</c:v>
                </c:pt>
                <c:pt idx="9">
                  <c:v>1.0393008896677036</c:v>
                </c:pt>
                <c:pt idx="10">
                  <c:v>1.0762600724163416</c:v>
                </c:pt>
                <c:pt idx="11">
                  <c:v>1.1477939745104786</c:v>
                </c:pt>
                <c:pt idx="12">
                  <c:v>1.2160763356003375</c:v>
                </c:pt>
                <c:pt idx="13">
                  <c:v>1.2746040736773592</c:v>
                </c:pt>
                <c:pt idx="14">
                  <c:v>1.3309641177515279</c:v>
                </c:pt>
                <c:pt idx="15">
                  <c:v>1.3851564678228441</c:v>
                </c:pt>
                <c:pt idx="16">
                  <c:v>1.4209234188699129</c:v>
                </c:pt>
                <c:pt idx="17">
                  <c:v>1.4827026979512135</c:v>
                </c:pt>
                <c:pt idx="18">
                  <c:v>1.531475813015398</c:v>
                </c:pt>
                <c:pt idx="19">
                  <c:v>1.5802489280795828</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C264-4577-AFA5-2492B1EC2EDB}"/>
            </c:ext>
          </c:extLst>
        </c:ser>
        <c:ser>
          <c:idx val="5"/>
          <c:order val="1"/>
          <c:tx>
            <c:strRef>
              <c:f>PLOTS!$BA$6</c:f>
              <c:strCache>
                <c:ptCount val="1"/>
                <c:pt idx="0">
                  <c:v>130-150</c:v>
                </c:pt>
              </c:strCache>
            </c:strRef>
          </c:tx>
          <c:marker>
            <c:symbol val="none"/>
          </c:marker>
          <c:xVal>
            <c:numRef>
              <c:f>PLOTS!$BA$8:$BA$16</c:f>
              <c:numCache>
                <c:formatCode>General</c:formatCode>
                <c:ptCount val="9"/>
                <c:pt idx="0">
                  <c:v>0.32184975829545087</c:v>
                </c:pt>
                <c:pt idx="1">
                  <c:v>0.61835588172930156</c:v>
                </c:pt>
                <c:pt idx="2">
                  <c:v>0.75899194418617144</c:v>
                </c:pt>
                <c:pt idx="3">
                  <c:v>0.95028459254559428</c:v>
                </c:pt>
                <c:pt idx="4">
                  <c:v>1.0607214334257682</c:v>
                </c:pt>
                <c:pt idx="5">
                  <c:v>1.1464170343080651</c:v>
                </c:pt>
                <c:pt idx="6">
                  <c:v>1.2770867427492123</c:v>
                </c:pt>
                <c:pt idx="7">
                  <c:v>1.3766798999993601</c:v>
                </c:pt>
                <c:pt idx="8">
                  <c:v>1.5264970998564358</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C264-4577-AFA5-2492B1EC2EDB}"/>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C264-4577-AFA5-2492B1EC2EDB}"/>
            </c:ext>
          </c:extLst>
        </c:ser>
        <c:dLbls>
          <c:showLegendKey val="0"/>
          <c:showVal val="0"/>
          <c:showCatName val="0"/>
          <c:showSerName val="0"/>
          <c:showPercent val="0"/>
          <c:showBubbleSize val="0"/>
        </c:dLbls>
        <c:axId val="253373056"/>
        <c:axId val="253375232"/>
      </c:scatterChart>
      <c:valAx>
        <c:axId val="25337305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375232"/>
        <c:crosses val="autoZero"/>
        <c:crossBetween val="midCat"/>
        <c:majorUnit val="0.2"/>
      </c:valAx>
      <c:valAx>
        <c:axId val="25337523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373056"/>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orientation="landscape"/>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63E-2"/>
          <c:w val="0.60994320807616165"/>
          <c:h val="0.69006044996244587"/>
        </c:manualLayout>
      </c:layout>
      <c:scatterChart>
        <c:scatterStyle val="smoothMarker"/>
        <c:varyColors val="0"/>
        <c:ser>
          <c:idx val="1"/>
          <c:order val="0"/>
          <c:tx>
            <c:strRef>
              <c:f>PLOTS!$BA$49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PLOTS!$BA$73:$BA$92</c:f>
              <c:numCache>
                <c:formatCode>General</c:formatCode>
                <c:ptCount val="20"/>
                <c:pt idx="0">
                  <c:v>0.27200000000000002</c:v>
                </c:pt>
                <c:pt idx="1">
                  <c:v>0.26750000000000002</c:v>
                </c:pt>
                <c:pt idx="2">
                  <c:v>0.26300000000000001</c:v>
                </c:pt>
                <c:pt idx="3">
                  <c:v>0.25850000000000001</c:v>
                </c:pt>
                <c:pt idx="4">
                  <c:v>0.254</c:v>
                </c:pt>
                <c:pt idx="5">
                  <c:v>0.25049999999999994</c:v>
                </c:pt>
                <c:pt idx="6">
                  <c:v>0.247</c:v>
                </c:pt>
                <c:pt idx="7">
                  <c:v>0.23499999999999999</c:v>
                </c:pt>
                <c:pt idx="8">
                  <c:v>0.22699999999999998</c:v>
                </c:pt>
                <c:pt idx="9">
                  <c:v>0.222</c:v>
                </c:pt>
                <c:pt idx="10">
                  <c:v>0.217</c:v>
                </c:pt>
                <c:pt idx="11">
                  <c:v>0.20499999999999999</c:v>
                </c:pt>
                <c:pt idx="12">
                  <c:v>0.19399999999999998</c:v>
                </c:pt>
                <c:pt idx="13">
                  <c:v>0.18066666666666667</c:v>
                </c:pt>
                <c:pt idx="14">
                  <c:v>0.17033333333333331</c:v>
                </c:pt>
                <c:pt idx="15">
                  <c:v>0.16300000000000001</c:v>
                </c:pt>
                <c:pt idx="16">
                  <c:v>0.155</c:v>
                </c:pt>
                <c:pt idx="17">
                  <c:v>0.13800000000000001</c:v>
                </c:pt>
                <c:pt idx="18">
                  <c:v>0.126</c:v>
                </c:pt>
                <c:pt idx="19">
                  <c:v>0.11199999999999999</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5C5C-438E-AE79-D77DC0987C3B}"/>
            </c:ext>
          </c:extLst>
        </c:ser>
        <c:ser>
          <c:idx val="5"/>
          <c:order val="1"/>
          <c:tx>
            <c:strRef>
              <c:f>PLOTS!$BA$6</c:f>
              <c:strCache>
                <c:ptCount val="1"/>
                <c:pt idx="0">
                  <c:v>130-150</c:v>
                </c:pt>
              </c:strCache>
            </c:strRef>
          </c:tx>
          <c:marker>
            <c:symbol val="none"/>
          </c:marker>
          <c:xVal>
            <c:numRef>
              <c:f>PLOTS!$BA$26:$BA$34</c:f>
              <c:numCache>
                <c:formatCode>General</c:formatCode>
                <c:ptCount val="9"/>
                <c:pt idx="0">
                  <c:v>0.56371187007084411</c:v>
                </c:pt>
                <c:pt idx="1">
                  <c:v>0.34074603819946286</c:v>
                </c:pt>
                <c:pt idx="2">
                  <c:v>0.29410988773644936</c:v>
                </c:pt>
                <c:pt idx="3">
                  <c:v>0.24764004543760038</c:v>
                </c:pt>
                <c:pt idx="4">
                  <c:v>0.22306102565603547</c:v>
                </c:pt>
                <c:pt idx="5">
                  <c:v>0.20336965096483539</c:v>
                </c:pt>
                <c:pt idx="6">
                  <c:v>0.17250685387533324</c:v>
                </c:pt>
                <c:pt idx="7">
                  <c:v>0.14909538278584866</c:v>
                </c:pt>
                <c:pt idx="8">
                  <c:v>0.11629481987205881</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5C5C-438E-AE79-D77DC0987C3B}"/>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5C5C-438E-AE79-D77DC0987C3B}"/>
            </c:ext>
          </c:extLst>
        </c:ser>
        <c:dLbls>
          <c:showLegendKey val="0"/>
          <c:showVal val="0"/>
          <c:showCatName val="0"/>
          <c:showSerName val="0"/>
          <c:showPercent val="0"/>
          <c:showBubbleSize val="0"/>
        </c:dLbls>
        <c:axId val="253406592"/>
        <c:axId val="253408768"/>
      </c:scatterChart>
      <c:valAx>
        <c:axId val="253406592"/>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408768"/>
        <c:crosses val="autoZero"/>
        <c:crossBetween val="midCat"/>
        <c:majorUnit val="0.1"/>
      </c:valAx>
      <c:valAx>
        <c:axId val="25340876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406592"/>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44" r="0.75000000000000444" t="1" header="0.5" footer="0.5"/>
    <c:pageSetup orientation="landscape"/>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63E-2"/>
          <c:w val="0.60994320807616165"/>
          <c:h val="0.69006044996244587"/>
        </c:manualLayout>
      </c:layout>
      <c:scatterChart>
        <c:scatterStyle val="smoothMarker"/>
        <c:varyColors val="0"/>
        <c:ser>
          <c:idx val="1"/>
          <c:order val="0"/>
          <c:tx>
            <c:strRef>
              <c:f>PLOTS!$BB$49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PLOTS!$BB$51:$BB$70</c:f>
              <c:numCache>
                <c:formatCode>General</c:formatCode>
                <c:ptCount val="20"/>
                <c:pt idx="0">
                  <c:v>0.824197975633716</c:v>
                </c:pt>
                <c:pt idx="1">
                  <c:v>0.85504199095541178</c:v>
                </c:pt>
                <c:pt idx="2">
                  <c:v>0.87756077419999945</c:v>
                </c:pt>
                <c:pt idx="3">
                  <c:v>0.90007955744458712</c:v>
                </c:pt>
                <c:pt idx="4">
                  <c:v>0.92259834068917468</c:v>
                </c:pt>
                <c:pt idx="5">
                  <c:v>0.93926214898542282</c:v>
                </c:pt>
                <c:pt idx="6">
                  <c:v>0.95592595728167107</c:v>
                </c:pt>
                <c:pt idx="7">
                  <c:v>0.98149361027389326</c:v>
                </c:pt>
                <c:pt idx="8">
                  <c:v>1.0011542909469988</c:v>
                </c:pt>
                <c:pt idx="9">
                  <c:v>1.0208149716201043</c:v>
                </c:pt>
                <c:pt idx="10">
                  <c:v>1.0345686799740932</c:v>
                </c:pt>
                <c:pt idx="11">
                  <c:v>1.0530524842477871</c:v>
                </c:pt>
                <c:pt idx="12">
                  <c:v>1.0715362885214808</c:v>
                </c:pt>
                <c:pt idx="13">
                  <c:v>1.0825630467999512</c:v>
                </c:pt>
                <c:pt idx="14">
                  <c:v>1.0935898050784214</c:v>
                </c:pt>
                <c:pt idx="15">
                  <c:v>1.1046165633568914</c:v>
                </c:pt>
                <c:pt idx="16">
                  <c:v>1.1146114263422466</c:v>
                </c:pt>
                <c:pt idx="17">
                  <c:v>1.1359860439370459</c:v>
                </c:pt>
                <c:pt idx="18">
                  <c:v>1.1524024386392715</c:v>
                </c:pt>
                <c:pt idx="19">
                  <c:v>1.1690727936750265</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B9A7-485F-BFCF-D27FA41EF12C}"/>
            </c:ext>
          </c:extLst>
        </c:ser>
        <c:ser>
          <c:idx val="5"/>
          <c:order val="1"/>
          <c:tx>
            <c:strRef>
              <c:f>PLOTS!$BB$6</c:f>
              <c:strCache>
                <c:ptCount val="1"/>
                <c:pt idx="0">
                  <c:v>160-180.</c:v>
                </c:pt>
              </c:strCache>
            </c:strRef>
          </c:tx>
          <c:marker>
            <c:symbol val="none"/>
          </c:marker>
          <c:xVal>
            <c:numRef>
              <c:f>PLOTS!$BB$8:$BB$16</c:f>
              <c:numCache>
                <c:formatCode>General</c:formatCode>
                <c:ptCount val="9"/>
                <c:pt idx="0">
                  <c:v>0.73904183231475307</c:v>
                </c:pt>
                <c:pt idx="1">
                  <c:v>0.84913767063209744</c:v>
                </c:pt>
                <c:pt idx="2">
                  <c:v>0.90220456083833089</c:v>
                </c:pt>
                <c:pt idx="3">
                  <c:v>0.97816622092630823</c:v>
                </c:pt>
                <c:pt idx="4">
                  <c:v>1.0261252398843985</c:v>
                </c:pt>
                <c:pt idx="5">
                  <c:v>1.0625583997248218</c:v>
                </c:pt>
                <c:pt idx="6">
                  <c:v>1.1186294475847789</c:v>
                </c:pt>
                <c:pt idx="7">
                  <c:v>1.1628357016829898</c:v>
                </c:pt>
                <c:pt idx="8">
                  <c:v>1.2333571465252515</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B9A7-485F-BFCF-D27FA41EF12C}"/>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B9A7-485F-BFCF-D27FA41EF12C}"/>
            </c:ext>
          </c:extLst>
        </c:ser>
        <c:dLbls>
          <c:showLegendKey val="0"/>
          <c:showVal val="0"/>
          <c:showCatName val="0"/>
          <c:showSerName val="0"/>
          <c:showPercent val="0"/>
          <c:showBubbleSize val="0"/>
        </c:dLbls>
        <c:axId val="253456768"/>
        <c:axId val="253458688"/>
      </c:scatterChart>
      <c:valAx>
        <c:axId val="253456768"/>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458688"/>
        <c:crosses val="autoZero"/>
        <c:crossBetween val="midCat"/>
        <c:majorUnit val="0.2"/>
      </c:valAx>
      <c:valAx>
        <c:axId val="25345868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456768"/>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44" r="0.75000000000000444" t="1" header="0.5" footer="0.5"/>
    <c:pageSetup orientation="landscape"/>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91E-2"/>
          <c:w val="0.60994320807616165"/>
          <c:h val="0.69006044996244553"/>
        </c:manualLayout>
      </c:layout>
      <c:scatterChart>
        <c:scatterStyle val="smoothMarker"/>
        <c:varyColors val="0"/>
        <c:ser>
          <c:idx val="1"/>
          <c:order val="0"/>
          <c:tx>
            <c:strRef>
              <c:f>PLOTS!$BB$49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PLOTS!$BB$73:$BB$92</c:f>
              <c:numCache>
                <c:formatCode>General</c:formatCode>
                <c:ptCount val="20"/>
                <c:pt idx="0">
                  <c:v>0.13733333333333334</c:v>
                </c:pt>
                <c:pt idx="1">
                  <c:v>0.13166666666666665</c:v>
                </c:pt>
                <c:pt idx="2">
                  <c:v>0.126</c:v>
                </c:pt>
                <c:pt idx="3">
                  <c:v>0.12033333333333333</c:v>
                </c:pt>
                <c:pt idx="4">
                  <c:v>0.11591666666666667</c:v>
                </c:pt>
                <c:pt idx="5">
                  <c:v>0.1115</c:v>
                </c:pt>
                <c:pt idx="6">
                  <c:v>0.10833333333333334</c:v>
                </c:pt>
                <c:pt idx="7">
                  <c:v>0.1009</c:v>
                </c:pt>
                <c:pt idx="8">
                  <c:v>9.5399999999999985E-2</c:v>
                </c:pt>
                <c:pt idx="9">
                  <c:v>8.989999999999998E-2</c:v>
                </c:pt>
                <c:pt idx="10">
                  <c:v>8.6333333333333331E-2</c:v>
                </c:pt>
                <c:pt idx="11">
                  <c:v>8.111666666666667E-2</c:v>
                </c:pt>
                <c:pt idx="12">
                  <c:v>7.5899999999999995E-2</c:v>
                </c:pt>
                <c:pt idx="13">
                  <c:v>7.4266666666666661E-2</c:v>
                </c:pt>
                <c:pt idx="14">
                  <c:v>7.2633333333333341E-2</c:v>
                </c:pt>
                <c:pt idx="15">
                  <c:v>7.1000000000000008E-2</c:v>
                </c:pt>
                <c:pt idx="16">
                  <c:v>7.0444444444444448E-2</c:v>
                </c:pt>
                <c:pt idx="17">
                  <c:v>7.1099999999999997E-2</c:v>
                </c:pt>
                <c:pt idx="18">
                  <c:v>7.2166666666666657E-2</c:v>
                </c:pt>
                <c:pt idx="19">
                  <c:v>7.1499999999999994E-2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77E4-48A7-BEFA-E31DD5C5718C}"/>
            </c:ext>
          </c:extLst>
        </c:ser>
        <c:ser>
          <c:idx val="5"/>
          <c:order val="1"/>
          <c:tx>
            <c:strRef>
              <c:f>PLOTS!$BB$6</c:f>
              <c:strCache>
                <c:ptCount val="1"/>
                <c:pt idx="0">
                  <c:v>160-180.</c:v>
                </c:pt>
              </c:strCache>
            </c:strRef>
          </c:tx>
          <c:marker>
            <c:symbol val="none"/>
          </c:marker>
          <c:xVal>
            <c:numRef>
              <c:f>PLOTS!$BB$26:$BB$34</c:f>
              <c:numCache>
                <c:formatCode>General</c:formatCode>
                <c:ptCount val="9"/>
                <c:pt idx="0">
                  <c:v>0.14123980841495135</c:v>
                </c:pt>
                <c:pt idx="1">
                  <c:v>0.12817176575231357</c:v>
                </c:pt>
                <c:pt idx="2">
                  <c:v>0.12022818337227335</c:v>
                </c:pt>
                <c:pt idx="3">
                  <c:v>0.10599283782193085</c:v>
                </c:pt>
                <c:pt idx="4">
                  <c:v>9.5669718346991575E-2</c:v>
                </c:pt>
                <c:pt idx="5">
                  <c:v>8.770444438167227E-2</c:v>
                </c:pt>
                <c:pt idx="6">
                  <c:v>7.6210987912681077E-2</c:v>
                </c:pt>
                <c:pt idx="7">
                  <c:v>6.8285413451198665E-2</c:v>
                </c:pt>
                <c:pt idx="8">
                  <c:v>5.7675842652349929E-2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77E4-48A7-BEFA-E31DD5C5718C}"/>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77E4-48A7-BEFA-E31DD5C5718C}"/>
            </c:ext>
          </c:extLst>
        </c:ser>
        <c:dLbls>
          <c:showLegendKey val="0"/>
          <c:showVal val="0"/>
          <c:showCatName val="0"/>
          <c:showSerName val="0"/>
          <c:showPercent val="0"/>
          <c:showBubbleSize val="0"/>
        </c:dLbls>
        <c:axId val="253559936"/>
        <c:axId val="253561856"/>
      </c:scatterChart>
      <c:valAx>
        <c:axId val="253559936"/>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561856"/>
        <c:crosses val="autoZero"/>
        <c:crossBetween val="midCat"/>
        <c:majorUnit val="0.1"/>
      </c:valAx>
      <c:valAx>
        <c:axId val="25356185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559936"/>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66" r="0.75000000000000466" t="1" header="0.5" footer="0.5"/>
    <c:pageSetup orientation="landscape"/>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91E-2"/>
          <c:w val="0.60994320807616165"/>
          <c:h val="0.69006044996244553"/>
        </c:manualLayout>
      </c:layout>
      <c:scatterChart>
        <c:scatterStyle val="smoothMarker"/>
        <c:varyColors val="0"/>
        <c:ser>
          <c:idx val="1"/>
          <c:order val="0"/>
          <c:tx>
            <c:strRef>
              <c:f>PLOTS!$BC$49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PLOTS!$BC$51:$BC$70</c:f>
              <c:numCache>
                <c:formatCode>General</c:formatCode>
                <c:ptCount val="20"/>
                <c:pt idx="0">
                  <c:v>0.80949839047170868</c:v>
                </c:pt>
                <c:pt idx="1">
                  <c:v>0.84326893387188961</c:v>
                </c:pt>
                <c:pt idx="2">
                  <c:v>0.86708630495294259</c:v>
                </c:pt>
                <c:pt idx="3">
                  <c:v>0.88836642272724509</c:v>
                </c:pt>
                <c:pt idx="4">
                  <c:v>0.90605470865989279</c:v>
                </c:pt>
                <c:pt idx="5">
                  <c:v>0.9221818589367432</c:v>
                </c:pt>
                <c:pt idx="6">
                  <c:v>0.93830900921359361</c:v>
                </c:pt>
                <c:pt idx="7">
                  <c:v>0.98138292783435876</c:v>
                </c:pt>
                <c:pt idx="8">
                  <c:v>1.0011611944943595</c:v>
                </c:pt>
                <c:pt idx="9">
                  <c:v>1.0219895110071051</c:v>
                </c:pt>
                <c:pt idx="10">
                  <c:v>1.0428178275198507</c:v>
                </c:pt>
                <c:pt idx="11">
                  <c:v>1.070336679640463</c:v>
                </c:pt>
                <c:pt idx="12">
                  <c:v>1.0957554320555856</c:v>
                </c:pt>
                <c:pt idx="13">
                  <c:v>1.1168851517668044</c:v>
                </c:pt>
                <c:pt idx="14">
                  <c:v>1.1373148382428599</c:v>
                </c:pt>
                <c:pt idx="15">
                  <c:v>1.1570444914837519</c:v>
                </c:pt>
                <c:pt idx="16">
                  <c:v>1.1747146663718846</c:v>
                </c:pt>
                <c:pt idx="17">
                  <c:v>1.2121551158536397</c:v>
                </c:pt>
                <c:pt idx="18">
                  <c:v>1.2329573200155499</c:v>
                </c:pt>
                <c:pt idx="19">
                  <c:v>1.2516594244719701</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2B8B-45A6-8774-4BFDCDC154FB}"/>
            </c:ext>
          </c:extLst>
        </c:ser>
        <c:ser>
          <c:idx val="5"/>
          <c:order val="1"/>
          <c:tx>
            <c:strRef>
              <c:f>PLOTS!$BC$6</c:f>
              <c:strCache>
                <c:ptCount val="1"/>
                <c:pt idx="0">
                  <c:v>190-210</c:v>
                </c:pt>
              </c:strCache>
            </c:strRef>
          </c:tx>
          <c:marker>
            <c:symbol val="none"/>
          </c:marker>
          <c:xVal>
            <c:numRef>
              <c:f>PLOTS!$BC$8:$BC$16</c:f>
              <c:numCache>
                <c:formatCode>General</c:formatCode>
                <c:ptCount val="9"/>
                <c:pt idx="0">
                  <c:v>0.69969638884101248</c:v>
                </c:pt>
                <c:pt idx="1">
                  <c:v>0.82681581763668688</c:v>
                </c:pt>
                <c:pt idx="2">
                  <c:v>0.88792066167268779</c:v>
                </c:pt>
                <c:pt idx="3">
                  <c:v>0.97505203485024694</c:v>
                </c:pt>
                <c:pt idx="4">
                  <c:v>1.0297853347336801</c:v>
                </c:pt>
                <c:pt idx="5">
                  <c:v>1.0711950292148167</c:v>
                </c:pt>
                <c:pt idx="6">
                  <c:v>1.1346316199950908</c:v>
                </c:pt>
                <c:pt idx="7">
                  <c:v>1.1844177847695228</c:v>
                </c:pt>
                <c:pt idx="8">
                  <c:v>1.2635552015261324</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2B8B-45A6-8774-4BFDCDC154FB}"/>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2B8B-45A6-8774-4BFDCDC154FB}"/>
            </c:ext>
          </c:extLst>
        </c:ser>
        <c:dLbls>
          <c:showLegendKey val="0"/>
          <c:showVal val="0"/>
          <c:showCatName val="0"/>
          <c:showSerName val="0"/>
          <c:showPercent val="0"/>
          <c:showBubbleSize val="0"/>
        </c:dLbls>
        <c:axId val="253642624"/>
        <c:axId val="253665280"/>
      </c:scatterChart>
      <c:valAx>
        <c:axId val="25364262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665280"/>
        <c:crosses val="autoZero"/>
        <c:crossBetween val="midCat"/>
        <c:majorUnit val="0.2"/>
      </c:valAx>
      <c:valAx>
        <c:axId val="25366528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642624"/>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66" r="0.75000000000000466" t="1" header="0.5" footer="0.5"/>
    <c:pageSetup orientation="landscape"/>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18E-2"/>
          <c:w val="0.60994320807616165"/>
          <c:h val="0.69006044996244531"/>
        </c:manualLayout>
      </c:layout>
      <c:scatterChart>
        <c:scatterStyle val="smoothMarker"/>
        <c:varyColors val="0"/>
        <c:ser>
          <c:idx val="1"/>
          <c:order val="0"/>
          <c:tx>
            <c:strRef>
              <c:f>PLOTS!$BC$49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PLOTS!$BC$73:$BC$92</c:f>
              <c:numCache>
                <c:formatCode>General</c:formatCode>
                <c:ptCount val="20"/>
                <c:pt idx="0">
                  <c:v>0.16099999999999998</c:v>
                </c:pt>
                <c:pt idx="1">
                  <c:v>0.15537499999999999</c:v>
                </c:pt>
                <c:pt idx="2">
                  <c:v>0.14974999999999999</c:v>
                </c:pt>
                <c:pt idx="3">
                  <c:v>0.14250000000000002</c:v>
                </c:pt>
                <c:pt idx="4">
                  <c:v>0.13800000000000001</c:v>
                </c:pt>
                <c:pt idx="5">
                  <c:v>0.13450000000000001</c:v>
                </c:pt>
                <c:pt idx="6">
                  <c:v>0.13100000000000001</c:v>
                </c:pt>
                <c:pt idx="7">
                  <c:v>0.124</c:v>
                </c:pt>
                <c:pt idx="8">
                  <c:v>0.1195</c:v>
                </c:pt>
                <c:pt idx="9">
                  <c:v>0.115</c:v>
                </c:pt>
                <c:pt idx="10">
                  <c:v>0.11027500000000001</c:v>
                </c:pt>
                <c:pt idx="11">
                  <c:v>0.10555</c:v>
                </c:pt>
                <c:pt idx="12">
                  <c:v>0.10017500000000001</c:v>
                </c:pt>
                <c:pt idx="13">
                  <c:v>9.4800000000000009E-2</c:v>
                </c:pt>
                <c:pt idx="14">
                  <c:v>9.1900000000000009E-2</c:v>
                </c:pt>
                <c:pt idx="15">
                  <c:v>8.900000000000001E-2</c:v>
                </c:pt>
                <c:pt idx="16">
                  <c:v>8.6500000000000007E-2</c:v>
                </c:pt>
                <c:pt idx="17">
                  <c:v>8.4000000000000005E-2</c:v>
                </c:pt>
                <c:pt idx="18">
                  <c:v>8.2599999999999993E-2</c:v>
                </c:pt>
                <c:pt idx="19">
                  <c:v>8.2100000000000006E-2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2C3B-4242-AF4A-100BBDFBFE76}"/>
            </c:ext>
          </c:extLst>
        </c:ser>
        <c:ser>
          <c:idx val="5"/>
          <c:order val="1"/>
          <c:tx>
            <c:strRef>
              <c:f>PLOTS!$BC$6</c:f>
              <c:strCache>
                <c:ptCount val="1"/>
                <c:pt idx="0">
                  <c:v>190-210</c:v>
                </c:pt>
              </c:strCache>
            </c:strRef>
          </c:tx>
          <c:marker>
            <c:symbol val="none"/>
          </c:marker>
          <c:xVal>
            <c:numRef>
              <c:f>PLOTS!$BC$26:$BC$34</c:f>
              <c:numCache>
                <c:formatCode>General</c:formatCode>
                <c:ptCount val="9"/>
                <c:pt idx="0">
                  <c:v>0.16602307074333802</c:v>
                </c:pt>
                <c:pt idx="1">
                  <c:v>0.14934818806161623</c:v>
                </c:pt>
                <c:pt idx="2">
                  <c:v>0.140443386910407</c:v>
                </c:pt>
                <c:pt idx="3">
                  <c:v>0.12524626895922755</c:v>
                </c:pt>
                <c:pt idx="4">
                  <c:v>0.11424051285719854</c:v>
                </c:pt>
                <c:pt idx="5">
                  <c:v>0.1055812207708879</c:v>
                </c:pt>
                <c:pt idx="6">
                  <c:v>9.2686533839626981E-2</c:v>
                </c:pt>
                <c:pt idx="7">
                  <c:v>8.3472278417976956E-2</c:v>
                </c:pt>
                <c:pt idx="8">
                  <c:v>7.080703050658646E-2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2C3B-4242-AF4A-100BBDFBFE76}"/>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2C3B-4242-AF4A-100BBDFBFE76}"/>
            </c:ext>
          </c:extLst>
        </c:ser>
        <c:dLbls>
          <c:showLegendKey val="0"/>
          <c:showVal val="0"/>
          <c:showCatName val="0"/>
          <c:showSerName val="0"/>
          <c:showPercent val="0"/>
          <c:showBubbleSize val="0"/>
        </c:dLbls>
        <c:axId val="253763584"/>
        <c:axId val="253765504"/>
      </c:scatterChart>
      <c:valAx>
        <c:axId val="253763584"/>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765504"/>
        <c:crosses val="autoZero"/>
        <c:crossBetween val="midCat"/>
        <c:majorUnit val="0.1"/>
      </c:valAx>
      <c:valAx>
        <c:axId val="25376550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763584"/>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88" r="0.75000000000000488" t="1" header="0.5" footer="0.5"/>
    <c:pageSetup orientation="landscape"/>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18E-2"/>
          <c:w val="0.60994320807616165"/>
          <c:h val="0.69006044996244531"/>
        </c:manualLayout>
      </c:layout>
      <c:scatterChart>
        <c:scatterStyle val="smoothMarker"/>
        <c:varyColors val="0"/>
        <c:ser>
          <c:idx val="1"/>
          <c:order val="0"/>
          <c:tx>
            <c:strRef>
              <c:f>PLOTS!$BD$49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PLOTS!$BD$51:$BD$70</c:f>
              <c:numCache>
                <c:formatCode>General</c:formatCode>
                <c:ptCount val="20"/>
                <c:pt idx="0">
                  <c:v>0.73036594228916563</c:v>
                </c:pt>
                <c:pt idx="1">
                  <c:v>0.76898701515167223</c:v>
                </c:pt>
                <c:pt idx="2">
                  <c:v>0.8076080880141786</c:v>
                </c:pt>
                <c:pt idx="3">
                  <c:v>0.84489454110717521</c:v>
                </c:pt>
                <c:pt idx="4">
                  <c:v>0.88218099420017193</c:v>
                </c:pt>
                <c:pt idx="5">
                  <c:v>0.90815013445488313</c:v>
                </c:pt>
                <c:pt idx="6">
                  <c:v>0.93411927470959455</c:v>
                </c:pt>
                <c:pt idx="7">
                  <c:v>0.96805585639897618</c:v>
                </c:pt>
                <c:pt idx="8">
                  <c:v>1.0019924380883578</c:v>
                </c:pt>
                <c:pt idx="9">
                  <c:v>1.0195376180323021</c:v>
                </c:pt>
                <c:pt idx="10">
                  <c:v>1.0514303646354026</c:v>
                </c:pt>
                <c:pt idx="11">
                  <c:v>1.0833231112385031</c:v>
                </c:pt>
                <c:pt idx="12">
                  <c:v>1.1230507328261341</c:v>
                </c:pt>
                <c:pt idx="13">
                  <c:v>1.1520109643315359</c:v>
                </c:pt>
                <c:pt idx="14">
                  <c:v>1.1817982043035569</c:v>
                </c:pt>
                <c:pt idx="15">
                  <c:v>1.2051176248015678</c:v>
                </c:pt>
                <c:pt idx="16">
                  <c:v>1.2284370452995785</c:v>
                </c:pt>
                <c:pt idx="17">
                  <c:v>1.2712354664128214</c:v>
                </c:pt>
                <c:pt idx="18">
                  <c:v>1.314033887526064</c:v>
                </c:pt>
                <c:pt idx="19">
                  <c:v>1.3413283297066512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A949-4688-8337-958D62ABB83A}"/>
            </c:ext>
          </c:extLst>
        </c:ser>
        <c:ser>
          <c:idx val="5"/>
          <c:order val="1"/>
          <c:tx>
            <c:strRef>
              <c:f>PLOTS!$BD$6</c:f>
              <c:strCache>
                <c:ptCount val="1"/>
                <c:pt idx="0">
                  <c:v>220-240</c:v>
                </c:pt>
              </c:strCache>
            </c:strRef>
          </c:tx>
          <c:marker>
            <c:symbol val="none"/>
          </c:marker>
          <c:xVal>
            <c:numRef>
              <c:f>PLOTS!$BD$8:$BD$16</c:f>
              <c:numCache>
                <c:formatCode>General</c:formatCode>
                <c:ptCount val="9"/>
                <c:pt idx="0">
                  <c:v>0.63497081769649288</c:v>
                </c:pt>
                <c:pt idx="1">
                  <c:v>0.79009382813740281</c:v>
                </c:pt>
                <c:pt idx="2">
                  <c:v>0.86442189490606791</c:v>
                </c:pt>
                <c:pt idx="3">
                  <c:v>0.96992905960006193</c:v>
                </c:pt>
                <c:pt idx="4">
                  <c:v>1.0358057021557656</c:v>
                </c:pt>
                <c:pt idx="5">
                  <c:v>1.0853988891292607</c:v>
                </c:pt>
                <c:pt idx="6">
                  <c:v>1.1609371301919273</c:v>
                </c:pt>
                <c:pt idx="7">
                  <c:v>1.2198743170237178</c:v>
                </c:pt>
                <c:pt idx="8">
                  <c:v>1.3130834759087742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A949-4688-8337-958D62ABB83A}"/>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A949-4688-8337-958D62ABB83A}"/>
            </c:ext>
          </c:extLst>
        </c:ser>
        <c:dLbls>
          <c:showLegendKey val="0"/>
          <c:showVal val="0"/>
          <c:showCatName val="0"/>
          <c:showSerName val="0"/>
          <c:showPercent val="0"/>
          <c:showBubbleSize val="0"/>
        </c:dLbls>
        <c:axId val="253842176"/>
        <c:axId val="253844096"/>
      </c:scatterChart>
      <c:valAx>
        <c:axId val="25384217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844096"/>
        <c:crosses val="autoZero"/>
        <c:crossBetween val="midCat"/>
        <c:majorUnit val="0.2"/>
      </c:valAx>
      <c:valAx>
        <c:axId val="25384409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842176"/>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88" r="0.75000000000000488" t="1" header="0.5" footer="0.5"/>
    <c:pageSetup orientation="landscape"/>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509"/>
        </c:manualLayout>
      </c:layout>
      <c:scatterChart>
        <c:scatterStyle val="smoothMarker"/>
        <c:varyColors val="0"/>
        <c:ser>
          <c:idx val="1"/>
          <c:order val="0"/>
          <c:tx>
            <c:strRef>
              <c:f>PLOTS!$BD$49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PLOTS!$BD$73:$BD$92</c:f>
              <c:numCache>
                <c:formatCode>General</c:formatCode>
                <c:ptCount val="20"/>
                <c:pt idx="0">
                  <c:v>0.21199999999999999</c:v>
                </c:pt>
                <c:pt idx="1">
                  <c:v>0.19883333333333333</c:v>
                </c:pt>
                <c:pt idx="2">
                  <c:v>0.192</c:v>
                </c:pt>
                <c:pt idx="3">
                  <c:v>0.18516666666666665</c:v>
                </c:pt>
                <c:pt idx="4">
                  <c:v>0.17833333333333332</c:v>
                </c:pt>
                <c:pt idx="5">
                  <c:v>0.17299999999999996</c:v>
                </c:pt>
                <c:pt idx="6">
                  <c:v>0.16766666666666666</c:v>
                </c:pt>
                <c:pt idx="7">
                  <c:v>0.15983333333333336</c:v>
                </c:pt>
                <c:pt idx="8">
                  <c:v>0.15200000000000002</c:v>
                </c:pt>
                <c:pt idx="9">
                  <c:v>0.14585666666666666</c:v>
                </c:pt>
                <c:pt idx="10">
                  <c:v>0.14001166666666665</c:v>
                </c:pt>
                <c:pt idx="11">
                  <c:v>0.13416666666666666</c:v>
                </c:pt>
                <c:pt idx="12">
                  <c:v>0.128</c:v>
                </c:pt>
                <c:pt idx="13">
                  <c:v>0.12322222222222223</c:v>
                </c:pt>
                <c:pt idx="14">
                  <c:v>0.11726</c:v>
                </c:pt>
                <c:pt idx="15">
                  <c:v>0.11366666666666667</c:v>
                </c:pt>
                <c:pt idx="16">
                  <c:v>0.10833333333333334</c:v>
                </c:pt>
                <c:pt idx="17">
                  <c:v>0.10129999999999999</c:v>
                </c:pt>
                <c:pt idx="18">
                  <c:v>9.6433333333333329E-2</c:v>
                </c:pt>
                <c:pt idx="19">
                  <c:v>9.0200000000000016E-2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812-471F-92D0-7EAC74749E53}"/>
            </c:ext>
          </c:extLst>
        </c:ser>
        <c:ser>
          <c:idx val="5"/>
          <c:order val="1"/>
          <c:tx>
            <c:strRef>
              <c:f>PLOTS!$BD$6</c:f>
              <c:strCache>
                <c:ptCount val="1"/>
                <c:pt idx="0">
                  <c:v>220-240</c:v>
                </c:pt>
              </c:strCache>
            </c:strRef>
          </c:tx>
          <c:marker>
            <c:symbol val="none"/>
          </c:marker>
          <c:xVal>
            <c:numRef>
              <c:f>PLOTS!$BD$26:$BD$34</c:f>
              <c:numCache>
                <c:formatCode>General</c:formatCode>
                <c:ptCount val="9"/>
                <c:pt idx="0">
                  <c:v>0.21131742741810233</c:v>
                </c:pt>
                <c:pt idx="1">
                  <c:v>0.18499145538091874</c:v>
                </c:pt>
                <c:pt idx="2">
                  <c:v>0.17349202900465818</c:v>
                </c:pt>
                <c:pt idx="3">
                  <c:v>0.15589294836729869</c:v>
                </c:pt>
                <c:pt idx="4">
                  <c:v>0.14363109354190495</c:v>
                </c:pt>
                <c:pt idx="5">
                  <c:v>0.13390313476801766</c:v>
                </c:pt>
                <c:pt idx="6">
                  <c:v>0.1189825957116368</c:v>
                </c:pt>
                <c:pt idx="7">
                  <c:v>0.10788300573964435</c:v>
                </c:pt>
                <c:pt idx="8">
                  <c:v>9.205828697833196E-2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812-471F-92D0-7EAC74749E53}"/>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812-471F-92D0-7EAC74749E53}"/>
            </c:ext>
          </c:extLst>
        </c:ser>
        <c:dLbls>
          <c:showLegendKey val="0"/>
          <c:showVal val="0"/>
          <c:showCatName val="0"/>
          <c:showSerName val="0"/>
          <c:showPercent val="0"/>
          <c:showBubbleSize val="0"/>
        </c:dLbls>
        <c:axId val="253920768"/>
        <c:axId val="253922688"/>
      </c:scatterChart>
      <c:valAx>
        <c:axId val="253920768"/>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922688"/>
        <c:crosses val="autoZero"/>
        <c:crossBetween val="midCat"/>
        <c:majorUnit val="0.1"/>
      </c:valAx>
      <c:valAx>
        <c:axId val="25392268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920768"/>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11" r="0.75000000000000511" t="1" header="0.5" footer="0.5"/>
    <c:pageSetup orientation="landscape"/>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509"/>
        </c:manualLayout>
      </c:layout>
      <c:scatterChart>
        <c:scatterStyle val="smoothMarker"/>
        <c:varyColors val="0"/>
        <c:ser>
          <c:idx val="1"/>
          <c:order val="0"/>
          <c:tx>
            <c:strRef>
              <c:f>PLOTS!$BE$49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PLOTS!$BE$51:$BE$70</c:f>
              <c:numCache>
                <c:formatCode>General</c:formatCode>
                <c:ptCount val="20"/>
                <c:pt idx="0">
                  <c:v>0.64439374020747164</c:v>
                </c:pt>
                <c:pt idx="1">
                  <c:v>0.75422218451172174</c:v>
                </c:pt>
                <c:pt idx="2">
                  <c:v>0.79203503670083286</c:v>
                </c:pt>
                <c:pt idx="3">
                  <c:v>0.82984788888994387</c:v>
                </c:pt>
                <c:pt idx="4">
                  <c:v>0.86766074107905489</c:v>
                </c:pt>
                <c:pt idx="5">
                  <c:v>0.89340060401648635</c:v>
                </c:pt>
                <c:pt idx="6">
                  <c:v>0.93201039842263345</c:v>
                </c:pt>
                <c:pt idx="7">
                  <c:v>0.97062019282878043</c:v>
                </c:pt>
                <c:pt idx="8">
                  <c:v>1.0018324938545129</c:v>
                </c:pt>
                <c:pt idx="9">
                  <c:v>1.0330447948802455</c:v>
                </c:pt>
                <c:pt idx="10">
                  <c:v>1.0642570959059778</c:v>
                </c:pt>
                <c:pt idx="11">
                  <c:v>1.1147364665677033</c:v>
                </c:pt>
                <c:pt idx="12">
                  <c:v>1.1652158372294288</c:v>
                </c:pt>
                <c:pt idx="13">
                  <c:v>1.2055839753590192</c:v>
                </c:pt>
                <c:pt idx="14">
                  <c:v>1.2459521134886098</c:v>
                </c:pt>
                <c:pt idx="15">
                  <c:v>1.2863202516182</c:v>
                </c:pt>
                <c:pt idx="16">
                  <c:v>1.3193515363062116</c:v>
                </c:pt>
                <c:pt idx="17">
                  <c:v>1.3854141056822342</c:v>
                </c:pt>
                <c:pt idx="18">
                  <c:v>1.4248479769083984</c:v>
                </c:pt>
                <c:pt idx="19">
                  <c:v>1.4642818481345623</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32ED-4890-A032-C4B19BA759D5}"/>
            </c:ext>
          </c:extLst>
        </c:ser>
        <c:ser>
          <c:idx val="5"/>
          <c:order val="1"/>
          <c:tx>
            <c:strRef>
              <c:f>PLOTS!$BE$6</c:f>
              <c:strCache>
                <c:ptCount val="1"/>
                <c:pt idx="0">
                  <c:v>250-270</c:v>
                </c:pt>
              </c:strCache>
            </c:strRef>
          </c:tx>
          <c:marker>
            <c:symbol val="none"/>
          </c:marker>
          <c:xVal>
            <c:numRef>
              <c:f>PLOTS!$BE$8:$BE$16</c:f>
              <c:numCache>
                <c:formatCode>General</c:formatCode>
                <c:ptCount val="9"/>
                <c:pt idx="0">
                  <c:v>0.53945659286291781</c:v>
                </c:pt>
                <c:pt idx="1">
                  <c:v>0.74096539335403477</c:v>
                </c:pt>
                <c:pt idx="2">
                  <c:v>0.83705586338978955</c:v>
                </c:pt>
                <c:pt idx="3">
                  <c:v>0.96356308780278666</c:v>
                </c:pt>
                <c:pt idx="4">
                  <c:v>1.0443308798791107</c:v>
                </c:pt>
                <c:pt idx="5">
                  <c:v>1.1065896901290559</c:v>
                </c:pt>
                <c:pt idx="6">
                  <c:v>1.2012855895140986</c:v>
                </c:pt>
                <c:pt idx="7">
                  <c:v>1.2739131878157237</c:v>
                </c:pt>
                <c:pt idx="8">
                  <c:v>1.3859302402036353</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32ED-4890-A032-C4B19BA759D5}"/>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32ED-4890-A032-C4B19BA759D5}"/>
            </c:ext>
          </c:extLst>
        </c:ser>
        <c:dLbls>
          <c:showLegendKey val="0"/>
          <c:showVal val="0"/>
          <c:showCatName val="0"/>
          <c:showSerName val="0"/>
          <c:showPercent val="0"/>
          <c:showBubbleSize val="0"/>
        </c:dLbls>
        <c:axId val="253974784"/>
        <c:axId val="253993344"/>
      </c:scatterChart>
      <c:valAx>
        <c:axId val="25397478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993344"/>
        <c:crosses val="autoZero"/>
        <c:crossBetween val="midCat"/>
        <c:majorUnit val="0.2"/>
      </c:valAx>
      <c:valAx>
        <c:axId val="25399334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3974784"/>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11" r="0.75000000000000511" t="1" header="0.5" footer="0.5"/>
    <c:pageSetup orientation="landscape"/>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PLOTS!$BE$49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PLOTS!$BE$73:$BE$92</c:f>
              <c:numCache>
                <c:formatCode>General</c:formatCode>
                <c:ptCount val="20"/>
                <c:pt idx="0">
                  <c:v>0.253</c:v>
                </c:pt>
                <c:pt idx="1">
                  <c:v>0.24033333333333337</c:v>
                </c:pt>
                <c:pt idx="2">
                  <c:v>0.22766666666666668</c:v>
                </c:pt>
                <c:pt idx="3">
                  <c:v>0.21833333333333335</c:v>
                </c:pt>
                <c:pt idx="4">
                  <c:v>0.21033333333333334</c:v>
                </c:pt>
                <c:pt idx="5">
                  <c:v>0.20425000000000001</c:v>
                </c:pt>
                <c:pt idx="6">
                  <c:v>0.19816666666666669</c:v>
                </c:pt>
                <c:pt idx="7">
                  <c:v>0.18666666666666668</c:v>
                </c:pt>
                <c:pt idx="8">
                  <c:v>0.17988888888888888</c:v>
                </c:pt>
                <c:pt idx="9">
                  <c:v>0.17311111111111113</c:v>
                </c:pt>
                <c:pt idx="10">
                  <c:v>0.16866666666666666</c:v>
                </c:pt>
                <c:pt idx="11">
                  <c:v>0.1575</c:v>
                </c:pt>
                <c:pt idx="12">
                  <c:v>0.14911111111111111</c:v>
                </c:pt>
                <c:pt idx="13">
                  <c:v>0.14233333333333334</c:v>
                </c:pt>
                <c:pt idx="14">
                  <c:v>0.13522222222222222</c:v>
                </c:pt>
                <c:pt idx="15">
                  <c:v>0.12866666666666668</c:v>
                </c:pt>
                <c:pt idx="16">
                  <c:v>0.12222222222222222</c:v>
                </c:pt>
                <c:pt idx="17">
                  <c:v>0.11333333333333333</c:v>
                </c:pt>
                <c:pt idx="18">
                  <c:v>0.10596666666666667</c:v>
                </c:pt>
                <c:pt idx="19">
                  <c:v>9.9266666666666656E-2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184-4FF5-B495-749ECDDC42E8}"/>
            </c:ext>
          </c:extLst>
        </c:ser>
        <c:ser>
          <c:idx val="5"/>
          <c:order val="1"/>
          <c:tx>
            <c:strRef>
              <c:f>PLOTS!$BE$6</c:f>
              <c:strCache>
                <c:ptCount val="1"/>
                <c:pt idx="0">
                  <c:v>250-270</c:v>
                </c:pt>
              </c:strCache>
            </c:strRef>
          </c:tx>
          <c:marker>
            <c:symbol val="none"/>
          </c:marker>
          <c:xVal>
            <c:numRef>
              <c:f>PLOTS!$BE$26:$BE$34</c:f>
              <c:numCache>
                <c:formatCode>General</c:formatCode>
                <c:ptCount val="9"/>
                <c:pt idx="0">
                  <c:v>0.28225140223532202</c:v>
                </c:pt>
                <c:pt idx="1">
                  <c:v>0.23013564393821373</c:v>
                </c:pt>
                <c:pt idx="2">
                  <c:v>0.21198279427250416</c:v>
                </c:pt>
                <c:pt idx="3">
                  <c:v>0.18855319135366194</c:v>
                </c:pt>
                <c:pt idx="4">
                  <c:v>0.17173944227607035</c:v>
                </c:pt>
                <c:pt idx="5">
                  <c:v>0.1579311308425434</c:v>
                </c:pt>
                <c:pt idx="6">
                  <c:v>0.13645565704764426</c:v>
                </c:pt>
                <c:pt idx="7">
                  <c:v>0.12056174254356307</c:v>
                </c:pt>
                <c:pt idx="8">
                  <c:v>9.8718004516844121E-2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184-4FF5-B495-749ECDDC42E8}"/>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184-4FF5-B495-749ECDDC42E8}"/>
            </c:ext>
          </c:extLst>
        </c:ser>
        <c:dLbls>
          <c:showLegendKey val="0"/>
          <c:showVal val="0"/>
          <c:showCatName val="0"/>
          <c:showSerName val="0"/>
          <c:showPercent val="0"/>
          <c:showBubbleSize val="0"/>
        </c:dLbls>
        <c:axId val="254024704"/>
        <c:axId val="254039168"/>
      </c:scatterChart>
      <c:valAx>
        <c:axId val="254024704"/>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4039168"/>
        <c:crosses val="autoZero"/>
        <c:crossBetween val="midCat"/>
        <c:majorUnit val="0.1"/>
      </c:valAx>
      <c:valAx>
        <c:axId val="25403916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4024704"/>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PLOTS!$BF$49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PLOTS!$BF$51:$BF$70</c:f>
              <c:numCache>
                <c:formatCode>General</c:formatCode>
                <c:ptCount val="20"/>
                <c:pt idx="0">
                  <c:v>0.62527133512284694</c:v>
                </c:pt>
                <c:pt idx="1">
                  <c:v>0.67940949284409202</c:v>
                </c:pt>
                <c:pt idx="2">
                  <c:v>0.73354765056533711</c:v>
                </c:pt>
                <c:pt idx="3">
                  <c:v>0.78768580828658219</c:v>
                </c:pt>
                <c:pt idx="4">
                  <c:v>0.84182396600782727</c:v>
                </c:pt>
                <c:pt idx="5">
                  <c:v>0.87092525799612397</c:v>
                </c:pt>
                <c:pt idx="6">
                  <c:v>0.90002654998442078</c:v>
                </c:pt>
                <c:pt idx="7">
                  <c:v>0.96245613726657719</c:v>
                </c:pt>
                <c:pt idx="8">
                  <c:v>1.0023417069190659</c:v>
                </c:pt>
                <c:pt idx="9">
                  <c:v>1.0393008896677036</c:v>
                </c:pt>
                <c:pt idx="10">
                  <c:v>1.0762600724163416</c:v>
                </c:pt>
                <c:pt idx="11">
                  <c:v>1.1477939745104786</c:v>
                </c:pt>
                <c:pt idx="12">
                  <c:v>1.2160763356003375</c:v>
                </c:pt>
                <c:pt idx="13">
                  <c:v>1.2746040736773592</c:v>
                </c:pt>
                <c:pt idx="14">
                  <c:v>1.3309641177515279</c:v>
                </c:pt>
                <c:pt idx="15">
                  <c:v>1.3851564678228441</c:v>
                </c:pt>
                <c:pt idx="16">
                  <c:v>1.4209234188699129</c:v>
                </c:pt>
                <c:pt idx="17">
                  <c:v>1.4827026979512135</c:v>
                </c:pt>
                <c:pt idx="18">
                  <c:v>1.531475813015398</c:v>
                </c:pt>
                <c:pt idx="19">
                  <c:v>1.5802489280795828</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7A53-4373-979C-C8FA3DC68592}"/>
            </c:ext>
          </c:extLst>
        </c:ser>
        <c:ser>
          <c:idx val="5"/>
          <c:order val="1"/>
          <c:tx>
            <c:strRef>
              <c:f>PLOTS!$BF$6</c:f>
              <c:strCache>
                <c:ptCount val="1"/>
                <c:pt idx="0">
                  <c:v>280-300</c:v>
                </c:pt>
              </c:strCache>
            </c:strRef>
          </c:tx>
          <c:marker>
            <c:symbol val="none"/>
          </c:marker>
          <c:xVal>
            <c:numRef>
              <c:f>PLOTS!$BF$8:$BF$16</c:f>
              <c:numCache>
                <c:formatCode>General</c:formatCode>
                <c:ptCount val="9"/>
                <c:pt idx="0">
                  <c:v>0.32184975829545087</c:v>
                </c:pt>
                <c:pt idx="1">
                  <c:v>0.61835588172930156</c:v>
                </c:pt>
                <c:pt idx="2">
                  <c:v>0.75899194418617144</c:v>
                </c:pt>
                <c:pt idx="3">
                  <c:v>0.95028459254559428</c:v>
                </c:pt>
                <c:pt idx="4">
                  <c:v>1.0607214334257682</c:v>
                </c:pt>
                <c:pt idx="5">
                  <c:v>1.1464170343080651</c:v>
                </c:pt>
                <c:pt idx="6">
                  <c:v>1.2770867427492123</c:v>
                </c:pt>
                <c:pt idx="7">
                  <c:v>1.3766798999993601</c:v>
                </c:pt>
                <c:pt idx="8">
                  <c:v>1.5264970998564358</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7A53-4373-979C-C8FA3DC68592}"/>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7A53-4373-979C-C8FA3DC68592}"/>
            </c:ext>
          </c:extLst>
        </c:ser>
        <c:dLbls>
          <c:showLegendKey val="0"/>
          <c:showVal val="0"/>
          <c:showCatName val="0"/>
          <c:showSerName val="0"/>
          <c:showPercent val="0"/>
          <c:showBubbleSize val="0"/>
        </c:dLbls>
        <c:axId val="254140416"/>
        <c:axId val="254142336"/>
      </c:scatterChart>
      <c:valAx>
        <c:axId val="25414041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4142336"/>
        <c:crosses val="autoZero"/>
        <c:crossBetween val="midCat"/>
        <c:majorUnit val="0.2"/>
      </c:valAx>
      <c:valAx>
        <c:axId val="25414233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4140416"/>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PLOTS!$BF$49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PLOTS!$BF$73:$BF$92</c:f>
              <c:numCache>
                <c:formatCode>General</c:formatCode>
                <c:ptCount val="20"/>
                <c:pt idx="0">
                  <c:v>0.27200000000000002</c:v>
                </c:pt>
                <c:pt idx="1">
                  <c:v>0.26750000000000002</c:v>
                </c:pt>
                <c:pt idx="2">
                  <c:v>0.26300000000000001</c:v>
                </c:pt>
                <c:pt idx="3">
                  <c:v>0.25850000000000001</c:v>
                </c:pt>
                <c:pt idx="4">
                  <c:v>0.254</c:v>
                </c:pt>
                <c:pt idx="5">
                  <c:v>0.25049999999999994</c:v>
                </c:pt>
                <c:pt idx="6">
                  <c:v>0.247</c:v>
                </c:pt>
                <c:pt idx="7">
                  <c:v>0.23499999999999999</c:v>
                </c:pt>
                <c:pt idx="8">
                  <c:v>0.22699999999999998</c:v>
                </c:pt>
                <c:pt idx="9">
                  <c:v>0.222</c:v>
                </c:pt>
                <c:pt idx="10">
                  <c:v>0.217</c:v>
                </c:pt>
                <c:pt idx="11">
                  <c:v>0.20499999999999999</c:v>
                </c:pt>
                <c:pt idx="12">
                  <c:v>0.19399999999999998</c:v>
                </c:pt>
                <c:pt idx="13">
                  <c:v>0.18066666666666667</c:v>
                </c:pt>
                <c:pt idx="14">
                  <c:v>0.17033333333333331</c:v>
                </c:pt>
                <c:pt idx="15">
                  <c:v>0.16300000000000001</c:v>
                </c:pt>
                <c:pt idx="16">
                  <c:v>0.155</c:v>
                </c:pt>
                <c:pt idx="17">
                  <c:v>0.13800000000000001</c:v>
                </c:pt>
                <c:pt idx="18">
                  <c:v>0.126</c:v>
                </c:pt>
                <c:pt idx="19">
                  <c:v>0.11199999999999999</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8782-46A5-AF1A-1DD9C5481765}"/>
            </c:ext>
          </c:extLst>
        </c:ser>
        <c:ser>
          <c:idx val="5"/>
          <c:order val="1"/>
          <c:tx>
            <c:strRef>
              <c:f>PLOTS!$BF$6</c:f>
              <c:strCache>
                <c:ptCount val="1"/>
                <c:pt idx="0">
                  <c:v>280-300</c:v>
                </c:pt>
              </c:strCache>
            </c:strRef>
          </c:tx>
          <c:marker>
            <c:symbol val="none"/>
          </c:marker>
          <c:xVal>
            <c:numRef>
              <c:f>PLOTS!$BF$26:$BF$34</c:f>
              <c:numCache>
                <c:formatCode>General</c:formatCode>
                <c:ptCount val="9"/>
                <c:pt idx="0">
                  <c:v>0.56371187007084411</c:v>
                </c:pt>
                <c:pt idx="1">
                  <c:v>0.34074603819946286</c:v>
                </c:pt>
                <c:pt idx="2">
                  <c:v>0.29410988773644936</c:v>
                </c:pt>
                <c:pt idx="3">
                  <c:v>0.24764004543760038</c:v>
                </c:pt>
                <c:pt idx="4">
                  <c:v>0.22306102565603547</c:v>
                </c:pt>
                <c:pt idx="5">
                  <c:v>0.20336965096483539</c:v>
                </c:pt>
                <c:pt idx="6">
                  <c:v>0.17250685387533324</c:v>
                </c:pt>
                <c:pt idx="7">
                  <c:v>0.14909538278584866</c:v>
                </c:pt>
                <c:pt idx="8">
                  <c:v>0.11629481987205881</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8782-46A5-AF1A-1DD9C5481765}"/>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8782-46A5-AF1A-1DD9C5481765}"/>
            </c:ext>
          </c:extLst>
        </c:ser>
        <c:dLbls>
          <c:showLegendKey val="0"/>
          <c:showVal val="0"/>
          <c:showCatName val="0"/>
          <c:showSerName val="0"/>
          <c:showPercent val="0"/>
          <c:showBubbleSize val="0"/>
        </c:dLbls>
        <c:axId val="255366272"/>
        <c:axId val="255368192"/>
      </c:scatterChart>
      <c:valAx>
        <c:axId val="255366272"/>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368192"/>
        <c:crosses val="autoZero"/>
        <c:crossBetween val="midCat"/>
        <c:majorUnit val="0.1"/>
      </c:valAx>
      <c:valAx>
        <c:axId val="25536819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366272"/>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38E-2"/>
          <c:w val="0.60994320807616165"/>
          <c:h val="0.69006044996244686"/>
        </c:manualLayout>
      </c:layout>
      <c:scatterChart>
        <c:scatterStyle val="smoothMarker"/>
        <c:varyColors val="0"/>
        <c:ser>
          <c:idx val="1"/>
          <c:order val="0"/>
          <c:tx>
            <c:strRef>
              <c:f>PLOTS!$AD$3</c:f>
              <c:strCache>
                <c:ptCount val="1"/>
                <c:pt idx="0">
                  <c:v>E</c:v>
                </c:pt>
              </c:strCache>
            </c:strRef>
          </c:tx>
          <c:spPr>
            <a:ln w="31750">
              <a:solidFill>
                <a:sysClr val="windowText" lastClr="000000"/>
              </a:solidFill>
              <a:prstDash val="solid"/>
            </a:ln>
          </c:spPr>
          <c:marker>
            <c:symbol val="none"/>
          </c:marker>
          <c:xVal>
            <c:numRef>
              <c:f>PLOTS!$AD$7:$AD$15</c:f>
              <c:numCache>
                <c:formatCode>General</c:formatCode>
                <c:ptCount val="9"/>
                <c:pt idx="0">
                  <c:v>#N/A</c:v>
                </c:pt>
                <c:pt idx="1">
                  <c:v>#N/A</c:v>
                </c:pt>
                <c:pt idx="2">
                  <c:v>#N/A</c:v>
                </c:pt>
                <c:pt idx="3">
                  <c:v>#N/A</c:v>
                </c:pt>
                <c:pt idx="4">
                  <c:v>#N/A</c:v>
                </c:pt>
                <c:pt idx="5">
                  <c:v>#N/A</c:v>
                </c:pt>
                <c:pt idx="6">
                  <c:v>#N/A</c:v>
                </c:pt>
                <c:pt idx="7">
                  <c:v>#N/A</c:v>
                </c:pt>
                <c:pt idx="8">
                  <c:v>#N/A</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0-AC4A-440F-B70D-18FDB3D58663}"/>
            </c:ext>
          </c:extLst>
        </c:ser>
        <c:ser>
          <c:idx val="5"/>
          <c:order val="1"/>
          <c:tx>
            <c:strRef>
              <c:f>PLOTS!$AE$3</c:f>
              <c:strCache>
                <c:ptCount val="1"/>
                <c:pt idx="0">
                  <c:v>J</c:v>
                </c:pt>
              </c:strCache>
            </c:strRef>
          </c:tx>
          <c:spPr>
            <a:ln w="31750"/>
          </c:spPr>
          <c:marker>
            <c:symbol val="none"/>
          </c:marker>
          <c:xVal>
            <c:numRef>
              <c:f>PLOTS!$AE$7:$AE$15</c:f>
              <c:numCache>
                <c:formatCode>General</c:formatCode>
                <c:ptCount val="9"/>
                <c:pt idx="0">
                  <c:v>0.32184975829545087</c:v>
                </c:pt>
                <c:pt idx="1">
                  <c:v>0.61835588172930156</c:v>
                </c:pt>
                <c:pt idx="2">
                  <c:v>0.75899194418617144</c:v>
                </c:pt>
                <c:pt idx="3">
                  <c:v>0.95028459254559428</c:v>
                </c:pt>
                <c:pt idx="4">
                  <c:v>1.0607214334257682</c:v>
                </c:pt>
                <c:pt idx="5">
                  <c:v>1.1464170343080651</c:v>
                </c:pt>
                <c:pt idx="6">
                  <c:v>1.2770867427492123</c:v>
                </c:pt>
                <c:pt idx="7">
                  <c:v>1.3766798999993601</c:v>
                </c:pt>
                <c:pt idx="8">
                  <c:v>1.5264970998564358</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AC4A-440F-B70D-18FDB3D58663}"/>
            </c:ext>
          </c:extLst>
        </c:ser>
        <c:ser>
          <c:idx val="0"/>
          <c:order val="2"/>
          <c:tx>
            <c:strRef>
              <c:f>PLOTS!$AF$3</c:f>
              <c:strCache>
                <c:ptCount val="1"/>
                <c:pt idx="0">
                  <c:v>G</c:v>
                </c:pt>
              </c:strCache>
            </c:strRef>
          </c:tx>
          <c:marker>
            <c:symbol val="none"/>
          </c:marker>
          <c:xVal>
            <c:numRef>
              <c:f>PLOTS!$AF$7:$AF$15</c:f>
              <c:numCache>
                <c:formatCode>General</c:formatCode>
                <c:ptCount val="9"/>
                <c:pt idx="0">
                  <c:v>0.69969638884101248</c:v>
                </c:pt>
                <c:pt idx="1">
                  <c:v>0.82681581763668688</c:v>
                </c:pt>
                <c:pt idx="2">
                  <c:v>0.88792066167268779</c:v>
                </c:pt>
                <c:pt idx="3">
                  <c:v>0.97505203485024694</c:v>
                </c:pt>
                <c:pt idx="4">
                  <c:v>1.0297853347336801</c:v>
                </c:pt>
                <c:pt idx="5">
                  <c:v>1.0711950292148167</c:v>
                </c:pt>
                <c:pt idx="6">
                  <c:v>1.1346316199950908</c:v>
                </c:pt>
                <c:pt idx="7">
                  <c:v>1.1844177847695228</c:v>
                </c:pt>
                <c:pt idx="8">
                  <c:v>1.2635552015261324</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2-AC4A-440F-B70D-18FDB3D58663}"/>
            </c:ext>
          </c:extLst>
        </c:ser>
        <c:ser>
          <c:idx val="2"/>
          <c:order val="3"/>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3-AC4A-440F-B70D-18FDB3D58663}"/>
            </c:ext>
          </c:extLst>
        </c:ser>
        <c:dLbls>
          <c:showLegendKey val="0"/>
          <c:showVal val="0"/>
          <c:showCatName val="0"/>
          <c:showSerName val="0"/>
          <c:showPercent val="0"/>
          <c:showBubbleSize val="0"/>
        </c:dLbls>
        <c:axId val="255847424"/>
        <c:axId val="255878272"/>
      </c:scatterChart>
      <c:valAx>
        <c:axId val="25584742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Mean Ratio, U/U(2/3H)</a:t>
                </a:r>
              </a:p>
            </c:rich>
          </c:tx>
          <c:layout>
            <c:manualLayout>
              <c:xMode val="edge"/>
              <c:yMode val="edge"/>
              <c:x val="0.39770579389320226"/>
              <c:y val="0.8625753806917926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878272"/>
        <c:crosses val="autoZero"/>
        <c:crossBetween val="midCat"/>
        <c:majorUnit val="0.2"/>
      </c:valAx>
      <c:valAx>
        <c:axId val="25587827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3203313998806E-3"/>
              <c:y val="0.1783630967697668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847424"/>
        <c:crosses val="autoZero"/>
        <c:crossBetween val="midCat"/>
      </c:valAx>
      <c:spPr>
        <a:noFill/>
        <a:ln w="25400">
          <a:noFill/>
        </a:ln>
      </c:spPr>
    </c:plotArea>
    <c:legend>
      <c:legendPos val="r"/>
      <c:layout>
        <c:manualLayout>
          <c:xMode val="edge"/>
          <c:yMode val="edge"/>
          <c:x val="0.78393962320546262"/>
          <c:y val="7.834948735983191E-2"/>
          <c:w val="0.16211505590271003"/>
          <c:h val="0.3022938145803670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55" r="0.75000000000000355" t="1" header="0.5" footer="0.5"/>
    <c:pageSetup orientation="landscape"/>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66E-2"/>
          <c:w val="0.60994320807616165"/>
          <c:h val="0.69006044996244653"/>
        </c:manualLayout>
      </c:layout>
      <c:scatterChart>
        <c:scatterStyle val="smoothMarker"/>
        <c:varyColors val="0"/>
        <c:ser>
          <c:idx val="1"/>
          <c:order val="0"/>
          <c:tx>
            <c:strRef>
              <c:f>PLOTS!$AD$3</c:f>
              <c:strCache>
                <c:ptCount val="1"/>
                <c:pt idx="0">
                  <c:v>E</c:v>
                </c:pt>
              </c:strCache>
            </c:strRef>
          </c:tx>
          <c:spPr>
            <a:ln w="31750">
              <a:solidFill>
                <a:sysClr val="windowText" lastClr="000000"/>
              </a:solidFill>
              <a:prstDash val="solid"/>
            </a:ln>
          </c:spPr>
          <c:marker>
            <c:symbol val="none"/>
          </c:marker>
          <c:xVal>
            <c:numRef>
              <c:f>PLOTS!$AD$18:$AD$26</c:f>
              <c:numCache>
                <c:formatCode>General</c:formatCode>
                <c:ptCount val="9"/>
                <c:pt idx="0">
                  <c:v>#N/A</c:v>
                </c:pt>
                <c:pt idx="1">
                  <c:v>#N/A</c:v>
                </c:pt>
                <c:pt idx="2">
                  <c:v>#N/A</c:v>
                </c:pt>
                <c:pt idx="3">
                  <c:v>#N/A</c:v>
                </c:pt>
                <c:pt idx="4">
                  <c:v>#N/A</c:v>
                </c:pt>
                <c:pt idx="5">
                  <c:v>#N/A</c:v>
                </c:pt>
                <c:pt idx="6">
                  <c:v>#N/A</c:v>
                </c:pt>
                <c:pt idx="7">
                  <c:v>#N/A</c:v>
                </c:pt>
                <c:pt idx="8">
                  <c:v>#N/A</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0-8A95-4E86-9CD9-2C6AF3AD24BA}"/>
            </c:ext>
          </c:extLst>
        </c:ser>
        <c:ser>
          <c:idx val="5"/>
          <c:order val="1"/>
          <c:tx>
            <c:strRef>
              <c:f>PLOTS!$AE$3</c:f>
              <c:strCache>
                <c:ptCount val="1"/>
                <c:pt idx="0">
                  <c:v>J</c:v>
                </c:pt>
              </c:strCache>
            </c:strRef>
          </c:tx>
          <c:spPr>
            <a:ln w="31750"/>
          </c:spPr>
          <c:marker>
            <c:symbol val="none"/>
          </c:marker>
          <c:xVal>
            <c:numRef>
              <c:f>PLOTS!$AE$18:$AE$26</c:f>
              <c:numCache>
                <c:formatCode>General</c:formatCode>
                <c:ptCount val="9"/>
                <c:pt idx="0">
                  <c:v>0.56371187007084411</c:v>
                </c:pt>
                <c:pt idx="1">
                  <c:v>0.34074603819946286</c:v>
                </c:pt>
                <c:pt idx="2">
                  <c:v>0.29410988773644936</c:v>
                </c:pt>
                <c:pt idx="3">
                  <c:v>0.24764004543760038</c:v>
                </c:pt>
                <c:pt idx="4">
                  <c:v>0.22306102565603547</c:v>
                </c:pt>
                <c:pt idx="5">
                  <c:v>0.20336965096483539</c:v>
                </c:pt>
                <c:pt idx="6">
                  <c:v>0.17250685387533324</c:v>
                </c:pt>
                <c:pt idx="7">
                  <c:v>0.14909538278584866</c:v>
                </c:pt>
                <c:pt idx="8">
                  <c:v>0.11629481987205881</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8A95-4E86-9CD9-2C6AF3AD24BA}"/>
            </c:ext>
          </c:extLst>
        </c:ser>
        <c:ser>
          <c:idx val="0"/>
          <c:order val="2"/>
          <c:tx>
            <c:strRef>
              <c:f>PLOTS!$AF$3</c:f>
              <c:strCache>
                <c:ptCount val="1"/>
                <c:pt idx="0">
                  <c:v>G</c:v>
                </c:pt>
              </c:strCache>
            </c:strRef>
          </c:tx>
          <c:marker>
            <c:symbol val="none"/>
          </c:marker>
          <c:xVal>
            <c:numRef>
              <c:f>PLOTS!$AF$18:$AF$26</c:f>
              <c:numCache>
                <c:formatCode>General</c:formatCode>
                <c:ptCount val="9"/>
                <c:pt idx="0">
                  <c:v>0.16602307074333802</c:v>
                </c:pt>
                <c:pt idx="1">
                  <c:v>0.14934818806161623</c:v>
                </c:pt>
                <c:pt idx="2">
                  <c:v>0.140443386910407</c:v>
                </c:pt>
                <c:pt idx="3">
                  <c:v>0.12524626895922755</c:v>
                </c:pt>
                <c:pt idx="4">
                  <c:v>0.11424051285719854</c:v>
                </c:pt>
                <c:pt idx="5">
                  <c:v>0.1055812207708879</c:v>
                </c:pt>
                <c:pt idx="6">
                  <c:v>9.2686533839626981E-2</c:v>
                </c:pt>
                <c:pt idx="7">
                  <c:v>8.3472278417976956E-2</c:v>
                </c:pt>
                <c:pt idx="8">
                  <c:v>7.080703050658646E-2</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2-8A95-4E86-9CD9-2C6AF3AD24BA}"/>
            </c:ext>
          </c:extLst>
        </c:ser>
        <c:ser>
          <c:idx val="2"/>
          <c:order val="3"/>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3-8A95-4E86-9CD9-2C6AF3AD24BA}"/>
            </c:ext>
          </c:extLst>
        </c:ser>
        <c:dLbls>
          <c:showLegendKey val="0"/>
          <c:showVal val="0"/>
          <c:showCatName val="0"/>
          <c:showSerName val="0"/>
          <c:showPercent val="0"/>
          <c:showBubbleSize val="0"/>
        </c:dLbls>
        <c:axId val="255968000"/>
        <c:axId val="255969920"/>
      </c:scatterChart>
      <c:valAx>
        <c:axId val="255968000"/>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550782944584758"/>
              <c:y val="0.854840532993080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969920"/>
        <c:crosses val="autoZero"/>
        <c:crossBetween val="midCat"/>
        <c:majorUnit val="0.1"/>
      </c:valAx>
      <c:valAx>
        <c:axId val="25596992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899172980729E-3"/>
              <c:y val="0.1783630777496096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55968000"/>
        <c:crosses val="autoZero"/>
        <c:crossBetween val="midCat"/>
      </c:valAx>
      <c:spPr>
        <a:noFill/>
        <a:ln w="25400">
          <a:noFill/>
        </a:ln>
      </c:spPr>
    </c:plotArea>
    <c:legend>
      <c:legendPos val="r"/>
      <c:layout>
        <c:manualLayout>
          <c:xMode val="edge"/>
          <c:yMode val="edge"/>
          <c:x val="0.78393958302382005"/>
          <c:y val="7.8349310813760231E-2"/>
          <c:w val="0.16211518843163494"/>
          <c:h val="0.302293705824085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77" r="0.75000000000000377" t="1" header="0.5" footer="0.5"/>
    <c:pageSetup orientation="landscape"/>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66E-2"/>
          <c:w val="0.60994320807616165"/>
          <c:h val="0.69006044996244653"/>
        </c:manualLayout>
      </c:layout>
      <c:scatterChart>
        <c:scatterStyle val="smoothMarker"/>
        <c:varyColors val="0"/>
        <c:ser>
          <c:idx val="1"/>
          <c:order val="0"/>
          <c:tx>
            <c:strRef>
              <c:f>PLOTS!$AD$3</c:f>
              <c:strCache>
                <c:ptCount val="1"/>
                <c:pt idx="0">
                  <c:v>E</c:v>
                </c:pt>
              </c:strCache>
            </c:strRef>
          </c:tx>
          <c:spPr>
            <a:ln w="31750">
              <a:solidFill>
                <a:sysClr val="windowText" lastClr="000000"/>
              </a:solidFill>
              <a:prstDash val="solid"/>
            </a:ln>
          </c:spPr>
          <c:marker>
            <c:symbol val="none"/>
          </c:marker>
          <c:xVal>
            <c:numRef>
              <c:f>PLOTS!$AD$29:$AD$37</c:f>
              <c:numCache>
                <c:formatCode>General</c:formatCode>
                <c:ptCount val="9"/>
                <c:pt idx="0">
                  <c:v>#N/A</c:v>
                </c:pt>
                <c:pt idx="1">
                  <c:v>#N/A</c:v>
                </c:pt>
                <c:pt idx="2">
                  <c:v>#N/A</c:v>
                </c:pt>
                <c:pt idx="3">
                  <c:v>#N/A</c:v>
                </c:pt>
                <c:pt idx="4">
                  <c:v>#N/A</c:v>
                </c:pt>
                <c:pt idx="5">
                  <c:v>#N/A</c:v>
                </c:pt>
                <c:pt idx="6">
                  <c:v>#N/A</c:v>
                </c:pt>
                <c:pt idx="7">
                  <c:v>#N/A</c:v>
                </c:pt>
                <c:pt idx="8">
                  <c:v>#N/A</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0-A04D-40FD-82E3-4A2A223BA415}"/>
            </c:ext>
          </c:extLst>
        </c:ser>
        <c:ser>
          <c:idx val="5"/>
          <c:order val="1"/>
          <c:tx>
            <c:strRef>
              <c:f>PLOTS!$AE$3</c:f>
              <c:strCache>
                <c:ptCount val="1"/>
                <c:pt idx="0">
                  <c:v>J</c:v>
                </c:pt>
              </c:strCache>
            </c:strRef>
          </c:tx>
          <c:spPr>
            <a:ln w="31750"/>
          </c:spPr>
          <c:marker>
            <c:symbol val="none"/>
          </c:marker>
          <c:xVal>
            <c:numRef>
              <c:f>PLOTS!$AE$29:$AE$37</c:f>
              <c:numCache>
                <c:formatCode>General</c:formatCode>
                <c:ptCount val="9"/>
                <c:pt idx="0">
                  <c:v>0.59399555199131748</c:v>
                </c:pt>
                <c:pt idx="1">
                  <c:v>0.93440935707419415</c:v>
                </c:pt>
                <c:pt idx="2">
                  <c:v>1.0938324974323679</c:v>
                </c:pt>
                <c:pt idx="3">
                  <c:v>1.3032773720605579</c:v>
                </c:pt>
                <c:pt idx="4">
                  <c:v>1.4156298497387061</c:v>
                </c:pt>
                <c:pt idx="5">
                  <c:v>1.4961366824991245</c:v>
                </c:pt>
                <c:pt idx="6">
                  <c:v>1.6075460669255577</c:v>
                </c:pt>
                <c:pt idx="7">
                  <c:v>1.6845648249953427</c:v>
                </c:pt>
                <c:pt idx="8">
                  <c:v>1.7927826577509722</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A04D-40FD-82E3-4A2A223BA415}"/>
            </c:ext>
          </c:extLst>
        </c:ser>
        <c:ser>
          <c:idx val="0"/>
          <c:order val="2"/>
          <c:tx>
            <c:strRef>
              <c:f>PLOTS!$AF$3</c:f>
              <c:strCache>
                <c:ptCount val="1"/>
                <c:pt idx="0">
                  <c:v>G</c:v>
                </c:pt>
              </c:strCache>
            </c:strRef>
          </c:tx>
          <c:marker>
            <c:symbol val="none"/>
          </c:marker>
          <c:xVal>
            <c:numRef>
              <c:f>PLOTS!$AF$29:$AF$37</c:f>
              <c:numCache>
                <c:formatCode>General</c:formatCode>
                <c:ptCount val="9"/>
                <c:pt idx="0">
                  <c:v>0.8739450034361268</c:v>
                </c:pt>
                <c:pt idx="1">
                  <c:v>1.0120409839737712</c:v>
                </c:pt>
                <c:pt idx="2">
                  <c:v>1.0749745392222505</c:v>
                </c:pt>
                <c:pt idx="3">
                  <c:v>1.158234478959391</c:v>
                </c:pt>
                <c:pt idx="4">
                  <c:v>1.2062501418928762</c:v>
                </c:pt>
                <c:pt idx="5">
                  <c:v>1.2408421475171276</c:v>
                </c:pt>
                <c:pt idx="6">
                  <c:v>1.2923792280583692</c:v>
                </c:pt>
                <c:pt idx="7">
                  <c:v>1.3327168614097504</c:v>
                </c:pt>
                <c:pt idx="8">
                  <c:v>1.3977580890779577</c:v>
                </c:pt>
              </c:numCache>
            </c:numRef>
          </c:xVal>
          <c:yVal>
            <c:numRef>
              <c:f>PLOTS!$AC$7:$AC$15</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2-A04D-40FD-82E3-4A2A223BA415}"/>
            </c:ext>
          </c:extLst>
        </c:ser>
        <c:ser>
          <c:idx val="2"/>
          <c:order val="3"/>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3-A04D-40FD-82E3-4A2A223BA415}"/>
            </c:ext>
          </c:extLst>
        </c:ser>
        <c:dLbls>
          <c:showLegendKey val="0"/>
          <c:showVal val="0"/>
          <c:showCatName val="0"/>
          <c:showSerName val="0"/>
          <c:showPercent val="0"/>
          <c:showBubbleSize val="0"/>
        </c:dLbls>
        <c:axId val="328841856"/>
        <c:axId val="328876800"/>
      </c:scatterChart>
      <c:valAx>
        <c:axId val="32884185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Ratio, U^/U^(2/3H)</a:t>
                </a:r>
              </a:p>
            </c:rich>
          </c:tx>
          <c:layout>
            <c:manualLayout>
              <c:xMode val="edge"/>
              <c:yMode val="edge"/>
              <c:x val="0.26299802198638211"/>
              <c:y val="0.85730251460502915"/>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8876800"/>
        <c:crosses val="autoZero"/>
        <c:crossBetween val="midCat"/>
        <c:majorUnit val="0.2"/>
      </c:valAx>
      <c:valAx>
        <c:axId val="32887680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3406367682334E-3"/>
              <c:y val="0.1783631783930234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8841856"/>
        <c:crosses val="autoZero"/>
        <c:crossBetween val="midCat"/>
      </c:valAx>
      <c:spPr>
        <a:noFill/>
        <a:ln w="25400">
          <a:noFill/>
        </a:ln>
      </c:spPr>
    </c:plotArea>
    <c:legend>
      <c:legendPos val="r"/>
      <c:layout>
        <c:manualLayout>
          <c:xMode val="edge"/>
          <c:yMode val="edge"/>
          <c:x val="0.78393967058465563"/>
          <c:y val="7.8349420032173434E-2"/>
          <c:w val="0.16211514321579371"/>
          <c:h val="0.3022936245872491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77" r="0.75000000000000377" t="1" header="0.5" footer="0.5"/>
    <c:pageSetup orientation="landscape"/>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38E-2"/>
          <c:w val="0.60994320807616165"/>
          <c:h val="0.69006044996244686"/>
        </c:manualLayout>
      </c:layout>
      <c:scatterChart>
        <c:scatterStyle val="smoothMarker"/>
        <c:varyColors val="0"/>
        <c:ser>
          <c:idx val="1"/>
          <c:order val="0"/>
          <c:tx>
            <c:strRef>
              <c:f>PLOTS!$AW$49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PLOTS!$BO$51:$BO$70</c:f>
              <c:numCache>
                <c:formatCode>General</c:formatCode>
                <c:ptCount val="20"/>
                <c:pt idx="0">
                  <c:v>0.99398275861426144</c:v>
                </c:pt>
                <c:pt idx="1">
                  <c:v>1.0239127841691056</c:v>
                </c:pt>
                <c:pt idx="2">
                  <c:v>1.0434197605237994</c:v>
                </c:pt>
                <c:pt idx="3">
                  <c:v>1.0625439175633349</c:v>
                </c:pt>
                <c:pt idx="4">
                  <c:v>1.0830151271765049</c:v>
                </c:pt>
                <c:pt idx="5">
                  <c:v>1.0963537434032349</c:v>
                </c:pt>
                <c:pt idx="6">
                  <c:v>1.1112639253399428</c:v>
                </c:pt>
                <c:pt idx="7">
                  <c:v>1.1300426681888471</c:v>
                </c:pt>
                <c:pt idx="8">
                  <c:v>1.1444194699815144</c:v>
                </c:pt>
                <c:pt idx="9">
                  <c:v>1.1584718705430752</c:v>
                </c:pt>
                <c:pt idx="10">
                  <c:v>1.1685453240307382</c:v>
                </c:pt>
                <c:pt idx="11">
                  <c:v>1.1811826452686365</c:v>
                </c:pt>
                <c:pt idx="12">
                  <c:v>1.1935306949696514</c:v>
                </c:pt>
                <c:pt idx="13">
                  <c:v>1.2031605702134658</c:v>
                </c:pt>
                <c:pt idx="14">
                  <c:v>1.2127364143417156</c:v>
                </c:pt>
                <c:pt idx="15">
                  <c:v>1.2222582273544005</c:v>
                </c:pt>
                <c:pt idx="16">
                  <c:v>1.2323887003924106</c:v>
                </c:pt>
                <c:pt idx="17">
                  <c:v>1.2571389555229318</c:v>
                </c:pt>
                <c:pt idx="18">
                  <c:v>1.2771500026219726</c:v>
                </c:pt>
                <c:pt idx="19">
                  <c:v>1.2944558507966732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D67B-4E33-A24A-0A204A7EE589}"/>
            </c:ext>
          </c:extLst>
        </c:ser>
        <c:ser>
          <c:idx val="5"/>
          <c:order val="1"/>
          <c:tx>
            <c:strRef>
              <c:f>PLOTS!$AW$6</c:f>
              <c:strCache>
                <c:ptCount val="1"/>
                <c:pt idx="0">
                  <c:v>10-30</c:v>
                </c:pt>
              </c:strCache>
            </c:strRef>
          </c:tx>
          <c:marker>
            <c:symbol val="none"/>
          </c:marker>
          <c:xVal>
            <c:numRef>
              <c:f>PLOTS!$BO$8:$BO$16</c:f>
              <c:numCache>
                <c:formatCode>General</c:formatCode>
                <c:ptCount val="9"/>
                <c:pt idx="0">
                  <c:v>0.89561502252490865</c:v>
                </c:pt>
                <c:pt idx="1">
                  <c:v>1.012390882549681</c:v>
                </c:pt>
                <c:pt idx="2">
                  <c:v>1.0649101839079893</c:v>
                </c:pt>
                <c:pt idx="3">
                  <c:v>1.133684141352608</c:v>
                </c:pt>
                <c:pt idx="4">
                  <c:v>1.1733789089171178</c:v>
                </c:pt>
                <c:pt idx="5">
                  <c:v>1.2023450408312384</c:v>
                </c:pt>
                <c:pt idx="6">
                  <c:v>1.246507230547758</c:v>
                </c:pt>
                <c:pt idx="7">
                  <c:v>1.2819427766808462</c:v>
                </c:pt>
                <c:pt idx="8">
                  <c:v>1.3400595156009643</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D67B-4E33-A24A-0A204A7EE58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D67B-4E33-A24A-0A204A7EE589}"/>
            </c:ext>
          </c:extLst>
        </c:ser>
        <c:dLbls>
          <c:showLegendKey val="0"/>
          <c:showVal val="0"/>
          <c:showCatName val="0"/>
          <c:showSerName val="0"/>
          <c:showPercent val="0"/>
          <c:showBubbleSize val="0"/>
        </c:dLbls>
        <c:axId val="329011584"/>
        <c:axId val="329013504"/>
      </c:scatterChart>
      <c:valAx>
        <c:axId val="32901158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4457041416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013504"/>
        <c:crosses val="autoZero"/>
        <c:crossBetween val="midCat"/>
        <c:majorUnit val="0.2"/>
      </c:valAx>
      <c:valAx>
        <c:axId val="32901350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1195478161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011584"/>
        <c:crosses val="autoZero"/>
        <c:crossBetween val="midCat"/>
      </c:valAx>
      <c:spPr>
        <a:noFill/>
        <a:ln w="12700">
          <a:solidFill>
            <a:srgbClr val="808080"/>
          </a:solidFill>
          <a:prstDash val="solid"/>
        </a:ln>
      </c:spPr>
    </c:plotArea>
    <c:legend>
      <c:legendPos val="r"/>
      <c:layout>
        <c:manualLayout>
          <c:xMode val="edge"/>
          <c:yMode val="edge"/>
          <c:x val="0.78393964453073561"/>
          <c:y val="7.8349397196719697E-2"/>
          <c:w val="0.21606035546926525"/>
          <c:h val="0.3444965748576044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55" r="0.75000000000000355" t="1" header="0.5" footer="0.5"/>
    <c:pageSetup orientation="landscape"/>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6966E-2"/>
          <c:w val="0.60994320807616165"/>
          <c:h val="0.69006044996244653"/>
        </c:manualLayout>
      </c:layout>
      <c:scatterChart>
        <c:scatterStyle val="smoothMarker"/>
        <c:varyColors val="0"/>
        <c:ser>
          <c:idx val="1"/>
          <c:order val="0"/>
          <c:tx>
            <c:strRef>
              <c:f>PLOTS!$AX$49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PLOTS!$BP$51:$BP$70</c:f>
              <c:numCache>
                <c:formatCode>General</c:formatCode>
                <c:ptCount val="20"/>
                <c:pt idx="0">
                  <c:v>1.0049922517706265</c:v>
                </c:pt>
                <c:pt idx="1">
                  <c:v>1.0398032997724069</c:v>
                </c:pt>
                <c:pt idx="2">
                  <c:v>1.0618555662029974</c:v>
                </c:pt>
                <c:pt idx="3">
                  <c:v>1.0782547455851939</c:v>
                </c:pt>
                <c:pt idx="4">
                  <c:v>1.0936080333524907</c:v>
                </c:pt>
                <c:pt idx="5">
                  <c:v>1.1082320489772313</c:v>
                </c:pt>
                <c:pt idx="6">
                  <c:v>1.1226867295240646</c:v>
                </c:pt>
                <c:pt idx="7">
                  <c:v>1.1639201524115494</c:v>
                </c:pt>
                <c:pt idx="8">
                  <c:v>1.1806193386074733</c:v>
                </c:pt>
                <c:pt idx="9">
                  <c:v>1.1982827016558308</c:v>
                </c:pt>
                <c:pt idx="10">
                  <c:v>1.2153129314144779</c:v>
                </c:pt>
                <c:pt idx="11">
                  <c:v>1.2397977344445392</c:v>
                </c:pt>
                <c:pt idx="12">
                  <c:v>1.260406382664838</c:v>
                </c:pt>
                <c:pt idx="13">
                  <c:v>1.275706220348044</c:v>
                </c:pt>
                <c:pt idx="14">
                  <c:v>1.2940936886946381</c:v>
                </c:pt>
                <c:pt idx="15">
                  <c:v>1.3115099310968328</c:v>
                </c:pt>
                <c:pt idx="16">
                  <c:v>1.3271338943336366</c:v>
                </c:pt>
                <c:pt idx="17">
                  <c:v>1.3648866604511982</c:v>
                </c:pt>
                <c:pt idx="18">
                  <c:v>1.3857207319654765</c:v>
                </c:pt>
                <c:pt idx="19">
                  <c:v>1.4058012825956934</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83AC-4612-AE6F-BB03C29F1566}"/>
            </c:ext>
          </c:extLst>
        </c:ser>
        <c:ser>
          <c:idx val="5"/>
          <c:order val="1"/>
          <c:tx>
            <c:strRef>
              <c:f>PLOTS!$AX$6</c:f>
              <c:strCache>
                <c:ptCount val="1"/>
                <c:pt idx="0">
                  <c:v>40-60</c:v>
                </c:pt>
              </c:strCache>
            </c:strRef>
          </c:tx>
          <c:marker>
            <c:symbol val="none"/>
          </c:marker>
          <c:xVal>
            <c:numRef>
              <c:f>PLOTS!$BP$8:$BP$16</c:f>
              <c:numCache>
                <c:formatCode>General</c:formatCode>
                <c:ptCount val="9"/>
                <c:pt idx="0">
                  <c:v>0.8739450034361268</c:v>
                </c:pt>
                <c:pt idx="1">
                  <c:v>1.0120409839737712</c:v>
                </c:pt>
                <c:pt idx="2">
                  <c:v>1.0749745392222505</c:v>
                </c:pt>
                <c:pt idx="3">
                  <c:v>1.158234478959391</c:v>
                </c:pt>
                <c:pt idx="4">
                  <c:v>1.2062501418928762</c:v>
                </c:pt>
                <c:pt idx="5">
                  <c:v>1.2408421475171276</c:v>
                </c:pt>
                <c:pt idx="6">
                  <c:v>1.2923792280583692</c:v>
                </c:pt>
                <c:pt idx="7">
                  <c:v>1.3327168614097504</c:v>
                </c:pt>
                <c:pt idx="8">
                  <c:v>1.3977580890779577</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83AC-4612-AE6F-BB03C29F1566}"/>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83AC-4612-AE6F-BB03C29F1566}"/>
            </c:ext>
          </c:extLst>
        </c:ser>
        <c:dLbls>
          <c:showLegendKey val="0"/>
          <c:showVal val="0"/>
          <c:showCatName val="0"/>
          <c:showSerName val="0"/>
          <c:showPercent val="0"/>
          <c:showBubbleSize val="0"/>
        </c:dLbls>
        <c:axId val="329105792"/>
        <c:axId val="329107712"/>
      </c:scatterChart>
      <c:valAx>
        <c:axId val="32910579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4457041416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107712"/>
        <c:crosses val="autoZero"/>
        <c:crossBetween val="midCat"/>
        <c:majorUnit val="0.2"/>
      </c:valAx>
      <c:valAx>
        <c:axId val="32910771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1195478161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105792"/>
        <c:crosses val="autoZero"/>
        <c:crossBetween val="midCat"/>
      </c:valAx>
      <c:spPr>
        <a:noFill/>
        <a:ln w="12700">
          <a:solidFill>
            <a:srgbClr val="808080"/>
          </a:solidFill>
          <a:prstDash val="solid"/>
        </a:ln>
      </c:spPr>
    </c:plotArea>
    <c:legend>
      <c:legendPos val="r"/>
      <c:layout>
        <c:manualLayout>
          <c:xMode val="edge"/>
          <c:yMode val="edge"/>
          <c:x val="0.78393964453073561"/>
          <c:y val="7.8349397196719697E-2"/>
          <c:w val="0.21606035546926525"/>
          <c:h val="0.3444965748576044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377" r="0.75000000000000377" t="1" header="0.5" footer="0.5"/>
    <c:pageSetup orientation="landscape"/>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07E-2"/>
          <c:w val="0.60994320807616165"/>
          <c:h val="0.69006044996244631"/>
        </c:manualLayout>
      </c:layout>
      <c:scatterChart>
        <c:scatterStyle val="smoothMarker"/>
        <c:varyColors val="0"/>
        <c:ser>
          <c:idx val="1"/>
          <c:order val="0"/>
          <c:tx>
            <c:strRef>
              <c:f>PLOTS!$AY$49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PLOTS!$BQ$51:$BQ$70</c:f>
              <c:numCache>
                <c:formatCode>General</c:formatCode>
                <c:ptCount val="20"/>
                <c:pt idx="0">
                  <c:v>0.96262231193712033</c:v>
                </c:pt>
                <c:pt idx="1">
                  <c:v>0.99833739242065844</c:v>
                </c:pt>
                <c:pt idx="2">
                  <c:v>1.0401992173622621</c:v>
                </c:pt>
                <c:pt idx="3">
                  <c:v>1.0795639998996931</c:v>
                </c:pt>
                <c:pt idx="4">
                  <c:v>1.118164410148718</c:v>
                </c:pt>
                <c:pt idx="5">
                  <c:v>1.1438150943459253</c:v>
                </c:pt>
                <c:pt idx="6">
                  <c:v>1.1690502722990577</c:v>
                </c:pt>
                <c:pt idx="7">
                  <c:v>1.2001472479706305</c:v>
                </c:pt>
                <c:pt idx="8">
                  <c:v>1.2304467139725033</c:v>
                </c:pt>
                <c:pt idx="9">
                  <c:v>1.2425971557934994</c:v>
                </c:pt>
                <c:pt idx="10">
                  <c:v>1.2722491412402184</c:v>
                </c:pt>
                <c:pt idx="11">
                  <c:v>1.3013418873752518</c:v>
                </c:pt>
                <c:pt idx="12">
                  <c:v>1.3386764735287517</c:v>
                </c:pt>
                <c:pt idx="13">
                  <c:v>1.3649409909054815</c:v>
                </c:pt>
                <c:pt idx="14">
                  <c:v>1.3896646904585093</c:v>
                </c:pt>
                <c:pt idx="15">
                  <c:v>1.4105901798302352</c:v>
                </c:pt>
                <c:pt idx="16">
                  <c:v>1.4280580651607602</c:v>
                </c:pt>
                <c:pt idx="17">
                  <c:v>1.4643996955342495</c:v>
                </c:pt>
                <c:pt idx="18">
                  <c:v>1.5041088893567092</c:v>
                </c:pt>
                <c:pt idx="19">
                  <c:v>1.5228100527159611</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8352-4E17-8CA5-2C90906A1909}"/>
            </c:ext>
          </c:extLst>
        </c:ser>
        <c:ser>
          <c:idx val="5"/>
          <c:order val="1"/>
          <c:tx>
            <c:strRef>
              <c:f>PLOTS!$AY$6</c:f>
              <c:strCache>
                <c:ptCount val="1"/>
                <c:pt idx="0">
                  <c:v>70-90</c:v>
                </c:pt>
              </c:strCache>
            </c:strRef>
          </c:tx>
          <c:marker>
            <c:symbol val="none"/>
          </c:marker>
          <c:xVal>
            <c:numRef>
              <c:f>PLOTS!$BQ$8:$BQ$16</c:f>
              <c:numCache>
                <c:formatCode>General</c:formatCode>
                <c:ptCount val="9"/>
                <c:pt idx="0">
                  <c:v>0.83624141721828038</c:v>
                </c:pt>
                <c:pt idx="1">
                  <c:v>1.0093347388693323</c:v>
                </c:pt>
                <c:pt idx="2">
                  <c:v>1.0893773576010257</c:v>
                </c:pt>
                <c:pt idx="3">
                  <c:v>1.1967367108123246</c:v>
                </c:pt>
                <c:pt idx="4">
                  <c:v>1.2589665607021256</c:v>
                </c:pt>
                <c:pt idx="5">
                  <c:v>1.3034063597214587</c:v>
                </c:pt>
                <c:pt idx="6">
                  <c:v>1.3681341000043084</c:v>
                </c:pt>
                <c:pt idx="7">
                  <c:v>1.4172798789413896</c:v>
                </c:pt>
                <c:pt idx="8">
                  <c:v>1.4944037990863475</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8352-4E17-8CA5-2C90906A190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8352-4E17-8CA5-2C90906A1909}"/>
            </c:ext>
          </c:extLst>
        </c:ser>
        <c:dLbls>
          <c:showLegendKey val="0"/>
          <c:showVal val="0"/>
          <c:showCatName val="0"/>
          <c:showSerName val="0"/>
          <c:showPercent val="0"/>
          <c:showBubbleSize val="0"/>
        </c:dLbls>
        <c:axId val="329254016"/>
        <c:axId val="329255936"/>
      </c:scatterChart>
      <c:valAx>
        <c:axId val="32925401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4457041416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255936"/>
        <c:crosses val="autoZero"/>
        <c:crossBetween val="midCat"/>
        <c:majorUnit val="0.2"/>
      </c:valAx>
      <c:valAx>
        <c:axId val="32925593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1195478161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254016"/>
        <c:crosses val="autoZero"/>
        <c:crossBetween val="midCat"/>
      </c:valAx>
      <c:spPr>
        <a:noFill/>
        <a:ln w="12700">
          <a:solidFill>
            <a:srgbClr val="808080"/>
          </a:solidFill>
          <a:prstDash val="solid"/>
        </a:ln>
      </c:spPr>
    </c:plotArea>
    <c:legend>
      <c:legendPos val="r"/>
      <c:layout>
        <c:manualLayout>
          <c:xMode val="edge"/>
          <c:yMode val="edge"/>
          <c:x val="0.78393964453073561"/>
          <c:y val="7.8349397196719697E-2"/>
          <c:w val="0.21606035546926525"/>
          <c:h val="0.34449657485760443"/>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35E-2"/>
          <c:w val="0.60994320807616165"/>
          <c:h val="0.69006044996244609"/>
        </c:manualLayout>
      </c:layout>
      <c:scatterChart>
        <c:scatterStyle val="smoothMarker"/>
        <c:varyColors val="0"/>
        <c:ser>
          <c:idx val="1"/>
          <c:order val="0"/>
          <c:tx>
            <c:strRef>
              <c:f>PLOTS!$AZ$49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PLOTS!$BR$51:$BR$70</c:f>
              <c:numCache>
                <c:formatCode>General</c:formatCode>
                <c:ptCount val="20"/>
                <c:pt idx="0">
                  <c:v>0.88894116461620709</c:v>
                </c:pt>
                <c:pt idx="1">
                  <c:v>1.0261192820281975</c:v>
                </c:pt>
                <c:pt idx="2">
                  <c:v>1.0625150017341671</c:v>
                </c:pt>
                <c:pt idx="3">
                  <c:v>1.1016230725014007</c:v>
                </c:pt>
                <c:pt idx="4">
                  <c:v>1.1414077048894968</c:v>
                </c:pt>
                <c:pt idx="5">
                  <c:v>1.1671162140720375</c:v>
                </c:pt>
                <c:pt idx="6">
                  <c:v>1.2090504893537612</c:v>
                </c:pt>
                <c:pt idx="7">
                  <c:v>1.2423938468208389</c:v>
                </c:pt>
                <c:pt idx="8">
                  <c:v>1.2721602951129223</c:v>
                </c:pt>
                <c:pt idx="9">
                  <c:v>1.3012920932841492</c:v>
                </c:pt>
                <c:pt idx="10">
                  <c:v>1.3335141411701903</c:v>
                </c:pt>
                <c:pt idx="11">
                  <c:v>1.3780929567943232</c:v>
                </c:pt>
                <c:pt idx="12">
                  <c:v>1.4258357794897443</c:v>
                </c:pt>
                <c:pt idx="13">
                  <c:v>1.4629761540981698</c:v>
                </c:pt>
                <c:pt idx="14">
                  <c:v>1.4986727338412162</c:v>
                </c:pt>
                <c:pt idx="15">
                  <c:v>1.5345800601805126</c:v>
                </c:pt>
                <c:pt idx="16">
                  <c:v>1.5612326512956838</c:v>
                </c:pt>
                <c:pt idx="17">
                  <c:v>1.6209345036482139</c:v>
                </c:pt>
                <c:pt idx="18">
                  <c:v>1.6513275628379882</c:v>
                </c:pt>
                <c:pt idx="19">
                  <c:v>1.6823134153217987</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F6FD-4E20-A1CA-30ED047AAE86}"/>
            </c:ext>
          </c:extLst>
        </c:ser>
        <c:ser>
          <c:idx val="5"/>
          <c:order val="1"/>
          <c:tx>
            <c:strRef>
              <c:f>PLOTS!$AZ$6</c:f>
              <c:strCache>
                <c:ptCount val="1"/>
                <c:pt idx="0">
                  <c:v>100-120</c:v>
                </c:pt>
              </c:strCache>
            </c:strRef>
          </c:tx>
          <c:marker>
            <c:symbol val="none"/>
          </c:marker>
          <c:xVal>
            <c:numRef>
              <c:f>PLOTS!$BR$8:$BR$16</c:f>
              <c:numCache>
                <c:formatCode>General</c:formatCode>
                <c:ptCount val="9"/>
                <c:pt idx="0">
                  <c:v>0.76785016253388938</c:v>
                </c:pt>
                <c:pt idx="1">
                  <c:v>0.9967492152572287</c:v>
                </c:pt>
                <c:pt idx="2">
                  <c:v>1.1032180247151162</c:v>
                </c:pt>
                <c:pt idx="3">
                  <c:v>1.2360874307164929</c:v>
                </c:pt>
                <c:pt idx="4">
                  <c:v>1.3133600841722852</c:v>
                </c:pt>
                <c:pt idx="5">
                  <c:v>1.3687371318402282</c:v>
                </c:pt>
                <c:pt idx="6">
                  <c:v>1.447168911142618</c:v>
                </c:pt>
                <c:pt idx="7">
                  <c:v>1.5042909784741572</c:v>
                </c:pt>
                <c:pt idx="8">
                  <c:v>1.5911546417723152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F6FD-4E20-A1CA-30ED047AAE86}"/>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F6FD-4E20-A1CA-30ED047AAE86}"/>
            </c:ext>
          </c:extLst>
        </c:ser>
        <c:dLbls>
          <c:showLegendKey val="0"/>
          <c:showVal val="0"/>
          <c:showCatName val="0"/>
          <c:showSerName val="0"/>
          <c:showPercent val="0"/>
          <c:showBubbleSize val="0"/>
        </c:dLbls>
        <c:axId val="329398144"/>
        <c:axId val="329515008"/>
      </c:scatterChart>
      <c:valAx>
        <c:axId val="32939814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4322032084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515008"/>
        <c:crosses val="autoZero"/>
        <c:crossBetween val="midCat"/>
        <c:majorUnit val="0.2"/>
      </c:valAx>
      <c:valAx>
        <c:axId val="32951500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1591505610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398144"/>
        <c:crosses val="autoZero"/>
        <c:crossBetween val="midCat"/>
      </c:valAx>
      <c:spPr>
        <a:noFill/>
        <a:ln w="12700">
          <a:solidFill>
            <a:srgbClr val="808080"/>
          </a:solidFill>
          <a:prstDash val="solid"/>
        </a:ln>
      </c:spPr>
    </c:plotArea>
    <c:legend>
      <c:legendPos val="r"/>
      <c:layout>
        <c:manualLayout>
          <c:xMode val="edge"/>
          <c:yMode val="edge"/>
          <c:x val="0.78393964453073561"/>
          <c:y val="7.8349276588360342E-2"/>
          <c:w val="0.21606035546926508"/>
          <c:h val="0.34449664866271901"/>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orientation="landscape"/>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63E-2"/>
          <c:w val="0.60994320807616165"/>
          <c:h val="0.69006044996244587"/>
        </c:manualLayout>
      </c:layout>
      <c:scatterChart>
        <c:scatterStyle val="smoothMarker"/>
        <c:varyColors val="0"/>
        <c:ser>
          <c:idx val="1"/>
          <c:order val="0"/>
          <c:tx>
            <c:strRef>
              <c:f>PLOTS!$BA$49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PLOTS!$BS$51:$BS$70</c:f>
              <c:numCache>
                <c:formatCode>General</c:formatCode>
                <c:ptCount val="20"/>
                <c:pt idx="0">
                  <c:v>0.88038203985296848</c:v>
                </c:pt>
                <c:pt idx="1">
                  <c:v>0.95202255184778406</c:v>
                </c:pt>
                <c:pt idx="2">
                  <c:v>1.0229321987133626</c:v>
                </c:pt>
                <c:pt idx="3">
                  <c:v>1.0931109804497046</c:v>
                </c:pt>
                <c:pt idx="4">
                  <c:v>1.1625588970568095</c:v>
                </c:pt>
                <c:pt idx="5">
                  <c:v>1.1981754236881677</c:v>
                </c:pt>
                <c:pt idx="6">
                  <c:v>1.2334863867536487</c:v>
                </c:pt>
                <c:pt idx="7">
                  <c:v>1.3017219256530457</c:v>
                </c:pt>
                <c:pt idx="8">
                  <c:v>1.3436390581250077</c:v>
                </c:pt>
                <c:pt idx="9">
                  <c:v>1.3853880859270489</c:v>
                </c:pt>
                <c:pt idx="10">
                  <c:v>1.4265827259878607</c:v>
                </c:pt>
                <c:pt idx="11">
                  <c:v>1.5007406216724508</c:v>
                </c:pt>
                <c:pt idx="12">
                  <c:v>1.5699545492600355</c:v>
                </c:pt>
                <c:pt idx="13">
                  <c:v>1.6200217776439234</c:v>
                </c:pt>
                <c:pt idx="14">
                  <c:v>1.6710254498370434</c:v>
                </c:pt>
                <c:pt idx="15">
                  <c:v>1.7238272242055295</c:v>
                </c:pt>
                <c:pt idx="16">
                  <c:v>1.7512881137571676</c:v>
                </c:pt>
                <c:pt idx="17">
                  <c:v>1.7896221564271146</c:v>
                </c:pt>
                <c:pt idx="18">
                  <c:v>1.8209247416753083</c:v>
                </c:pt>
                <c:pt idx="19">
                  <c:v>1.8457307479969527</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4A5-4DCC-822E-E77F607BE019}"/>
            </c:ext>
          </c:extLst>
        </c:ser>
        <c:ser>
          <c:idx val="5"/>
          <c:order val="1"/>
          <c:tx>
            <c:strRef>
              <c:f>PLOTS!$BA$6</c:f>
              <c:strCache>
                <c:ptCount val="1"/>
                <c:pt idx="0">
                  <c:v>130-150</c:v>
                </c:pt>
              </c:strCache>
            </c:strRef>
          </c:tx>
          <c:marker>
            <c:symbol val="none"/>
          </c:marker>
          <c:xVal>
            <c:numRef>
              <c:f>PLOTS!$BS$8:$BS$16</c:f>
              <c:numCache>
                <c:formatCode>General</c:formatCode>
                <c:ptCount val="9"/>
                <c:pt idx="0">
                  <c:v>0.59399555199131748</c:v>
                </c:pt>
                <c:pt idx="1">
                  <c:v>0.93440935707419415</c:v>
                </c:pt>
                <c:pt idx="2">
                  <c:v>1.0938324974323679</c:v>
                </c:pt>
                <c:pt idx="3">
                  <c:v>1.3032773720605579</c:v>
                </c:pt>
                <c:pt idx="4">
                  <c:v>1.4156298497387061</c:v>
                </c:pt>
                <c:pt idx="5">
                  <c:v>1.4961366824991245</c:v>
                </c:pt>
                <c:pt idx="6">
                  <c:v>1.6075460669255577</c:v>
                </c:pt>
                <c:pt idx="7">
                  <c:v>1.6845648249953427</c:v>
                </c:pt>
                <c:pt idx="8">
                  <c:v>1.7927826577509722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4A5-4DCC-822E-E77F607BE01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4A5-4DCC-822E-E77F607BE019}"/>
            </c:ext>
          </c:extLst>
        </c:ser>
        <c:dLbls>
          <c:showLegendKey val="0"/>
          <c:showVal val="0"/>
          <c:showCatName val="0"/>
          <c:showSerName val="0"/>
          <c:showPercent val="0"/>
          <c:showBubbleSize val="0"/>
        </c:dLbls>
        <c:axId val="329607808"/>
        <c:axId val="329638656"/>
      </c:scatterChart>
      <c:valAx>
        <c:axId val="329607808"/>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638656"/>
        <c:crosses val="autoZero"/>
        <c:crossBetween val="midCat"/>
        <c:majorUnit val="0.2"/>
      </c:valAx>
      <c:valAx>
        <c:axId val="32963865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607808"/>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44" r="0.75000000000000444" t="1" header="0.5" footer="0.5"/>
    <c:pageSetup orientation="landscape"/>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091E-2"/>
          <c:w val="0.60994320807616165"/>
          <c:h val="0.69006044996244553"/>
        </c:manualLayout>
      </c:layout>
      <c:scatterChart>
        <c:scatterStyle val="smoothMarker"/>
        <c:varyColors val="0"/>
        <c:ser>
          <c:idx val="1"/>
          <c:order val="0"/>
          <c:tx>
            <c:strRef>
              <c:f>PLOTS!$BB$49</c:f>
              <c:strCache>
                <c:ptCount val="1"/>
                <c:pt idx="0">
                  <c:v>WT Profile 1</c:v>
                </c:pt>
              </c:strCache>
            </c:strRef>
          </c:tx>
          <c:spPr>
            <a:ln w="12700">
              <a:noFill/>
              <a:prstDash val="solid"/>
            </a:ln>
          </c:spPr>
          <c:marker>
            <c:symbol val="square"/>
            <c:size val="7"/>
            <c:spPr>
              <a:solidFill>
                <a:schemeClr val="accent1"/>
              </a:solidFill>
              <a:ln>
                <a:solidFill>
                  <a:sysClr val="windowText" lastClr="000000"/>
                </a:solidFill>
              </a:ln>
            </c:spPr>
          </c:marker>
          <c:xVal>
            <c:numRef>
              <c:f>PLOTS!$BT$51:$BT$70</c:f>
              <c:numCache>
                <c:formatCode>General</c:formatCode>
                <c:ptCount val="20"/>
                <c:pt idx="0">
                  <c:v>0.99398275861426144</c:v>
                </c:pt>
                <c:pt idx="1">
                  <c:v>1.0239127841691056</c:v>
                </c:pt>
                <c:pt idx="2">
                  <c:v>1.0434197605237994</c:v>
                </c:pt>
                <c:pt idx="3">
                  <c:v>1.0625439175633349</c:v>
                </c:pt>
                <c:pt idx="4">
                  <c:v>1.0830151271765049</c:v>
                </c:pt>
                <c:pt idx="5">
                  <c:v>1.0963537434032349</c:v>
                </c:pt>
                <c:pt idx="6">
                  <c:v>1.1112639253399428</c:v>
                </c:pt>
                <c:pt idx="7">
                  <c:v>1.1300426681888471</c:v>
                </c:pt>
                <c:pt idx="8">
                  <c:v>1.1444194699815144</c:v>
                </c:pt>
                <c:pt idx="9">
                  <c:v>1.1584718705430752</c:v>
                </c:pt>
                <c:pt idx="10">
                  <c:v>1.1685453240307382</c:v>
                </c:pt>
                <c:pt idx="11">
                  <c:v>1.1811826452686365</c:v>
                </c:pt>
                <c:pt idx="12">
                  <c:v>1.1935306949696514</c:v>
                </c:pt>
                <c:pt idx="13">
                  <c:v>1.2031605702134658</c:v>
                </c:pt>
                <c:pt idx="14">
                  <c:v>1.2127364143417156</c:v>
                </c:pt>
                <c:pt idx="15">
                  <c:v>1.2222582273544005</c:v>
                </c:pt>
                <c:pt idx="16">
                  <c:v>1.2323887003924106</c:v>
                </c:pt>
                <c:pt idx="17">
                  <c:v>1.2571389555229318</c:v>
                </c:pt>
                <c:pt idx="18">
                  <c:v>1.2771500026219726</c:v>
                </c:pt>
                <c:pt idx="19">
                  <c:v>1.2944558507966732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178-40BD-882F-0FB510737A88}"/>
            </c:ext>
          </c:extLst>
        </c:ser>
        <c:ser>
          <c:idx val="5"/>
          <c:order val="1"/>
          <c:tx>
            <c:strRef>
              <c:f>PLOTS!$BB$6</c:f>
              <c:strCache>
                <c:ptCount val="1"/>
                <c:pt idx="0">
                  <c:v>160-180.</c:v>
                </c:pt>
              </c:strCache>
            </c:strRef>
          </c:tx>
          <c:marker>
            <c:symbol val="none"/>
          </c:marker>
          <c:xVal>
            <c:numRef>
              <c:f>PLOTS!$BT$8:$BT$16</c:f>
              <c:numCache>
                <c:formatCode>General</c:formatCode>
                <c:ptCount val="9"/>
                <c:pt idx="0">
                  <c:v>0.89561502252490865</c:v>
                </c:pt>
                <c:pt idx="1">
                  <c:v>1.012390882549681</c:v>
                </c:pt>
                <c:pt idx="2">
                  <c:v>1.0649101839079893</c:v>
                </c:pt>
                <c:pt idx="3">
                  <c:v>1.133684141352608</c:v>
                </c:pt>
                <c:pt idx="4">
                  <c:v>1.1733789089171178</c:v>
                </c:pt>
                <c:pt idx="5">
                  <c:v>1.2023450408312384</c:v>
                </c:pt>
                <c:pt idx="6">
                  <c:v>1.246507230547758</c:v>
                </c:pt>
                <c:pt idx="7">
                  <c:v>1.2819427766808462</c:v>
                </c:pt>
                <c:pt idx="8">
                  <c:v>1.3400595156009643</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178-40BD-882F-0FB510737A88}"/>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178-40BD-882F-0FB510737A88}"/>
            </c:ext>
          </c:extLst>
        </c:ser>
        <c:dLbls>
          <c:showLegendKey val="0"/>
          <c:showVal val="0"/>
          <c:showCatName val="0"/>
          <c:showSerName val="0"/>
          <c:showPercent val="0"/>
          <c:showBubbleSize val="0"/>
        </c:dLbls>
        <c:axId val="329751936"/>
        <c:axId val="331023872"/>
      </c:scatterChart>
      <c:valAx>
        <c:axId val="32975193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1023872"/>
        <c:crosses val="autoZero"/>
        <c:crossBetween val="midCat"/>
        <c:majorUnit val="0.2"/>
      </c:valAx>
      <c:valAx>
        <c:axId val="33102387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29751936"/>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66" r="0.75000000000000466" t="1" header="0.5" footer="0.5"/>
    <c:pageSetup orientation="landscape"/>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18E-2"/>
          <c:w val="0.60994320807616165"/>
          <c:h val="0.69006044996244531"/>
        </c:manualLayout>
      </c:layout>
      <c:scatterChart>
        <c:scatterStyle val="smoothMarker"/>
        <c:varyColors val="0"/>
        <c:ser>
          <c:idx val="1"/>
          <c:order val="0"/>
          <c:tx>
            <c:strRef>
              <c:f>PLOTS!$BC$49</c:f>
              <c:strCache>
                <c:ptCount val="1"/>
                <c:pt idx="0">
                  <c:v>WT Profile 2</c:v>
                </c:pt>
              </c:strCache>
            </c:strRef>
          </c:tx>
          <c:spPr>
            <a:ln w="12700">
              <a:noFill/>
              <a:prstDash val="solid"/>
            </a:ln>
          </c:spPr>
          <c:marker>
            <c:symbol val="square"/>
            <c:size val="7"/>
            <c:spPr>
              <a:solidFill>
                <a:schemeClr val="accent1"/>
              </a:solidFill>
              <a:ln>
                <a:solidFill>
                  <a:sysClr val="windowText" lastClr="000000"/>
                </a:solidFill>
              </a:ln>
            </c:spPr>
          </c:marker>
          <c:xVal>
            <c:numRef>
              <c:f>PLOTS!$BU$51:$BU$70</c:f>
              <c:numCache>
                <c:formatCode>General</c:formatCode>
                <c:ptCount val="20"/>
                <c:pt idx="0">
                  <c:v>1.0049922517706265</c:v>
                </c:pt>
                <c:pt idx="1">
                  <c:v>1.0398032997724069</c:v>
                </c:pt>
                <c:pt idx="2">
                  <c:v>1.0618555662029974</c:v>
                </c:pt>
                <c:pt idx="3">
                  <c:v>1.0782547455851939</c:v>
                </c:pt>
                <c:pt idx="4">
                  <c:v>1.0936080333524907</c:v>
                </c:pt>
                <c:pt idx="5">
                  <c:v>1.1082320489772313</c:v>
                </c:pt>
                <c:pt idx="6">
                  <c:v>1.1226867295240646</c:v>
                </c:pt>
                <c:pt idx="7">
                  <c:v>1.1639201524115494</c:v>
                </c:pt>
                <c:pt idx="8">
                  <c:v>1.1806193386074733</c:v>
                </c:pt>
                <c:pt idx="9">
                  <c:v>1.1982827016558308</c:v>
                </c:pt>
                <c:pt idx="10">
                  <c:v>1.2153129314144779</c:v>
                </c:pt>
                <c:pt idx="11">
                  <c:v>1.2397977344445392</c:v>
                </c:pt>
                <c:pt idx="12">
                  <c:v>1.260406382664838</c:v>
                </c:pt>
                <c:pt idx="13">
                  <c:v>1.275706220348044</c:v>
                </c:pt>
                <c:pt idx="14">
                  <c:v>1.2940936886946381</c:v>
                </c:pt>
                <c:pt idx="15">
                  <c:v>1.3115099310968328</c:v>
                </c:pt>
                <c:pt idx="16">
                  <c:v>1.3271338943336366</c:v>
                </c:pt>
                <c:pt idx="17">
                  <c:v>1.3648866604511982</c:v>
                </c:pt>
                <c:pt idx="18">
                  <c:v>1.3857207319654765</c:v>
                </c:pt>
                <c:pt idx="19">
                  <c:v>1.4058012825956934</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895-4B01-A116-D221E0FDEC0B}"/>
            </c:ext>
          </c:extLst>
        </c:ser>
        <c:ser>
          <c:idx val="5"/>
          <c:order val="1"/>
          <c:tx>
            <c:strRef>
              <c:f>PLOTS!$BC$6</c:f>
              <c:strCache>
                <c:ptCount val="1"/>
                <c:pt idx="0">
                  <c:v>190-210</c:v>
                </c:pt>
              </c:strCache>
            </c:strRef>
          </c:tx>
          <c:marker>
            <c:symbol val="none"/>
          </c:marker>
          <c:xVal>
            <c:numRef>
              <c:f>PLOTS!$BU$8:$BU$16</c:f>
              <c:numCache>
                <c:formatCode>General</c:formatCode>
                <c:ptCount val="9"/>
                <c:pt idx="0">
                  <c:v>0.8739450034361268</c:v>
                </c:pt>
                <c:pt idx="1">
                  <c:v>1.0120409839737712</c:v>
                </c:pt>
                <c:pt idx="2">
                  <c:v>1.0749745392222505</c:v>
                </c:pt>
                <c:pt idx="3">
                  <c:v>1.158234478959391</c:v>
                </c:pt>
                <c:pt idx="4">
                  <c:v>1.2062501418928762</c:v>
                </c:pt>
                <c:pt idx="5">
                  <c:v>1.2408421475171276</c:v>
                </c:pt>
                <c:pt idx="6">
                  <c:v>1.2923792280583692</c:v>
                </c:pt>
                <c:pt idx="7">
                  <c:v>1.3327168614097504</c:v>
                </c:pt>
                <c:pt idx="8">
                  <c:v>1.3977580890779577</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895-4B01-A116-D221E0FDEC0B}"/>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895-4B01-A116-D221E0FDEC0B}"/>
            </c:ext>
          </c:extLst>
        </c:ser>
        <c:dLbls>
          <c:showLegendKey val="0"/>
          <c:showVal val="0"/>
          <c:showCatName val="0"/>
          <c:showSerName val="0"/>
          <c:showPercent val="0"/>
          <c:showBubbleSize val="0"/>
        </c:dLbls>
        <c:axId val="331288960"/>
        <c:axId val="331290880"/>
      </c:scatterChart>
      <c:valAx>
        <c:axId val="33128896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1290880"/>
        <c:crosses val="autoZero"/>
        <c:crossBetween val="midCat"/>
        <c:majorUnit val="0.2"/>
      </c:valAx>
      <c:valAx>
        <c:axId val="33129088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1288960"/>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488" r="0.75000000000000488" t="1" header="0.5" footer="0.5"/>
    <c:pageSetup orientation="landscape"/>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509"/>
        </c:manualLayout>
      </c:layout>
      <c:scatterChart>
        <c:scatterStyle val="smoothMarker"/>
        <c:varyColors val="0"/>
        <c:ser>
          <c:idx val="1"/>
          <c:order val="0"/>
          <c:tx>
            <c:strRef>
              <c:f>PLOTS!$BD$49</c:f>
              <c:strCache>
                <c:ptCount val="1"/>
                <c:pt idx="0">
                  <c:v>WT Profile 3</c:v>
                </c:pt>
              </c:strCache>
            </c:strRef>
          </c:tx>
          <c:spPr>
            <a:ln w="12700">
              <a:noFill/>
              <a:prstDash val="solid"/>
            </a:ln>
          </c:spPr>
          <c:marker>
            <c:symbol val="square"/>
            <c:size val="7"/>
            <c:spPr>
              <a:solidFill>
                <a:schemeClr val="accent1"/>
              </a:solidFill>
              <a:ln>
                <a:solidFill>
                  <a:sysClr val="windowText" lastClr="000000"/>
                </a:solidFill>
              </a:ln>
            </c:spPr>
          </c:marker>
          <c:xVal>
            <c:numRef>
              <c:f>PLOTS!$BV$51:$BV$70</c:f>
              <c:numCache>
                <c:formatCode>General</c:formatCode>
                <c:ptCount val="20"/>
                <c:pt idx="0">
                  <c:v>0.96262231193712033</c:v>
                </c:pt>
                <c:pt idx="1">
                  <c:v>0.99833739242065844</c:v>
                </c:pt>
                <c:pt idx="2">
                  <c:v>1.0401992173622621</c:v>
                </c:pt>
                <c:pt idx="3">
                  <c:v>1.0795639998996931</c:v>
                </c:pt>
                <c:pt idx="4">
                  <c:v>1.118164410148718</c:v>
                </c:pt>
                <c:pt idx="5">
                  <c:v>1.1438150943459253</c:v>
                </c:pt>
                <c:pt idx="6">
                  <c:v>1.1690502722990577</c:v>
                </c:pt>
                <c:pt idx="7">
                  <c:v>1.2001472479706305</c:v>
                </c:pt>
                <c:pt idx="8">
                  <c:v>1.2304467139725033</c:v>
                </c:pt>
                <c:pt idx="9">
                  <c:v>1.2425971557934994</c:v>
                </c:pt>
                <c:pt idx="10">
                  <c:v>1.2722491412402184</c:v>
                </c:pt>
                <c:pt idx="11">
                  <c:v>1.3013418873752518</c:v>
                </c:pt>
                <c:pt idx="12">
                  <c:v>1.3386764735287517</c:v>
                </c:pt>
                <c:pt idx="13">
                  <c:v>1.3649409909054815</c:v>
                </c:pt>
                <c:pt idx="14">
                  <c:v>1.3896646904585093</c:v>
                </c:pt>
                <c:pt idx="15">
                  <c:v>1.4105901798302352</c:v>
                </c:pt>
                <c:pt idx="16">
                  <c:v>1.4280580651607602</c:v>
                </c:pt>
                <c:pt idx="17">
                  <c:v>1.4643996955342495</c:v>
                </c:pt>
                <c:pt idx="18">
                  <c:v>1.5041088893567092</c:v>
                </c:pt>
                <c:pt idx="19">
                  <c:v>1.5228100527159611</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ACDC-4CF0-8A71-273B13638A28}"/>
            </c:ext>
          </c:extLst>
        </c:ser>
        <c:ser>
          <c:idx val="5"/>
          <c:order val="1"/>
          <c:tx>
            <c:strRef>
              <c:f>PLOTS!$BD$6</c:f>
              <c:strCache>
                <c:ptCount val="1"/>
                <c:pt idx="0">
                  <c:v>220-240</c:v>
                </c:pt>
              </c:strCache>
            </c:strRef>
          </c:tx>
          <c:marker>
            <c:symbol val="none"/>
          </c:marker>
          <c:xVal>
            <c:numRef>
              <c:f>PLOTS!$BV$8:$BV$16</c:f>
              <c:numCache>
                <c:formatCode>General</c:formatCode>
                <c:ptCount val="9"/>
                <c:pt idx="0">
                  <c:v>0.83624141721828038</c:v>
                </c:pt>
                <c:pt idx="1">
                  <c:v>1.0093347388693323</c:v>
                </c:pt>
                <c:pt idx="2">
                  <c:v>1.0893773576010257</c:v>
                </c:pt>
                <c:pt idx="3">
                  <c:v>1.1967367108123246</c:v>
                </c:pt>
                <c:pt idx="4">
                  <c:v>1.2589665607021256</c:v>
                </c:pt>
                <c:pt idx="5">
                  <c:v>1.3034063597214587</c:v>
                </c:pt>
                <c:pt idx="6">
                  <c:v>1.3681341000043084</c:v>
                </c:pt>
                <c:pt idx="7">
                  <c:v>1.4172798789413896</c:v>
                </c:pt>
                <c:pt idx="8">
                  <c:v>1.4944037990863475</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ACDC-4CF0-8A71-273B13638A28}"/>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ACDC-4CF0-8A71-273B13638A28}"/>
            </c:ext>
          </c:extLst>
        </c:ser>
        <c:dLbls>
          <c:showLegendKey val="0"/>
          <c:showVal val="0"/>
          <c:showCatName val="0"/>
          <c:showSerName val="0"/>
          <c:showPercent val="0"/>
          <c:showBubbleSize val="0"/>
        </c:dLbls>
        <c:axId val="331420800"/>
        <c:axId val="331422720"/>
      </c:scatterChart>
      <c:valAx>
        <c:axId val="33142080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1422720"/>
        <c:crosses val="autoZero"/>
        <c:crossBetween val="midCat"/>
        <c:majorUnit val="0.2"/>
      </c:valAx>
      <c:valAx>
        <c:axId val="33142272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1420800"/>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11" r="0.75000000000000511" t="1" header="0.5" footer="0.5"/>
    <c:pageSetup orientation="landscape"/>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PLOTS!$BE$49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PLOTS!$BW$51:$BW$70</c:f>
              <c:numCache>
                <c:formatCode>General</c:formatCode>
                <c:ptCount val="20"/>
                <c:pt idx="0">
                  <c:v>0.88894116461620709</c:v>
                </c:pt>
                <c:pt idx="1">
                  <c:v>1.0261192820281975</c:v>
                </c:pt>
                <c:pt idx="2">
                  <c:v>1.0625150017341671</c:v>
                </c:pt>
                <c:pt idx="3">
                  <c:v>1.1016230725014007</c:v>
                </c:pt>
                <c:pt idx="4">
                  <c:v>1.1414077048894968</c:v>
                </c:pt>
                <c:pt idx="5">
                  <c:v>1.1671162140720375</c:v>
                </c:pt>
                <c:pt idx="6">
                  <c:v>1.2090504893537612</c:v>
                </c:pt>
                <c:pt idx="7">
                  <c:v>1.2423938468208389</c:v>
                </c:pt>
                <c:pt idx="8">
                  <c:v>1.2721602951129223</c:v>
                </c:pt>
                <c:pt idx="9">
                  <c:v>1.3012920932841492</c:v>
                </c:pt>
                <c:pt idx="10">
                  <c:v>1.3335141411701903</c:v>
                </c:pt>
                <c:pt idx="11">
                  <c:v>1.3780929567943232</c:v>
                </c:pt>
                <c:pt idx="12">
                  <c:v>1.4258357794897443</c:v>
                </c:pt>
                <c:pt idx="13">
                  <c:v>1.4629761540981698</c:v>
                </c:pt>
                <c:pt idx="14">
                  <c:v>1.4986727338412162</c:v>
                </c:pt>
                <c:pt idx="15">
                  <c:v>1.5345800601805126</c:v>
                </c:pt>
                <c:pt idx="16">
                  <c:v>1.5612326512956838</c:v>
                </c:pt>
                <c:pt idx="17">
                  <c:v>1.6209345036482139</c:v>
                </c:pt>
                <c:pt idx="18">
                  <c:v>1.6513275628379882</c:v>
                </c:pt>
                <c:pt idx="19">
                  <c:v>1.6823134153217987</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273A-47DD-BA72-F95926707B90}"/>
            </c:ext>
          </c:extLst>
        </c:ser>
        <c:ser>
          <c:idx val="5"/>
          <c:order val="1"/>
          <c:tx>
            <c:strRef>
              <c:f>PLOTS!$BE$6</c:f>
              <c:strCache>
                <c:ptCount val="1"/>
                <c:pt idx="0">
                  <c:v>250-270</c:v>
                </c:pt>
              </c:strCache>
            </c:strRef>
          </c:tx>
          <c:marker>
            <c:symbol val="none"/>
          </c:marker>
          <c:xVal>
            <c:numRef>
              <c:f>PLOTS!$BW$8:$BW$16</c:f>
              <c:numCache>
                <c:formatCode>General</c:formatCode>
                <c:ptCount val="9"/>
                <c:pt idx="0">
                  <c:v>0.76785016253388938</c:v>
                </c:pt>
                <c:pt idx="1">
                  <c:v>0.9967492152572287</c:v>
                </c:pt>
                <c:pt idx="2">
                  <c:v>1.1032180247151162</c:v>
                </c:pt>
                <c:pt idx="3">
                  <c:v>1.2360874307164929</c:v>
                </c:pt>
                <c:pt idx="4">
                  <c:v>1.3133600841722852</c:v>
                </c:pt>
                <c:pt idx="5">
                  <c:v>1.3687371318402282</c:v>
                </c:pt>
                <c:pt idx="6">
                  <c:v>1.447168911142618</c:v>
                </c:pt>
                <c:pt idx="7">
                  <c:v>1.5042909784741572</c:v>
                </c:pt>
                <c:pt idx="8">
                  <c:v>1.5911546417723152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273A-47DD-BA72-F95926707B90}"/>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273A-47DD-BA72-F95926707B90}"/>
            </c:ext>
          </c:extLst>
        </c:ser>
        <c:dLbls>
          <c:showLegendKey val="0"/>
          <c:showVal val="0"/>
          <c:showCatName val="0"/>
          <c:showSerName val="0"/>
          <c:showPercent val="0"/>
          <c:showBubbleSize val="0"/>
        </c:dLbls>
        <c:axId val="332260480"/>
        <c:axId val="332262400"/>
      </c:scatterChart>
      <c:valAx>
        <c:axId val="33226048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2262400"/>
        <c:crosses val="autoZero"/>
        <c:crossBetween val="midCat"/>
        <c:majorUnit val="0.2"/>
      </c:valAx>
      <c:valAx>
        <c:axId val="33226240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2260480"/>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PLOTS!$BF$49</c:f>
              <c:strCache>
                <c:ptCount val="1"/>
                <c:pt idx="0">
                  <c:v>WT Profile 6</c:v>
                </c:pt>
              </c:strCache>
            </c:strRef>
          </c:tx>
          <c:spPr>
            <a:ln w="12700">
              <a:noFill/>
              <a:prstDash val="solid"/>
            </a:ln>
          </c:spPr>
          <c:marker>
            <c:symbol val="square"/>
            <c:size val="7"/>
            <c:spPr>
              <a:solidFill>
                <a:schemeClr val="accent1"/>
              </a:solidFill>
              <a:ln>
                <a:solidFill>
                  <a:sysClr val="windowText" lastClr="000000"/>
                </a:solidFill>
              </a:ln>
            </c:spPr>
          </c:marker>
          <c:xVal>
            <c:numRef>
              <c:f>PLOTS!$BX$51:$BX$70</c:f>
              <c:numCache>
                <c:formatCode>General</c:formatCode>
                <c:ptCount val="20"/>
                <c:pt idx="0">
                  <c:v>0.88038203985296848</c:v>
                </c:pt>
                <c:pt idx="1">
                  <c:v>0.95202255184778406</c:v>
                </c:pt>
                <c:pt idx="2">
                  <c:v>1.0229321987133626</c:v>
                </c:pt>
                <c:pt idx="3">
                  <c:v>1.0931109804497046</c:v>
                </c:pt>
                <c:pt idx="4">
                  <c:v>1.1625588970568095</c:v>
                </c:pt>
                <c:pt idx="5">
                  <c:v>1.1981754236881677</c:v>
                </c:pt>
                <c:pt idx="6">
                  <c:v>1.2334863867536487</c:v>
                </c:pt>
                <c:pt idx="7">
                  <c:v>1.3017219256530457</c:v>
                </c:pt>
                <c:pt idx="8">
                  <c:v>1.3436390581250077</c:v>
                </c:pt>
                <c:pt idx="9">
                  <c:v>1.3853880859270489</c:v>
                </c:pt>
                <c:pt idx="10">
                  <c:v>1.4265827259878607</c:v>
                </c:pt>
                <c:pt idx="11">
                  <c:v>1.5007406216724508</c:v>
                </c:pt>
                <c:pt idx="12">
                  <c:v>1.5699545492600355</c:v>
                </c:pt>
                <c:pt idx="13">
                  <c:v>1.6200217776439234</c:v>
                </c:pt>
                <c:pt idx="14">
                  <c:v>1.6710254498370434</c:v>
                </c:pt>
                <c:pt idx="15">
                  <c:v>1.7238272242055295</c:v>
                </c:pt>
                <c:pt idx="16">
                  <c:v>1.7512881137571676</c:v>
                </c:pt>
                <c:pt idx="17">
                  <c:v>1.7896221564271146</c:v>
                </c:pt>
                <c:pt idx="18">
                  <c:v>1.8209247416753083</c:v>
                </c:pt>
                <c:pt idx="19">
                  <c:v>1.8457307479969527</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9DBC-4384-A0AB-13185F057F77}"/>
            </c:ext>
          </c:extLst>
        </c:ser>
        <c:ser>
          <c:idx val="5"/>
          <c:order val="1"/>
          <c:tx>
            <c:strRef>
              <c:f>PLOTS!$BF$6</c:f>
              <c:strCache>
                <c:ptCount val="1"/>
                <c:pt idx="0">
                  <c:v>280-300</c:v>
                </c:pt>
              </c:strCache>
            </c:strRef>
          </c:tx>
          <c:marker>
            <c:symbol val="none"/>
          </c:marker>
          <c:xVal>
            <c:numRef>
              <c:f>PLOTS!$BX$8:$BX$16</c:f>
              <c:numCache>
                <c:formatCode>General</c:formatCode>
                <c:ptCount val="9"/>
                <c:pt idx="0">
                  <c:v>0.59399555199131748</c:v>
                </c:pt>
                <c:pt idx="1">
                  <c:v>0.93440935707419415</c:v>
                </c:pt>
                <c:pt idx="2">
                  <c:v>1.0938324974323679</c:v>
                </c:pt>
                <c:pt idx="3">
                  <c:v>1.3032773720605579</c:v>
                </c:pt>
                <c:pt idx="4">
                  <c:v>1.4156298497387061</c:v>
                </c:pt>
                <c:pt idx="5">
                  <c:v>1.4961366824991245</c:v>
                </c:pt>
                <c:pt idx="6">
                  <c:v>1.6075460669255577</c:v>
                </c:pt>
                <c:pt idx="7">
                  <c:v>1.6845648249953427</c:v>
                </c:pt>
                <c:pt idx="8">
                  <c:v>1.7927826577509722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9DBC-4384-A0AB-13185F057F77}"/>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9DBC-4384-A0AB-13185F057F77}"/>
            </c:ext>
          </c:extLst>
        </c:ser>
        <c:dLbls>
          <c:showLegendKey val="0"/>
          <c:showVal val="0"/>
          <c:showCatName val="0"/>
          <c:showSerName val="0"/>
          <c:showPercent val="0"/>
          <c:showBubbleSize val="0"/>
        </c:dLbls>
        <c:axId val="336148352"/>
        <c:axId val="336150528"/>
      </c:scatterChart>
      <c:valAx>
        <c:axId val="33614835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150528"/>
        <c:crosses val="autoZero"/>
        <c:crossBetween val="midCat"/>
        <c:majorUnit val="0.2"/>
      </c:valAx>
      <c:valAx>
        <c:axId val="33615052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148352"/>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PLOTS!$BG$49</c:f>
              <c:strCache>
                <c:ptCount val="1"/>
                <c:pt idx="0">
                  <c:v>WT Profile 5</c:v>
                </c:pt>
              </c:strCache>
            </c:strRef>
          </c:tx>
          <c:spPr>
            <a:ln w="12700">
              <a:noFill/>
              <a:prstDash val="solid"/>
            </a:ln>
          </c:spPr>
          <c:marker>
            <c:symbol val="square"/>
            <c:size val="7"/>
            <c:spPr>
              <a:solidFill>
                <a:schemeClr val="accent1"/>
              </a:solidFill>
              <a:ln>
                <a:solidFill>
                  <a:sysClr val="windowText" lastClr="000000"/>
                </a:solidFill>
              </a:ln>
            </c:spPr>
          </c:marker>
          <c:xVal>
            <c:numRef>
              <c:f>PLOTS!$BG$51:$BG$70</c:f>
              <c:numCache>
                <c:formatCode>General</c:formatCode>
                <c:ptCount val="20"/>
                <c:pt idx="0">
                  <c:v>0.65281396924937107</c:v>
                </c:pt>
                <c:pt idx="1">
                  <c:v>0.72080242969520847</c:v>
                </c:pt>
                <c:pt idx="2">
                  <c:v>0.77329329458207141</c:v>
                </c:pt>
                <c:pt idx="3">
                  <c:v>0.81662675142377261</c:v>
                </c:pt>
                <c:pt idx="4">
                  <c:v>0.85382928653116696</c:v>
                </c:pt>
                <c:pt idx="5">
                  <c:v>0.89103182163856154</c:v>
                </c:pt>
                <c:pt idx="6">
                  <c:v>0.92718546596208873</c:v>
                </c:pt>
                <c:pt idx="7">
                  <c:v>0.96333911028561581</c:v>
                </c:pt>
                <c:pt idx="8">
                  <c:v>1.0022866336293859</c:v>
                </c:pt>
                <c:pt idx="9">
                  <c:v>1.0412341569731556</c:v>
                </c:pt>
                <c:pt idx="10">
                  <c:v>1.0863986680200923</c:v>
                </c:pt>
                <c:pt idx="11">
                  <c:v>1.1470203164445283</c:v>
                </c:pt>
                <c:pt idx="12">
                  <c:v>1.2076419648689642</c:v>
                </c:pt>
                <c:pt idx="13">
                  <c:v>1.2678473464444118</c:v>
                </c:pt>
                <c:pt idx="14">
                  <c:v>1.3007895192403147</c:v>
                </c:pt>
                <c:pt idx="15">
                  <c:v>1.3526139884872355</c:v>
                </c:pt>
                <c:pt idx="16">
                  <c:v>1.3836767233384166</c:v>
                </c:pt>
                <c:pt idx="17">
                  <c:v>1.435166308403558</c:v>
                </c:pt>
                <c:pt idx="18">
                  <c:v>1.4866558934686998</c:v>
                </c:pt>
                <c:pt idx="19">
                  <c:v>1.5101862491018423</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C8C-422B-8A8C-905D9D8EDDCE}"/>
            </c:ext>
          </c:extLst>
        </c:ser>
        <c:ser>
          <c:idx val="5"/>
          <c:order val="1"/>
          <c:tx>
            <c:strRef>
              <c:f>PLOTS!$BG$6</c:f>
              <c:strCache>
                <c:ptCount val="1"/>
                <c:pt idx="0">
                  <c:v>310-330</c:v>
                </c:pt>
              </c:strCache>
            </c:strRef>
          </c:tx>
          <c:marker>
            <c:symbol val="none"/>
          </c:marker>
          <c:xVal>
            <c:numRef>
              <c:f>PLOTS!$BG$8:$BG$16</c:f>
              <c:numCache>
                <c:formatCode>General</c:formatCode>
                <c:ptCount val="9"/>
                <c:pt idx="0">
                  <c:v>0.42657265698056979</c:v>
                </c:pt>
                <c:pt idx="1">
                  <c:v>0.67705809218017587</c:v>
                </c:pt>
                <c:pt idx="2">
                  <c:v>0.79612214829291428</c:v>
                </c:pt>
                <c:pt idx="3">
                  <c:v>0.95545311879403139</c:v>
                </c:pt>
                <c:pt idx="4">
                  <c:v>1.0530035590165847</c:v>
                </c:pt>
                <c:pt idx="5">
                  <c:v>1.1258845751521196</c:v>
                </c:pt>
                <c:pt idx="6">
                  <c:v>1.235104362769776</c:v>
                </c:pt>
                <c:pt idx="7">
                  <c:v>1.3184708807723864</c:v>
                </c:pt>
                <c:pt idx="8">
                  <c:v>1.4464582156630457</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C8C-422B-8A8C-905D9D8EDDCE}"/>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C8C-422B-8A8C-905D9D8EDDCE}"/>
            </c:ext>
          </c:extLst>
        </c:ser>
        <c:dLbls>
          <c:showLegendKey val="0"/>
          <c:showVal val="0"/>
          <c:showCatName val="0"/>
          <c:showSerName val="0"/>
          <c:showPercent val="0"/>
          <c:showBubbleSize val="0"/>
        </c:dLbls>
        <c:axId val="336177792"/>
        <c:axId val="336270080"/>
      </c:scatterChart>
      <c:valAx>
        <c:axId val="33617779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270080"/>
        <c:crosses val="autoZero"/>
        <c:crossBetween val="midCat"/>
        <c:majorUnit val="0.2"/>
      </c:valAx>
      <c:valAx>
        <c:axId val="33627008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177792"/>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PLOTS!$BG$49</c:f>
              <c:strCache>
                <c:ptCount val="1"/>
                <c:pt idx="0">
                  <c:v>WT Profile 5</c:v>
                </c:pt>
              </c:strCache>
            </c:strRef>
          </c:tx>
          <c:spPr>
            <a:ln w="12700">
              <a:noFill/>
              <a:prstDash val="solid"/>
            </a:ln>
          </c:spPr>
          <c:marker>
            <c:symbol val="square"/>
            <c:size val="7"/>
            <c:spPr>
              <a:solidFill>
                <a:schemeClr val="accent1"/>
              </a:solidFill>
              <a:ln>
                <a:solidFill>
                  <a:sysClr val="windowText" lastClr="000000"/>
                </a:solidFill>
              </a:ln>
            </c:spPr>
          </c:marker>
          <c:xVal>
            <c:numRef>
              <c:f>PLOTS!$BG$73:$BG$92</c:f>
              <c:numCache>
                <c:formatCode>General</c:formatCode>
                <c:ptCount val="20"/>
                <c:pt idx="0">
                  <c:v>0.2678907587709739</c:v>
                </c:pt>
                <c:pt idx="1">
                  <c:v>0.25534761127466327</c:v>
                </c:pt>
                <c:pt idx="2">
                  <c:v>0.24680591561549042</c:v>
                </c:pt>
                <c:pt idx="3">
                  <c:v>0.24102795780774522</c:v>
                </c:pt>
                <c:pt idx="4">
                  <c:v>0.23524999999999999</c:v>
                </c:pt>
                <c:pt idx="5">
                  <c:v>0.23099999999999998</c:v>
                </c:pt>
                <c:pt idx="6">
                  <c:v>0.22550000000000001</c:v>
                </c:pt>
                <c:pt idx="7">
                  <c:v>0.214</c:v>
                </c:pt>
                <c:pt idx="8">
                  <c:v>0.20624999999999999</c:v>
                </c:pt>
                <c:pt idx="9">
                  <c:v>0.19975000000000001</c:v>
                </c:pt>
                <c:pt idx="10">
                  <c:v>0.19325000000000003</c:v>
                </c:pt>
                <c:pt idx="11">
                  <c:v>0.17774999999999999</c:v>
                </c:pt>
                <c:pt idx="12">
                  <c:v>0.16541666666666666</c:v>
                </c:pt>
                <c:pt idx="13">
                  <c:v>0.15308333333333335</c:v>
                </c:pt>
                <c:pt idx="14">
                  <c:v>0.14716666666666667</c:v>
                </c:pt>
                <c:pt idx="15">
                  <c:v>0.13705000000000001</c:v>
                </c:pt>
                <c:pt idx="16">
                  <c:v>0.12984999999999999</c:v>
                </c:pt>
                <c:pt idx="17">
                  <c:v>0.11499999999999999</c:v>
                </c:pt>
                <c:pt idx="18">
                  <c:v>0.10819999999999999</c:v>
                </c:pt>
                <c:pt idx="19">
                  <c:v>0.10139999999999999</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127D-402F-BD0C-B9010C7198A5}"/>
            </c:ext>
          </c:extLst>
        </c:ser>
        <c:ser>
          <c:idx val="5"/>
          <c:order val="1"/>
          <c:tx>
            <c:strRef>
              <c:f>PLOTS!$BG$6</c:f>
              <c:strCache>
                <c:ptCount val="1"/>
                <c:pt idx="0">
                  <c:v>310-330</c:v>
                </c:pt>
              </c:strCache>
            </c:strRef>
          </c:tx>
          <c:marker>
            <c:symbol val="none"/>
          </c:marker>
          <c:xVal>
            <c:numRef>
              <c:f>PLOTS!$BG$26:$BG$34</c:f>
              <c:numCache>
                <c:formatCode>General</c:formatCode>
                <c:ptCount val="9"/>
                <c:pt idx="0">
                  <c:v>0.39491696847115243</c:v>
                </c:pt>
                <c:pt idx="1">
                  <c:v>0.28450049766762042</c:v>
                </c:pt>
                <c:pt idx="2">
                  <c:v>0.25456848305528218</c:v>
                </c:pt>
                <c:pt idx="3">
                  <c:v>0.22160550025981512</c:v>
                </c:pt>
                <c:pt idx="4">
                  <c:v>0.20116761437545003</c:v>
                </c:pt>
                <c:pt idx="5">
                  <c:v>0.18481447748471674</c:v>
                </c:pt>
                <c:pt idx="6">
                  <c:v>0.15870201724136757</c:v>
                </c:pt>
                <c:pt idx="7">
                  <c:v>0.13847984093567103</c:v>
                </c:pt>
                <c:pt idx="8">
                  <c:v>0.10972732555585547</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127D-402F-BD0C-B9010C7198A5}"/>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127D-402F-BD0C-B9010C7198A5}"/>
            </c:ext>
          </c:extLst>
        </c:ser>
        <c:dLbls>
          <c:showLegendKey val="0"/>
          <c:showVal val="0"/>
          <c:showCatName val="0"/>
          <c:showSerName val="0"/>
          <c:showPercent val="0"/>
          <c:showBubbleSize val="0"/>
        </c:dLbls>
        <c:axId val="336313728"/>
        <c:axId val="336324096"/>
      </c:scatterChart>
      <c:valAx>
        <c:axId val="336313728"/>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324096"/>
        <c:crosses val="autoZero"/>
        <c:crossBetween val="midCat"/>
        <c:majorUnit val="0.1"/>
      </c:valAx>
      <c:valAx>
        <c:axId val="33632409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313728"/>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PLOTS!$BG$49</c:f>
              <c:strCache>
                <c:ptCount val="1"/>
                <c:pt idx="0">
                  <c:v>WT Profile 5</c:v>
                </c:pt>
              </c:strCache>
            </c:strRef>
          </c:tx>
          <c:spPr>
            <a:ln w="12700">
              <a:noFill/>
              <a:prstDash val="solid"/>
            </a:ln>
          </c:spPr>
          <c:marker>
            <c:symbol val="square"/>
            <c:size val="7"/>
            <c:spPr>
              <a:solidFill>
                <a:schemeClr val="accent1"/>
              </a:solidFill>
              <a:ln>
                <a:solidFill>
                  <a:sysClr val="windowText" lastClr="000000"/>
                </a:solidFill>
              </a:ln>
            </c:spPr>
          </c:marker>
          <c:xVal>
            <c:numRef>
              <c:f>PLOTS!$BY$51:$BY$70</c:f>
              <c:numCache>
                <c:formatCode>General</c:formatCode>
                <c:ptCount val="20"/>
                <c:pt idx="0">
                  <c:v>0.91513821358712888</c:v>
                </c:pt>
                <c:pt idx="1">
                  <c:v>0.99688519763067585</c:v>
                </c:pt>
                <c:pt idx="2">
                  <c:v>1.0595733339950424</c:v>
                </c:pt>
                <c:pt idx="3">
                  <c:v>1.1118715687040404</c:v>
                </c:pt>
                <c:pt idx="4">
                  <c:v>1.1551242960158525</c:v>
                </c:pt>
                <c:pt idx="5">
                  <c:v>1.1997743478363232</c:v>
                </c:pt>
                <c:pt idx="6">
                  <c:v>1.2408059498237651</c:v>
                </c:pt>
                <c:pt idx="7">
                  <c:v>1.2725709646872985</c:v>
                </c:pt>
                <c:pt idx="8">
                  <c:v>1.312369060908477</c:v>
                </c:pt>
                <c:pt idx="9">
                  <c:v>1.3532139412562374</c:v>
                </c:pt>
                <c:pt idx="10">
                  <c:v>1.4013184819124167</c:v>
                </c:pt>
                <c:pt idx="11">
                  <c:v>1.4528446083165505</c:v>
                </c:pt>
                <c:pt idx="12">
                  <c:v>1.507288127402076</c:v>
                </c:pt>
                <c:pt idx="13">
                  <c:v>1.5589767933717098</c:v>
                </c:pt>
                <c:pt idx="14">
                  <c:v>1.5879388056126142</c:v>
                </c:pt>
                <c:pt idx="15">
                  <c:v>1.6306776091704991</c:v>
                </c:pt>
                <c:pt idx="16">
                  <c:v>1.6531823571266566</c:v>
                </c:pt>
                <c:pt idx="17">
                  <c:v>1.6827324966031716</c:v>
                </c:pt>
                <c:pt idx="18">
                  <c:v>1.72794014497867</c:v>
                </c:pt>
                <c:pt idx="19">
                  <c:v>1.7398855775902324</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3E9F-45C6-91C8-92EF10DC3351}"/>
            </c:ext>
          </c:extLst>
        </c:ser>
        <c:ser>
          <c:idx val="5"/>
          <c:order val="1"/>
          <c:tx>
            <c:strRef>
              <c:f>PLOTS!$BG$6</c:f>
              <c:strCache>
                <c:ptCount val="1"/>
                <c:pt idx="0">
                  <c:v>310-330</c:v>
                </c:pt>
              </c:strCache>
            </c:strRef>
          </c:tx>
          <c:marker>
            <c:symbol val="none"/>
          </c:marker>
          <c:xVal>
            <c:numRef>
              <c:f>PLOTS!$BY$8:$BY$16</c:f>
              <c:numCache>
                <c:formatCode>General</c:formatCode>
                <c:ptCount val="9"/>
                <c:pt idx="0">
                  <c:v>0.67926382777174688</c:v>
                </c:pt>
                <c:pt idx="1">
                  <c:v>0.96599313844290036</c:v>
                </c:pt>
                <c:pt idx="2">
                  <c:v>1.1001235597193737</c:v>
                </c:pt>
                <c:pt idx="3">
                  <c:v>1.2730536183417593</c:v>
                </c:pt>
                <c:pt idx="4">
                  <c:v>1.3707488798609218</c:v>
                </c:pt>
                <c:pt idx="5">
                  <c:v>1.4380042293493815</c:v>
                </c:pt>
                <c:pt idx="6">
                  <c:v>1.529124693582542</c:v>
                </c:pt>
                <c:pt idx="7">
                  <c:v>1.5923433375438976</c:v>
                </c:pt>
                <c:pt idx="8">
                  <c:v>1.6845322029625469</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3E9F-45C6-91C8-92EF10DC3351}"/>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3E9F-45C6-91C8-92EF10DC3351}"/>
            </c:ext>
          </c:extLst>
        </c:ser>
        <c:dLbls>
          <c:showLegendKey val="0"/>
          <c:showVal val="0"/>
          <c:showCatName val="0"/>
          <c:showSerName val="0"/>
          <c:showPercent val="0"/>
          <c:showBubbleSize val="0"/>
        </c:dLbls>
        <c:axId val="336384384"/>
        <c:axId val="336386304"/>
      </c:scatterChart>
      <c:valAx>
        <c:axId val="33638438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386304"/>
        <c:crosses val="autoZero"/>
        <c:crossBetween val="midCat"/>
        <c:majorUnit val="0.2"/>
      </c:valAx>
      <c:valAx>
        <c:axId val="33638630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36384384"/>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PLOTS!$BH$49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PLOTS!$BH$51:$BH$70</c:f>
              <c:numCache>
                <c:formatCode>General</c:formatCode>
                <c:ptCount val="20"/>
                <c:pt idx="0">
                  <c:v>0.64439374020747164</c:v>
                </c:pt>
                <c:pt idx="1">
                  <c:v>0.75422218451172174</c:v>
                </c:pt>
                <c:pt idx="2">
                  <c:v>0.79203503670083286</c:v>
                </c:pt>
                <c:pt idx="3">
                  <c:v>0.82984788888994387</c:v>
                </c:pt>
                <c:pt idx="4">
                  <c:v>0.86766074107905489</c:v>
                </c:pt>
                <c:pt idx="5">
                  <c:v>0.89340060401648635</c:v>
                </c:pt>
                <c:pt idx="6">
                  <c:v>0.93201039842263345</c:v>
                </c:pt>
                <c:pt idx="7">
                  <c:v>0.97062019282878043</c:v>
                </c:pt>
                <c:pt idx="8">
                  <c:v>1.0018324938545129</c:v>
                </c:pt>
                <c:pt idx="9">
                  <c:v>1.0330447948802455</c:v>
                </c:pt>
                <c:pt idx="10">
                  <c:v>1.0642570959059778</c:v>
                </c:pt>
                <c:pt idx="11">
                  <c:v>1.1147364665677033</c:v>
                </c:pt>
                <c:pt idx="12">
                  <c:v>1.1652158372294288</c:v>
                </c:pt>
                <c:pt idx="13">
                  <c:v>1.2055839753590192</c:v>
                </c:pt>
                <c:pt idx="14">
                  <c:v>1.2459521134886098</c:v>
                </c:pt>
                <c:pt idx="15">
                  <c:v>1.2863202516182</c:v>
                </c:pt>
                <c:pt idx="16">
                  <c:v>1.3193515363062116</c:v>
                </c:pt>
                <c:pt idx="17">
                  <c:v>1.3854141056822342</c:v>
                </c:pt>
                <c:pt idx="18">
                  <c:v>1.4248479769083984</c:v>
                </c:pt>
                <c:pt idx="19">
                  <c:v>1.4642818481345623</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E5BE-493E-A522-E20A83A44CB3}"/>
            </c:ext>
          </c:extLst>
        </c:ser>
        <c:ser>
          <c:idx val="5"/>
          <c:order val="1"/>
          <c:tx>
            <c:strRef>
              <c:f>PLOTS!$BH$6</c:f>
              <c:strCache>
                <c:ptCount val="1"/>
                <c:pt idx="0">
                  <c:v>340-360</c:v>
                </c:pt>
              </c:strCache>
            </c:strRef>
          </c:tx>
          <c:marker>
            <c:symbol val="none"/>
          </c:marker>
          <c:xVal>
            <c:numRef>
              <c:f>PLOTS!$BH$8:$BH$16</c:f>
              <c:numCache>
                <c:formatCode>General</c:formatCode>
                <c:ptCount val="9"/>
                <c:pt idx="0">
                  <c:v>0.51033220881565133</c:v>
                </c:pt>
                <c:pt idx="1">
                  <c:v>0.72482133150679939</c:v>
                </c:pt>
                <c:pt idx="2">
                  <c:v>0.82700758416419262</c:v>
                </c:pt>
                <c:pt idx="3">
                  <c:v>0.96240372012754438</c:v>
                </c:pt>
                <c:pt idx="4">
                  <c:v>1.0463368728505624</c:v>
                </c:pt>
                <c:pt idx="5">
                  <c:v>1.1121553991621218</c:v>
                </c:pt>
                <c:pt idx="6">
                  <c:v>1.2129650970982411</c:v>
                </c:pt>
                <c:pt idx="7">
                  <c:v>1.2901764617088738</c:v>
                </c:pt>
                <c:pt idx="8">
                  <c:v>1.4083123938498372</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E5BE-493E-A522-E20A83A44CB3}"/>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E5BE-493E-A522-E20A83A44CB3}"/>
            </c:ext>
          </c:extLst>
        </c:ser>
        <c:dLbls>
          <c:showLegendKey val="0"/>
          <c:showVal val="0"/>
          <c:showCatName val="0"/>
          <c:showSerName val="0"/>
          <c:showPercent val="0"/>
          <c:showBubbleSize val="0"/>
        </c:dLbls>
        <c:axId val="340641280"/>
        <c:axId val="340643200"/>
      </c:scatterChart>
      <c:valAx>
        <c:axId val="34064128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643200"/>
        <c:crosses val="autoZero"/>
        <c:crossBetween val="midCat"/>
        <c:majorUnit val="0.2"/>
      </c:valAx>
      <c:valAx>
        <c:axId val="34064320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641280"/>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PLOTS!$BH$49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PLOTS!$BH$73:$BH$92</c:f>
              <c:numCache>
                <c:formatCode>General</c:formatCode>
                <c:ptCount val="20"/>
                <c:pt idx="0">
                  <c:v>0.253</c:v>
                </c:pt>
                <c:pt idx="1">
                  <c:v>0.24033333333333337</c:v>
                </c:pt>
                <c:pt idx="2">
                  <c:v>0.22766666666666668</c:v>
                </c:pt>
                <c:pt idx="3">
                  <c:v>0.21833333333333335</c:v>
                </c:pt>
                <c:pt idx="4">
                  <c:v>0.21033333333333334</c:v>
                </c:pt>
                <c:pt idx="5">
                  <c:v>0.20425000000000001</c:v>
                </c:pt>
                <c:pt idx="6">
                  <c:v>0.19816666666666669</c:v>
                </c:pt>
                <c:pt idx="7">
                  <c:v>0.18666666666666668</c:v>
                </c:pt>
                <c:pt idx="8">
                  <c:v>0.17988888888888888</c:v>
                </c:pt>
                <c:pt idx="9">
                  <c:v>0.17311111111111113</c:v>
                </c:pt>
                <c:pt idx="10">
                  <c:v>0.16866666666666666</c:v>
                </c:pt>
                <c:pt idx="11">
                  <c:v>0.1575</c:v>
                </c:pt>
                <c:pt idx="12">
                  <c:v>0.14911111111111111</c:v>
                </c:pt>
                <c:pt idx="13">
                  <c:v>0.14233333333333334</c:v>
                </c:pt>
                <c:pt idx="14">
                  <c:v>0.13522222222222222</c:v>
                </c:pt>
                <c:pt idx="15">
                  <c:v>0.12866666666666668</c:v>
                </c:pt>
                <c:pt idx="16">
                  <c:v>0.12222222222222222</c:v>
                </c:pt>
                <c:pt idx="17">
                  <c:v>0.11333333333333333</c:v>
                </c:pt>
                <c:pt idx="18">
                  <c:v>0.10596666666666667</c:v>
                </c:pt>
                <c:pt idx="19">
                  <c:v>9.9266666666666656E-2</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BD9D-4A20-A5B5-5AEE99F29C39}"/>
            </c:ext>
          </c:extLst>
        </c:ser>
        <c:ser>
          <c:idx val="5"/>
          <c:order val="1"/>
          <c:tx>
            <c:strRef>
              <c:f>PLOTS!$BH$6</c:f>
              <c:strCache>
                <c:ptCount val="1"/>
                <c:pt idx="0">
                  <c:v>340-360</c:v>
                </c:pt>
              </c:strCache>
            </c:strRef>
          </c:tx>
          <c:marker>
            <c:symbol val="none"/>
          </c:marker>
          <c:xVal>
            <c:numRef>
              <c:f>PLOTS!$BH$26:$BH$34</c:f>
              <c:numCache>
                <c:formatCode>General</c:formatCode>
                <c:ptCount val="9"/>
                <c:pt idx="0">
                  <c:v>0.30781576447878134</c:v>
                </c:pt>
                <c:pt idx="1">
                  <c:v>0.24429444080719104</c:v>
                </c:pt>
                <c:pt idx="2">
                  <c:v>0.22357666553449848</c:v>
                </c:pt>
                <c:pt idx="3">
                  <c:v>0.19770120441017569</c:v>
                </c:pt>
                <c:pt idx="4">
                  <c:v>0.17999422749016633</c:v>
                </c:pt>
                <c:pt idx="5">
                  <c:v>0.16524532974560346</c:v>
                </c:pt>
                <c:pt idx="6">
                  <c:v>0.14218388183976</c:v>
                </c:pt>
                <c:pt idx="7">
                  <c:v>0.12507466330884276</c:v>
                </c:pt>
                <c:pt idx="8">
                  <c:v>0.10154529189629347</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BD9D-4A20-A5B5-5AEE99F29C39}"/>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BD9D-4A20-A5B5-5AEE99F29C39}"/>
            </c:ext>
          </c:extLst>
        </c:ser>
        <c:dLbls>
          <c:showLegendKey val="0"/>
          <c:showVal val="0"/>
          <c:showCatName val="0"/>
          <c:showSerName val="0"/>
          <c:showPercent val="0"/>
          <c:showBubbleSize val="0"/>
        </c:dLbls>
        <c:axId val="340768640"/>
        <c:axId val="340774912"/>
      </c:scatterChart>
      <c:valAx>
        <c:axId val="340768640"/>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774912"/>
        <c:crosses val="autoZero"/>
        <c:crossBetween val="midCat"/>
        <c:majorUnit val="0.1"/>
      </c:valAx>
      <c:valAx>
        <c:axId val="34077491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768640"/>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PLOTS!$BH$49</c:f>
              <c:strCache>
                <c:ptCount val="1"/>
                <c:pt idx="0">
                  <c:v>WT Profile 4</c:v>
                </c:pt>
              </c:strCache>
            </c:strRef>
          </c:tx>
          <c:spPr>
            <a:ln w="12700">
              <a:noFill/>
              <a:prstDash val="solid"/>
            </a:ln>
          </c:spPr>
          <c:marker>
            <c:symbol val="square"/>
            <c:size val="7"/>
            <c:spPr>
              <a:solidFill>
                <a:schemeClr val="accent1"/>
              </a:solidFill>
              <a:ln>
                <a:solidFill>
                  <a:sysClr val="windowText" lastClr="000000"/>
                </a:solidFill>
              </a:ln>
            </c:spPr>
          </c:marker>
          <c:xVal>
            <c:numRef>
              <c:f>PLOTS!$BZ$51:$BZ$70</c:f>
              <c:numCache>
                <c:formatCode>General</c:formatCode>
                <c:ptCount val="20"/>
                <c:pt idx="0">
                  <c:v>0.88894116461620709</c:v>
                </c:pt>
                <c:pt idx="1">
                  <c:v>1.0261192820281975</c:v>
                </c:pt>
                <c:pt idx="2">
                  <c:v>1.0625150017341671</c:v>
                </c:pt>
                <c:pt idx="3">
                  <c:v>1.1016230725014007</c:v>
                </c:pt>
                <c:pt idx="4">
                  <c:v>1.1414077048894968</c:v>
                </c:pt>
                <c:pt idx="5">
                  <c:v>1.1671162140720375</c:v>
                </c:pt>
                <c:pt idx="6">
                  <c:v>1.2090504893537612</c:v>
                </c:pt>
                <c:pt idx="7">
                  <c:v>1.2423938468208389</c:v>
                </c:pt>
                <c:pt idx="8">
                  <c:v>1.2721602951129223</c:v>
                </c:pt>
                <c:pt idx="9">
                  <c:v>1.3012920932841492</c:v>
                </c:pt>
                <c:pt idx="10">
                  <c:v>1.3335141411701903</c:v>
                </c:pt>
                <c:pt idx="11">
                  <c:v>1.3780929567943232</c:v>
                </c:pt>
                <c:pt idx="12">
                  <c:v>1.4258357794897443</c:v>
                </c:pt>
                <c:pt idx="13">
                  <c:v>1.4629761540981698</c:v>
                </c:pt>
                <c:pt idx="14">
                  <c:v>1.4986727338412162</c:v>
                </c:pt>
                <c:pt idx="15">
                  <c:v>1.5345800601805126</c:v>
                </c:pt>
                <c:pt idx="16">
                  <c:v>1.5612326512956838</c:v>
                </c:pt>
                <c:pt idx="17">
                  <c:v>1.6209345036482139</c:v>
                </c:pt>
                <c:pt idx="18">
                  <c:v>1.6513275628379882</c:v>
                </c:pt>
                <c:pt idx="19">
                  <c:v>1.6823134153217987</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D46B-44E5-9CAA-4D7BADE5DE1D}"/>
            </c:ext>
          </c:extLst>
        </c:ser>
        <c:ser>
          <c:idx val="5"/>
          <c:order val="1"/>
          <c:tx>
            <c:strRef>
              <c:f>PLOTS!$BH$6</c:f>
              <c:strCache>
                <c:ptCount val="1"/>
                <c:pt idx="0">
                  <c:v>340-360</c:v>
                </c:pt>
              </c:strCache>
            </c:strRef>
          </c:tx>
          <c:marker>
            <c:symbol val="none"/>
          </c:marker>
          <c:xVal>
            <c:numRef>
              <c:f>PLOTS!$BZ$8:$BZ$16</c:f>
              <c:numCache>
                <c:formatCode>General</c:formatCode>
                <c:ptCount val="9"/>
                <c:pt idx="0">
                  <c:v>0.74596465730775352</c:v>
                </c:pt>
                <c:pt idx="1">
                  <c:v>0.99042606430516522</c:v>
                </c:pt>
                <c:pt idx="2">
                  <c:v>1.1043569812229495</c:v>
                </c:pt>
                <c:pt idx="3">
                  <c:v>1.2478062820246181</c:v>
                </c:pt>
                <c:pt idx="4">
                  <c:v>1.3288387685353824</c:v>
                </c:pt>
                <c:pt idx="5">
                  <c:v>1.387823127656469</c:v>
                </c:pt>
                <c:pt idx="6">
                  <c:v>1.4716612261605952</c:v>
                </c:pt>
                <c:pt idx="7">
                  <c:v>1.5322290415447211</c:v>
                </c:pt>
                <c:pt idx="8">
                  <c:v>1.6228236335218114</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D46B-44E5-9CAA-4D7BADE5DE1D}"/>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D46B-44E5-9CAA-4D7BADE5DE1D}"/>
            </c:ext>
          </c:extLst>
        </c:ser>
        <c:dLbls>
          <c:showLegendKey val="0"/>
          <c:showVal val="0"/>
          <c:showCatName val="0"/>
          <c:showSerName val="0"/>
          <c:showPercent val="0"/>
          <c:showBubbleSize val="0"/>
        </c:dLbls>
        <c:axId val="340826752"/>
        <c:axId val="340837120"/>
      </c:scatterChart>
      <c:valAx>
        <c:axId val="34082675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837120"/>
        <c:crosses val="autoZero"/>
        <c:crossBetween val="midCat"/>
        <c:majorUnit val="0.2"/>
      </c:valAx>
      <c:valAx>
        <c:axId val="34083712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826752"/>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PLOTS!$BI$49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PLOTS!$BI$51:$BI$70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372-44A9-B19E-5AD5B07A7CD9}"/>
            </c:ext>
          </c:extLst>
        </c:ser>
        <c:ser>
          <c:idx val="5"/>
          <c:order val="1"/>
          <c:tx>
            <c:strRef>
              <c:f>PLOTS!$BI$6</c:f>
              <c:strCache>
                <c:ptCount val="1"/>
                <c:pt idx="0">
                  <c:v>0</c:v>
                </c:pt>
              </c:strCache>
            </c:strRef>
          </c:tx>
          <c:marker>
            <c:symbol val="none"/>
          </c:marker>
          <c:xVal>
            <c:numRef>
              <c:f>PLOTS!$BI$8:$BI$16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372-44A9-B19E-5AD5B07A7CD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372-44A9-B19E-5AD5B07A7CD9}"/>
            </c:ext>
          </c:extLst>
        </c:ser>
        <c:dLbls>
          <c:showLegendKey val="0"/>
          <c:showVal val="0"/>
          <c:showCatName val="0"/>
          <c:showSerName val="0"/>
          <c:showPercent val="0"/>
          <c:showBubbleSize val="0"/>
        </c:dLbls>
        <c:axId val="340893056"/>
        <c:axId val="340899328"/>
      </c:scatterChart>
      <c:valAx>
        <c:axId val="340893056"/>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899328"/>
        <c:crosses val="autoZero"/>
        <c:crossBetween val="midCat"/>
        <c:majorUnit val="0.2"/>
      </c:valAx>
      <c:valAx>
        <c:axId val="340899328"/>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893056"/>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PLOTS!$BI$49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PLOTS!$BI$73:$BI$92</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CDA6-4B0C-9D45-7BFF34F2B109}"/>
            </c:ext>
          </c:extLst>
        </c:ser>
        <c:ser>
          <c:idx val="5"/>
          <c:order val="1"/>
          <c:tx>
            <c:strRef>
              <c:f>PLOTS!$BI$6</c:f>
              <c:strCache>
                <c:ptCount val="1"/>
                <c:pt idx="0">
                  <c:v>0</c:v>
                </c:pt>
              </c:strCache>
            </c:strRef>
          </c:tx>
          <c:marker>
            <c:symbol val="none"/>
          </c:marker>
          <c:xVal>
            <c:numRef>
              <c:f>PLOTS!$BI$26:$BI$34</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CDA6-4B0C-9D45-7BFF34F2B109}"/>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CDA6-4B0C-9D45-7BFF34F2B109}"/>
            </c:ext>
          </c:extLst>
        </c:ser>
        <c:dLbls>
          <c:showLegendKey val="0"/>
          <c:showVal val="0"/>
          <c:showCatName val="0"/>
          <c:showSerName val="0"/>
          <c:showPercent val="0"/>
          <c:showBubbleSize val="0"/>
        </c:dLbls>
        <c:axId val="340935040"/>
        <c:axId val="340936960"/>
      </c:scatterChart>
      <c:valAx>
        <c:axId val="340935040"/>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936960"/>
        <c:crosses val="autoZero"/>
        <c:crossBetween val="midCat"/>
        <c:majorUnit val="0.1"/>
      </c:valAx>
      <c:valAx>
        <c:axId val="34093696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935040"/>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PLOTS!$BI$49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PLOTS!$CA$51:$CA$70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E899-4AC4-B032-F36CBC0D6514}"/>
            </c:ext>
          </c:extLst>
        </c:ser>
        <c:ser>
          <c:idx val="5"/>
          <c:order val="1"/>
          <c:tx>
            <c:strRef>
              <c:f>PLOTS!$BI$6</c:f>
              <c:strCache>
                <c:ptCount val="1"/>
                <c:pt idx="0">
                  <c:v>0</c:v>
                </c:pt>
              </c:strCache>
            </c:strRef>
          </c:tx>
          <c:marker>
            <c:symbol val="none"/>
          </c:marker>
          <c:xVal>
            <c:numRef>
              <c:f>PLOTS!$CA$8:$CA$16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E899-4AC4-B032-F36CBC0D6514}"/>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E899-4AC4-B032-F36CBC0D6514}"/>
            </c:ext>
          </c:extLst>
        </c:ser>
        <c:dLbls>
          <c:showLegendKey val="0"/>
          <c:showVal val="0"/>
          <c:showCatName val="0"/>
          <c:showSerName val="0"/>
          <c:showPercent val="0"/>
          <c:showBubbleSize val="0"/>
        </c:dLbls>
        <c:axId val="340973440"/>
        <c:axId val="340987904"/>
      </c:scatterChart>
      <c:valAx>
        <c:axId val="34097344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987904"/>
        <c:crosses val="autoZero"/>
        <c:crossBetween val="midCat"/>
        <c:majorUnit val="0.2"/>
      </c:valAx>
      <c:valAx>
        <c:axId val="34098790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0973440"/>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PLOTS!$BJ$49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PLOTS!$BJ$51:$BJ$70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6F7C-474F-A22D-13B92261FAA9}"/>
            </c:ext>
          </c:extLst>
        </c:ser>
        <c:ser>
          <c:idx val="5"/>
          <c:order val="1"/>
          <c:tx>
            <c:strRef>
              <c:f>PLOTS!$BJ$6</c:f>
              <c:strCache>
                <c:ptCount val="1"/>
                <c:pt idx="0">
                  <c:v>0</c:v>
                </c:pt>
              </c:strCache>
            </c:strRef>
          </c:tx>
          <c:marker>
            <c:symbol val="none"/>
          </c:marker>
          <c:xVal>
            <c:numRef>
              <c:f>PLOTS!$BJ$8:$BJ$16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6F7C-474F-A22D-13B92261FAA9}"/>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6F7C-474F-A22D-13B92261FAA9}"/>
            </c:ext>
          </c:extLst>
        </c:ser>
        <c:dLbls>
          <c:showLegendKey val="0"/>
          <c:showVal val="0"/>
          <c:showCatName val="0"/>
          <c:showSerName val="0"/>
          <c:showPercent val="0"/>
          <c:showBubbleSize val="0"/>
        </c:dLbls>
        <c:axId val="341015168"/>
        <c:axId val="341017344"/>
      </c:scatterChart>
      <c:valAx>
        <c:axId val="341015168"/>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017344"/>
        <c:crosses val="autoZero"/>
        <c:crossBetween val="midCat"/>
        <c:majorUnit val="0.2"/>
      </c:valAx>
      <c:valAx>
        <c:axId val="34101734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015168"/>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PLOTS!$BJ$49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PLOTS!$BJ$73:$BJ$92</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E1A4-43C3-B346-E13F42C85DA9}"/>
            </c:ext>
          </c:extLst>
        </c:ser>
        <c:ser>
          <c:idx val="5"/>
          <c:order val="1"/>
          <c:tx>
            <c:strRef>
              <c:f>PLOTS!$BJ$6</c:f>
              <c:strCache>
                <c:ptCount val="1"/>
                <c:pt idx="0">
                  <c:v>0</c:v>
                </c:pt>
              </c:strCache>
            </c:strRef>
          </c:tx>
          <c:marker>
            <c:symbol val="none"/>
          </c:marker>
          <c:xVal>
            <c:numRef>
              <c:f>PLOTS!$BJ$26:$BJ$34</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E1A4-43C3-B346-E13F42C85DA9}"/>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E1A4-43C3-B346-E13F42C85DA9}"/>
            </c:ext>
          </c:extLst>
        </c:ser>
        <c:dLbls>
          <c:showLegendKey val="0"/>
          <c:showVal val="0"/>
          <c:showCatName val="0"/>
          <c:showSerName val="0"/>
          <c:showPercent val="0"/>
          <c:showBubbleSize val="0"/>
        </c:dLbls>
        <c:axId val="341044608"/>
        <c:axId val="341071360"/>
      </c:scatterChart>
      <c:valAx>
        <c:axId val="341044608"/>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071360"/>
        <c:crosses val="autoZero"/>
        <c:crossBetween val="midCat"/>
        <c:majorUnit val="0.1"/>
      </c:valAx>
      <c:valAx>
        <c:axId val="34107136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044608"/>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PLOTS!$BJ$49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PLOTS!$CB$51:$CB$70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AD1B-44EA-913B-E68818D2A82F}"/>
            </c:ext>
          </c:extLst>
        </c:ser>
        <c:ser>
          <c:idx val="5"/>
          <c:order val="1"/>
          <c:tx>
            <c:strRef>
              <c:f>PLOTS!$BJ$6</c:f>
              <c:strCache>
                <c:ptCount val="1"/>
                <c:pt idx="0">
                  <c:v>0</c:v>
                </c:pt>
              </c:strCache>
            </c:strRef>
          </c:tx>
          <c:marker>
            <c:symbol val="none"/>
          </c:marker>
          <c:xVal>
            <c:numRef>
              <c:f>PLOTS!$CB$8:$CB$16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AD1B-44EA-913B-E68818D2A82F}"/>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AD1B-44EA-913B-E68818D2A82F}"/>
            </c:ext>
          </c:extLst>
        </c:ser>
        <c:dLbls>
          <c:showLegendKey val="0"/>
          <c:showVal val="0"/>
          <c:showCatName val="0"/>
          <c:showSerName val="0"/>
          <c:showPercent val="0"/>
          <c:showBubbleSize val="0"/>
        </c:dLbls>
        <c:axId val="341180800"/>
        <c:axId val="341182720"/>
      </c:scatterChart>
      <c:valAx>
        <c:axId val="341180800"/>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182720"/>
        <c:crosses val="autoZero"/>
        <c:crossBetween val="midCat"/>
        <c:majorUnit val="0.2"/>
      </c:valAx>
      <c:valAx>
        <c:axId val="341182720"/>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180800"/>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PLOTS!$BK$49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PLOTS!$BK$51:$BK$70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24A-4233-97F6-838BE1073A00}"/>
            </c:ext>
          </c:extLst>
        </c:ser>
        <c:ser>
          <c:idx val="5"/>
          <c:order val="1"/>
          <c:tx>
            <c:strRef>
              <c:f>PLOTS!$BK$6</c:f>
              <c:strCache>
                <c:ptCount val="1"/>
                <c:pt idx="0">
                  <c:v>0</c:v>
                </c:pt>
              </c:strCache>
            </c:strRef>
          </c:tx>
          <c:marker>
            <c:symbol val="none"/>
          </c:marker>
          <c:xVal>
            <c:numRef>
              <c:f>PLOTS!$BK$8:$BK$16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24A-4233-97F6-838BE1073A00}"/>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24A-4233-97F6-838BE1073A00}"/>
            </c:ext>
          </c:extLst>
        </c:ser>
        <c:dLbls>
          <c:showLegendKey val="0"/>
          <c:showVal val="0"/>
          <c:showCatName val="0"/>
          <c:showSerName val="0"/>
          <c:showPercent val="0"/>
          <c:showBubbleSize val="0"/>
        </c:dLbls>
        <c:axId val="341238912"/>
        <c:axId val="341240832"/>
      </c:scatterChart>
      <c:valAx>
        <c:axId val="34123891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240832"/>
        <c:crosses val="autoZero"/>
        <c:crossBetween val="midCat"/>
        <c:majorUnit val="0.2"/>
      </c:valAx>
      <c:valAx>
        <c:axId val="34124083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341238912"/>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PLOTS!$BK$49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PLOTS!$BK$73:$BK$92</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E21D-44FF-B2B4-CF14972F61FB}"/>
            </c:ext>
          </c:extLst>
        </c:ser>
        <c:ser>
          <c:idx val="5"/>
          <c:order val="1"/>
          <c:tx>
            <c:strRef>
              <c:f>PLOTS!$BK$6</c:f>
              <c:strCache>
                <c:ptCount val="1"/>
                <c:pt idx="0">
                  <c:v>0</c:v>
                </c:pt>
              </c:strCache>
            </c:strRef>
          </c:tx>
          <c:marker>
            <c:symbol val="none"/>
          </c:marker>
          <c:xVal>
            <c:numRef>
              <c:f>PLOTS!$BK$26:$BK$34</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E21D-44FF-B2B4-CF14972F61FB}"/>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E21D-44FF-B2B4-CF14972F61FB}"/>
            </c:ext>
          </c:extLst>
        </c:ser>
        <c:dLbls>
          <c:showLegendKey val="0"/>
          <c:showVal val="0"/>
          <c:showCatName val="0"/>
          <c:showSerName val="0"/>
          <c:showPercent val="0"/>
          <c:showBubbleSize val="0"/>
        </c:dLbls>
        <c:axId val="202737152"/>
        <c:axId val="202739072"/>
      </c:scatterChart>
      <c:valAx>
        <c:axId val="202737152"/>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2739072"/>
        <c:crosses val="autoZero"/>
        <c:crossBetween val="midCat"/>
        <c:majorUnit val="0.1"/>
      </c:valAx>
      <c:valAx>
        <c:axId val="20273907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2737152"/>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PLOTS!$BK$49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PLOTS!$CC$51:$CC$70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0577-411E-8D4F-47CFE2D7E507}"/>
            </c:ext>
          </c:extLst>
        </c:ser>
        <c:ser>
          <c:idx val="5"/>
          <c:order val="1"/>
          <c:tx>
            <c:strRef>
              <c:f>PLOTS!$BK$6</c:f>
              <c:strCache>
                <c:ptCount val="1"/>
                <c:pt idx="0">
                  <c:v>0</c:v>
                </c:pt>
              </c:strCache>
            </c:strRef>
          </c:tx>
          <c:marker>
            <c:symbol val="none"/>
          </c:marker>
          <c:xVal>
            <c:numRef>
              <c:f>PLOTS!$CC$8:$CC$16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0577-411E-8D4F-47CFE2D7E507}"/>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0577-411E-8D4F-47CFE2D7E507}"/>
            </c:ext>
          </c:extLst>
        </c:ser>
        <c:dLbls>
          <c:showLegendKey val="0"/>
          <c:showVal val="0"/>
          <c:showCatName val="0"/>
          <c:showSerName val="0"/>
          <c:showPercent val="0"/>
          <c:showBubbleSize val="0"/>
        </c:dLbls>
        <c:axId val="208611584"/>
        <c:axId val="208617856"/>
      </c:scatterChart>
      <c:valAx>
        <c:axId val="20861158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8617856"/>
        <c:crosses val="autoZero"/>
        <c:crossBetween val="midCat"/>
        <c:majorUnit val="0.2"/>
      </c:valAx>
      <c:valAx>
        <c:axId val="208617856"/>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8611584"/>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87"/>
        </c:manualLayout>
      </c:layout>
      <c:scatterChart>
        <c:scatterStyle val="smoothMarker"/>
        <c:varyColors val="0"/>
        <c:ser>
          <c:idx val="1"/>
          <c:order val="0"/>
          <c:tx>
            <c:strRef>
              <c:f>PLOTS!$BL$49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PLOTS!$BL$51:$BL$70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43F6-4924-B8F4-C34E15AFE50E}"/>
            </c:ext>
          </c:extLst>
        </c:ser>
        <c:ser>
          <c:idx val="5"/>
          <c:order val="1"/>
          <c:tx>
            <c:strRef>
              <c:f>PLOTS!$BL$6</c:f>
              <c:strCache>
                <c:ptCount val="1"/>
                <c:pt idx="0">
                  <c:v>0</c:v>
                </c:pt>
              </c:strCache>
            </c:strRef>
          </c:tx>
          <c:marker>
            <c:symbol val="none"/>
          </c:marker>
          <c:xVal>
            <c:numRef>
              <c:f>PLOTS!$BL$8:$BL$16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43F6-4924-B8F4-C34E15AFE50E}"/>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43F6-4924-B8F4-C34E15AFE50E}"/>
            </c:ext>
          </c:extLst>
        </c:ser>
        <c:dLbls>
          <c:showLegendKey val="0"/>
          <c:showVal val="0"/>
          <c:showCatName val="0"/>
          <c:showSerName val="0"/>
          <c:showPercent val="0"/>
          <c:showBubbleSize val="0"/>
        </c:dLbls>
        <c:axId val="246971392"/>
        <c:axId val="247428224"/>
      </c:scatterChart>
      <c:valAx>
        <c:axId val="246971392"/>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U/U(2/3H)</a:t>
                </a:r>
              </a:p>
            </c:rich>
          </c:tx>
          <c:layout>
            <c:manualLayout>
              <c:xMode val="edge"/>
              <c:yMode val="edge"/>
              <c:x val="0.39770588082430391"/>
              <c:y val="0.8625754916730102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47428224"/>
        <c:crosses val="autoZero"/>
        <c:crossBetween val="midCat"/>
        <c:majorUnit val="0.2"/>
      </c:valAx>
      <c:valAx>
        <c:axId val="24742822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4121947628075E-3"/>
              <c:y val="0.1783633850502420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46971392"/>
        <c:crosses val="autoZero"/>
        <c:crossBetween val="midCat"/>
      </c:valAx>
      <c:spPr>
        <a:noFill/>
        <a:ln w="12700">
          <a:solidFill>
            <a:srgbClr val="808080"/>
          </a:solidFill>
          <a:prstDash val="solid"/>
        </a:ln>
      </c:spPr>
    </c:plotArea>
    <c:legend>
      <c:legendPos val="r"/>
      <c:layout>
        <c:manualLayout>
          <c:xMode val="edge"/>
          <c:yMode val="edge"/>
          <c:x val="0.78393960655908412"/>
          <c:y val="7.8349200432786134E-2"/>
          <c:w val="0.21606039344091846"/>
          <c:h val="0.34449652373334988"/>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33" r="0.75000000000000533" t="1" header="0.5" footer="0.5"/>
    <c:pageSetup orientation="landscape"/>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PLOTS!$BL$49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PLOTS!$BL$73:$BL$92</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2D96-4624-B6BF-18DE9F079ABA}"/>
            </c:ext>
          </c:extLst>
        </c:ser>
        <c:ser>
          <c:idx val="5"/>
          <c:order val="1"/>
          <c:tx>
            <c:strRef>
              <c:f>PLOTS!$BL$6</c:f>
              <c:strCache>
                <c:ptCount val="1"/>
                <c:pt idx="0">
                  <c:v>0</c:v>
                </c:pt>
              </c:strCache>
            </c:strRef>
          </c:tx>
          <c:marker>
            <c:symbol val="none"/>
          </c:marker>
          <c:xVal>
            <c:numRef>
              <c:f>PLOTS!$BL$26:$BL$34</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2D96-4624-B6BF-18DE9F079ABA}"/>
            </c:ext>
          </c:extLst>
        </c:ser>
        <c:ser>
          <c:idx val="0"/>
          <c:order val="2"/>
          <c:tx>
            <c:strRef>
              <c:f>PLOTS!$AX$42</c:f>
              <c:strCache>
                <c:ptCount val="1"/>
                <c:pt idx="0">
                  <c:v>2/3 H</c:v>
                </c:pt>
              </c:strCache>
            </c:strRef>
          </c:tx>
          <c:marker>
            <c:symbol val="none"/>
          </c:marker>
          <c:xVal>
            <c:numRef>
              <c:f>PLOTS!$AX$43:$AX$44</c:f>
              <c:numCache>
                <c:formatCode>General</c:formatCode>
                <c:ptCount val="2"/>
                <c:pt idx="0">
                  <c:v>0</c:v>
                </c:pt>
                <c:pt idx="1">
                  <c:v>0.5</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2D96-4624-B6BF-18DE9F079ABA}"/>
            </c:ext>
          </c:extLst>
        </c:ser>
        <c:dLbls>
          <c:showLegendKey val="0"/>
          <c:showVal val="0"/>
          <c:showCatName val="0"/>
          <c:showSerName val="0"/>
          <c:showPercent val="0"/>
          <c:showBubbleSize val="0"/>
        </c:dLbls>
        <c:axId val="208678912"/>
        <c:axId val="208680832"/>
      </c:scatterChart>
      <c:valAx>
        <c:axId val="208678912"/>
        <c:scaling>
          <c:orientation val="minMax"/>
          <c:max val="0.5"/>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Turbulence Intensity, Iu</a:t>
                </a:r>
              </a:p>
            </c:rich>
          </c:tx>
          <c:layout>
            <c:manualLayout>
              <c:xMode val="edge"/>
              <c:yMode val="edge"/>
              <c:x val="0.2344405904245892"/>
              <c:y val="0.8625754402058981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8680832"/>
        <c:crosses val="autoZero"/>
        <c:crossBetween val="midCat"/>
        <c:majorUnit val="0.1"/>
      </c:valAx>
      <c:valAx>
        <c:axId val="208680832"/>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9.4289017731304485E-3"/>
              <c:y val="0.178363325943480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8678912"/>
        <c:crosses val="autoZero"/>
        <c:crossBetween val="midCat"/>
      </c:valAx>
      <c:spPr>
        <a:noFill/>
        <a:ln w="12700">
          <a:solidFill>
            <a:srgbClr val="808080"/>
          </a:solidFill>
          <a:prstDash val="solid"/>
        </a:ln>
      </c:spPr>
    </c:plotArea>
    <c:legend>
      <c:legendPos val="r"/>
      <c:layout>
        <c:manualLayout>
          <c:xMode val="edge"/>
          <c:yMode val="edge"/>
          <c:x val="0.78393970850106753"/>
          <c:y val="7.7589378997528324E-2"/>
          <c:w val="0.21606029149893277"/>
          <c:h val="0.3767171724893613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61200463447492"/>
          <c:y val="7.8947593851637132E-2"/>
          <c:w val="0.60994320807616165"/>
          <c:h val="0.69006044996244464"/>
        </c:manualLayout>
      </c:layout>
      <c:scatterChart>
        <c:scatterStyle val="smoothMarker"/>
        <c:varyColors val="0"/>
        <c:ser>
          <c:idx val="1"/>
          <c:order val="0"/>
          <c:tx>
            <c:strRef>
              <c:f>PLOTS!$BL$49</c:f>
              <c:strCache>
                <c:ptCount val="1"/>
                <c:pt idx="0">
                  <c:v>#N/A</c:v>
                </c:pt>
              </c:strCache>
            </c:strRef>
          </c:tx>
          <c:spPr>
            <a:ln w="12700">
              <a:noFill/>
              <a:prstDash val="solid"/>
            </a:ln>
          </c:spPr>
          <c:marker>
            <c:symbol val="square"/>
            <c:size val="7"/>
            <c:spPr>
              <a:solidFill>
                <a:schemeClr val="accent1"/>
              </a:solidFill>
              <a:ln>
                <a:solidFill>
                  <a:sysClr val="windowText" lastClr="000000"/>
                </a:solidFill>
              </a:ln>
            </c:spPr>
          </c:marker>
          <c:xVal>
            <c:numRef>
              <c:f>PLOTS!$CD$51:$CD$70</c:f>
              <c:numCache>
                <c:formatCode>General</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xVal>
          <c:yVal>
            <c:numRef>
              <c:f>PLOTS!$AV$51:$AV$70</c:f>
              <c:numCache>
                <c:formatCode>0.0</c:formatCode>
                <c:ptCount val="20"/>
                <c:pt idx="0">
                  <c:v>20.32</c:v>
                </c:pt>
                <c:pt idx="1">
                  <c:v>30.48</c:v>
                </c:pt>
                <c:pt idx="2">
                  <c:v>40.64</c:v>
                </c:pt>
                <c:pt idx="3">
                  <c:v>50.8</c:v>
                </c:pt>
                <c:pt idx="4">
                  <c:v>60.96</c:v>
                </c:pt>
                <c:pt idx="5">
                  <c:v>71.11999999999999</c:v>
                </c:pt>
                <c:pt idx="6">
                  <c:v>81.28</c:v>
                </c:pt>
                <c:pt idx="7">
                  <c:v>101.6</c:v>
                </c:pt>
                <c:pt idx="8">
                  <c:v>121.92</c:v>
                </c:pt>
                <c:pt idx="9">
                  <c:v>142.23999999999998</c:v>
                </c:pt>
                <c:pt idx="10">
                  <c:v>162.56</c:v>
                </c:pt>
                <c:pt idx="11">
                  <c:v>203.2</c:v>
                </c:pt>
                <c:pt idx="12">
                  <c:v>243.84</c:v>
                </c:pt>
                <c:pt idx="13">
                  <c:v>284.47999999999996</c:v>
                </c:pt>
                <c:pt idx="14">
                  <c:v>325.12</c:v>
                </c:pt>
                <c:pt idx="15">
                  <c:v>365.76</c:v>
                </c:pt>
                <c:pt idx="16">
                  <c:v>406.4</c:v>
                </c:pt>
                <c:pt idx="17">
                  <c:v>487.68</c:v>
                </c:pt>
                <c:pt idx="18">
                  <c:v>548.64</c:v>
                </c:pt>
                <c:pt idx="19">
                  <c:v>609.6</c:v>
                </c:pt>
              </c:numCache>
            </c:numRef>
          </c:yVal>
          <c:smooth val="1"/>
          <c:extLst>
            <c:ext xmlns:c16="http://schemas.microsoft.com/office/drawing/2014/chart" uri="{C3380CC4-5D6E-409C-BE32-E72D297353CC}">
              <c16:uniqueId val="{00000000-6DDE-4456-9E6E-19F891C1A4E3}"/>
            </c:ext>
          </c:extLst>
        </c:ser>
        <c:ser>
          <c:idx val="5"/>
          <c:order val="1"/>
          <c:tx>
            <c:strRef>
              <c:f>PLOTS!$BL$6</c:f>
              <c:strCache>
                <c:ptCount val="1"/>
                <c:pt idx="0">
                  <c:v>0</c:v>
                </c:pt>
              </c:strCache>
            </c:strRef>
          </c:tx>
          <c:marker>
            <c:symbol val="none"/>
          </c:marker>
          <c:xVal>
            <c:numRef>
              <c:f>PLOTS!$CD$8:$CD$16</c:f>
              <c:numCache>
                <c:formatCode>General</c:formatCode>
                <c:ptCount val="9"/>
                <c:pt idx="0">
                  <c:v>0</c:v>
                </c:pt>
                <c:pt idx="1">
                  <c:v>0</c:v>
                </c:pt>
                <c:pt idx="2">
                  <c:v>0</c:v>
                </c:pt>
                <c:pt idx="3">
                  <c:v>0</c:v>
                </c:pt>
                <c:pt idx="4">
                  <c:v>0</c:v>
                </c:pt>
                <c:pt idx="5">
                  <c:v>0</c:v>
                </c:pt>
                <c:pt idx="6">
                  <c:v>0</c:v>
                </c:pt>
                <c:pt idx="7">
                  <c:v>0</c:v>
                </c:pt>
                <c:pt idx="8">
                  <c:v>0</c:v>
                </c:pt>
              </c:numCache>
            </c:numRef>
          </c:xVal>
          <c:yVal>
            <c:numRef>
              <c:f>PLOTS!$AV$8:$AV$16</c:f>
              <c:numCache>
                <c:formatCode>0.0</c:formatCode>
                <c:ptCount val="9"/>
                <c:pt idx="0">
                  <c:v>10</c:v>
                </c:pt>
                <c:pt idx="1">
                  <c:v>30</c:v>
                </c:pt>
                <c:pt idx="2">
                  <c:v>50</c:v>
                </c:pt>
                <c:pt idx="3">
                  <c:v>100</c:v>
                </c:pt>
                <c:pt idx="4">
                  <c:v>150</c:v>
                </c:pt>
                <c:pt idx="5">
                  <c:v>200</c:v>
                </c:pt>
                <c:pt idx="6">
                  <c:v>300</c:v>
                </c:pt>
                <c:pt idx="7">
                  <c:v>400</c:v>
                </c:pt>
                <c:pt idx="8">
                  <c:v>600</c:v>
                </c:pt>
              </c:numCache>
            </c:numRef>
          </c:yVal>
          <c:smooth val="1"/>
          <c:extLst>
            <c:ext xmlns:c16="http://schemas.microsoft.com/office/drawing/2014/chart" uri="{C3380CC4-5D6E-409C-BE32-E72D297353CC}">
              <c16:uniqueId val="{00000001-6DDE-4456-9E6E-19F891C1A4E3}"/>
            </c:ext>
          </c:extLst>
        </c:ser>
        <c:ser>
          <c:idx val="0"/>
          <c:order val="2"/>
          <c:tx>
            <c:strRef>
              <c:f>PLOTS!$AW$42</c:f>
              <c:strCache>
                <c:ptCount val="1"/>
                <c:pt idx="0">
                  <c:v>2/3 H</c:v>
                </c:pt>
              </c:strCache>
            </c:strRef>
          </c:tx>
          <c:marker>
            <c:symbol val="none"/>
          </c:marker>
          <c:xVal>
            <c:numRef>
              <c:f>PLOTS!$AW$43:$AW$44</c:f>
              <c:numCache>
                <c:formatCode>General</c:formatCode>
                <c:ptCount val="2"/>
                <c:pt idx="0">
                  <c:v>0</c:v>
                </c:pt>
                <c:pt idx="1">
                  <c:v>2</c:v>
                </c:pt>
              </c:numCache>
            </c:numRef>
          </c:xVal>
          <c:yVal>
            <c:numRef>
              <c:f>PLOTS!$AV$43:$AV$44</c:f>
              <c:numCache>
                <c:formatCode>0.0</c:formatCode>
                <c:ptCount val="2"/>
                <c:pt idx="0">
                  <c:v>120.7</c:v>
                </c:pt>
                <c:pt idx="1">
                  <c:v>120.7</c:v>
                </c:pt>
              </c:numCache>
            </c:numRef>
          </c:yVal>
          <c:smooth val="1"/>
          <c:extLst>
            <c:ext xmlns:c16="http://schemas.microsoft.com/office/drawing/2014/chart" uri="{C3380CC4-5D6E-409C-BE32-E72D297353CC}">
              <c16:uniqueId val="{00000002-6DDE-4456-9E6E-19F891C1A4E3}"/>
            </c:ext>
          </c:extLst>
        </c:ser>
        <c:dLbls>
          <c:showLegendKey val="0"/>
          <c:showVal val="0"/>
          <c:showCatName val="0"/>
          <c:showSerName val="0"/>
          <c:showPercent val="0"/>
          <c:showBubbleSize val="0"/>
        </c:dLbls>
        <c:axId val="209986304"/>
        <c:axId val="209988224"/>
      </c:scatterChart>
      <c:valAx>
        <c:axId val="209986304"/>
        <c:scaling>
          <c:orientation val="minMax"/>
          <c:max val="2"/>
        </c:scaling>
        <c:delete val="0"/>
        <c:axPos val="b"/>
        <c:majorGridlines>
          <c:spPr>
            <a:ln w="3175">
              <a:solidFill>
                <a:srgbClr val="000000"/>
              </a:solidFill>
              <a:prstDash val="sysDash"/>
            </a:ln>
          </c:spPr>
        </c:majorGridlines>
        <c:title>
          <c:tx>
            <c:rich>
              <a:bodyPr/>
              <a:lstStyle/>
              <a:p>
                <a:pPr>
                  <a:defRPr sz="1400" b="1" i="0" u="none" strike="noStrike" baseline="0">
                    <a:solidFill>
                      <a:srgbClr val="000000"/>
                    </a:solidFill>
                    <a:latin typeface="Arial"/>
                    <a:ea typeface="Arial"/>
                    <a:cs typeface="Arial"/>
                  </a:defRPr>
                </a:pPr>
                <a:r>
                  <a:rPr lang="en-US"/>
                  <a:t>Gust U/U(2/3H)</a:t>
                </a:r>
              </a:p>
            </c:rich>
          </c:tx>
          <c:layout>
            <c:manualLayout>
              <c:xMode val="edge"/>
              <c:yMode val="edge"/>
              <c:x val="0.39770586895816173"/>
              <c:y val="0.8625753858160805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9988224"/>
        <c:crosses val="autoZero"/>
        <c:crossBetween val="midCat"/>
        <c:majorUnit val="0.2"/>
      </c:valAx>
      <c:valAx>
        <c:axId val="209988224"/>
        <c:scaling>
          <c:orientation val="minMax"/>
          <c:max val="800"/>
        </c:scaling>
        <c:delete val="0"/>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Arial"/>
                    <a:cs typeface="Arial"/>
                  </a:rPr>
                  <a:t>Elevation</a:t>
                </a:r>
                <a:r>
                  <a:rPr lang="en-US" sz="1400" b="1" i="0" u="none" strike="noStrike" baseline="0">
                    <a:solidFill>
                      <a:srgbClr val="000000"/>
                    </a:solidFill>
                    <a:latin typeface="Calibri"/>
                  </a:rPr>
                  <a:t> </a:t>
                </a:r>
                <a:r>
                  <a:rPr lang="en-US" sz="1400" b="1" i="0" u="none" strike="noStrike" baseline="0">
                    <a:solidFill>
                      <a:srgbClr val="000000"/>
                    </a:solidFill>
                    <a:latin typeface="Arial"/>
                    <a:cs typeface="Arial"/>
                  </a:rPr>
                  <a:t>(m)</a:t>
                </a:r>
              </a:p>
            </c:rich>
          </c:tx>
          <c:layout>
            <c:manualLayout>
              <c:xMode val="edge"/>
              <c:yMode val="edge"/>
              <c:x val="6.4051582593271823E-3"/>
              <c:y val="0.178363295219462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0" i="0" u="none" strike="noStrike" baseline="0">
                <a:solidFill>
                  <a:srgbClr val="000000"/>
                </a:solidFill>
                <a:latin typeface="Arial"/>
                <a:ea typeface="Arial"/>
                <a:cs typeface="Arial"/>
              </a:defRPr>
            </a:pPr>
            <a:endParaRPr lang="en-US"/>
          </a:p>
        </c:txPr>
        <c:crossAx val="209986304"/>
        <c:crosses val="autoZero"/>
        <c:crossBetween val="midCat"/>
      </c:valAx>
      <c:spPr>
        <a:noFill/>
        <a:ln w="12700">
          <a:solidFill>
            <a:srgbClr val="808080"/>
          </a:solidFill>
          <a:prstDash val="solid"/>
        </a:ln>
      </c:spPr>
    </c:plotArea>
    <c:legend>
      <c:legendPos val="r"/>
      <c:layout>
        <c:manualLayout>
          <c:xMode val="edge"/>
          <c:yMode val="edge"/>
          <c:x val="0.78393964453073561"/>
          <c:y val="7.8349289841824821E-2"/>
          <c:w val="0.21606035546926508"/>
          <c:h val="0.34449658151183282"/>
        </c:manualLayout>
      </c:layout>
      <c:overlay val="0"/>
      <c:spPr>
        <a:solidFill>
          <a:srgbClr val="FFFFFF"/>
        </a:solidFill>
        <a:ln w="3175">
          <a:solidFill>
            <a:srgbClr val="000000"/>
          </a:solidFill>
          <a:prstDash val="solid"/>
        </a:ln>
      </c:spPr>
      <c:txPr>
        <a:bodyPr/>
        <a:lstStyle/>
        <a:p>
          <a:pPr>
            <a:defRPr sz="72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65000"/>
      </a:schemeClr>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555" r="0.7500000000000055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D13" lockText="1" noThreeD="1"/>
</file>

<file path=xl/ctrlProps/ctrlProp3.xml><?xml version="1.0" encoding="utf-8"?>
<formControlPr xmlns="http://schemas.microsoft.com/office/spreadsheetml/2009/9/main" objectType="CheckBox" fmlaLink="E13" lockText="1" noThreeD="1"/>
</file>

<file path=xl/ctrlProps/ctrlProp4.xml><?xml version="1.0" encoding="utf-8"?>
<formControlPr xmlns="http://schemas.microsoft.com/office/spreadsheetml/2009/9/main" objectType="CheckBox" fmlaLink="F13" lockText="1" noThreeD="1"/>
</file>

<file path=xl/ctrlProps/ctrlProp5.xml><?xml version="1.0" encoding="utf-8"?>
<formControlPr xmlns="http://schemas.microsoft.com/office/spreadsheetml/2009/9/main" objectType="CheckBox" fmlaLink="G13" lockText="1" noThreeD="1"/>
</file>

<file path=xl/ctrlProps/ctrlProp6.xml><?xml version="1.0" encoding="utf-8"?>
<formControlPr xmlns="http://schemas.microsoft.com/office/spreadsheetml/2009/9/main" objectType="CheckBox" fmlaLink="H13" lockText="1" noThreeD="1"/>
</file>

<file path=xl/ctrlProps/ctrlProp7.xml><?xml version="1.0" encoding="utf-8"?>
<formControlPr xmlns="http://schemas.microsoft.com/office/spreadsheetml/2009/9/main" objectType="CheckBox" fmlaLink="I13" lockText="1" noThreeD="1"/>
</file>

<file path=xl/ctrlProps/ctrlProp8.xml><?xml version="1.0" encoding="utf-8"?>
<formControlPr xmlns="http://schemas.microsoft.com/office/spreadsheetml/2009/9/main" objectType="CheckBox" fmlaLink="J13" lockText="1" noThreeD="1"/>
</file>

<file path=xl/ctrlProps/ctrlProp9.xml><?xml version="1.0" encoding="utf-8"?>
<formControlPr xmlns="http://schemas.microsoft.com/office/spreadsheetml/2009/9/main" objectType="CheckBox" fmlaLink="K13" lockText="1" noThreeD="1"/>
</file>

<file path=xl/ctrlProps/ctrlProp10.xml><?xml version="1.0" encoding="utf-8"?>
<formControlPr xmlns="http://schemas.microsoft.com/office/spreadsheetml/2009/9/main" objectType="CheckBox" fmlaLink="L13" lockText="1" noThreeD="1"/>
</file>

<file path=xl/ctrlProps/ctrlProp11.xml><?xml version="1.0" encoding="utf-8"?>
<formControlPr xmlns="http://schemas.microsoft.com/office/spreadsheetml/2009/9/main" objectType="CheckBox" fmlaLink="M13" lockText="1" noThreeD="1"/>
</file>

<file path=xl/ctrlProps/ctrlProp12.xml><?xml version="1.0" encoding="utf-8"?>
<formControlPr xmlns="http://schemas.microsoft.com/office/spreadsheetml/2009/9/main" objectType="CheckBox" fmlaLink="N13" lockText="1" noThreeD="1"/>
</file>

<file path=xl/ctrlProps/ctrlProp13.xml><?xml version="1.0" encoding="utf-8"?>
<formControlPr xmlns="http://schemas.microsoft.com/office/spreadsheetml/2009/9/main" objectType="CheckBox" fmlaLink="O13" lockText="1" noThreeD="1"/>
</file>

<file path=xl/ctrlProps/ctrlProp14.xml><?xml version="1.0" encoding="utf-8"?>
<formControlPr xmlns="http://schemas.microsoft.com/office/spreadsheetml/2009/9/main" objectType="CheckBox" fmlaLink="P13" lockText="1" noThreeD="1"/>
</file>

<file path=xl/ctrlProps/ctrlProp15.xml><?xml version="1.0" encoding="utf-8"?>
<formControlPr xmlns="http://schemas.microsoft.com/office/spreadsheetml/2009/9/main" objectType="CheckBox" fmlaLink="Q13" lockText="1" noThreeD="1"/>
</file>

<file path=xl/ctrlProps/ctrlProp16.xml><?xml version="1.0" encoding="utf-8"?>
<formControlPr xmlns="http://schemas.microsoft.com/office/spreadsheetml/2009/9/main" objectType="CheckBox" fmlaLink="R13" lockText="1" noThreeD="1"/>
</file>

<file path=xl/ctrlProps/ctrlProp17.xml><?xml version="1.0" encoding="utf-8"?>
<formControlPr xmlns="http://schemas.microsoft.com/office/spreadsheetml/2009/9/main" objectType="CheckBox" fmlaLink="S13" lockText="1" noThreeD="1"/>
</file>

<file path=xl/ctrlProps/ctrlProp18.xml><?xml version="1.0" encoding="utf-8"?>
<formControlPr xmlns="http://schemas.microsoft.com/office/spreadsheetml/2009/9/main" objectType="CheckBox" fmlaLink="T13" lockText="1" noThreeD="1"/>
</file>

<file path=xl/ctrlProps/ctrlProp19.xml><?xml version="1.0" encoding="utf-8"?>
<formControlPr xmlns="http://schemas.microsoft.com/office/spreadsheetml/2009/9/main" objectType="CheckBox" fmlaLink="U13" lockText="1" noThreeD="1"/>
</file>

<file path=xl/ctrlProps/ctrlProp20.xml><?xml version="1.0" encoding="utf-8"?>
<formControlPr xmlns="http://schemas.microsoft.com/office/spreadsheetml/2009/9/main" objectType="CheckBox" fmlaLink="V13" lockText="1" noThreeD="1"/>
</file>

<file path=xl/ctrlProps/ctrlProp21.xml><?xml version="1.0" encoding="utf-8"?>
<formControlPr xmlns="http://schemas.microsoft.com/office/spreadsheetml/2009/9/main" objectType="CheckBox" fmlaLink="W13" lockText="1" noThreeD="1"/>
</file>

<file path=xl/ctrlProps/ctrlProp22.xml><?xml version="1.0" encoding="utf-8"?>
<formControlPr xmlns="http://schemas.microsoft.com/office/spreadsheetml/2009/9/main" objectType="CheckBox" fmlaLink="X13" lockText="1" noThreeD="1"/>
</file>

<file path=xl/ctrlProps/ctrlProp23.xml><?xml version="1.0" encoding="utf-8"?>
<formControlPr xmlns="http://schemas.microsoft.com/office/spreadsheetml/2009/9/main" objectType="CheckBox" fmlaLink="Y13" lockText="1" noThreeD="1"/>
</file>

<file path=xl/ctrlProps/ctrlProp24.xml><?xml version="1.0" encoding="utf-8"?>
<formControlPr xmlns="http://schemas.microsoft.com/office/spreadsheetml/2009/9/main" objectType="CheckBox" fmlaLink="Z13" lockText="1" noThreeD="1"/>
</file>

<file path=xl/ctrlProps/ctrlProp25.xml><?xml version="1.0" encoding="utf-8"?>
<formControlPr xmlns="http://schemas.microsoft.com/office/spreadsheetml/2009/9/main" objectType="CheckBox" fmlaLink="AA13" lockText="1" noThreeD="1"/>
</file>

<file path=xl/ctrlProps/ctrlProp26.xml><?xml version="1.0" encoding="utf-8"?>
<formControlPr xmlns="http://schemas.microsoft.com/office/spreadsheetml/2009/9/main" objectType="CheckBox" fmlaLink="C13" lockText="1" noThreeD="1"/>
</file>

<file path=xl/ctrlProps/ctrlProp27.xml><?xml version="1.0" encoding="utf-8"?>
<formControlPr xmlns="http://schemas.microsoft.com/office/spreadsheetml/2009/9/main" objectType="CheckBox" fmlaLink="D13" lockText="1" noThreeD="1"/>
</file>

<file path=xl/ctrlProps/ctrlProp28.xml><?xml version="1.0" encoding="utf-8"?>
<formControlPr xmlns="http://schemas.microsoft.com/office/spreadsheetml/2009/9/main" objectType="CheckBox" fmlaLink="E13" lockText="1" noThreeD="1"/>
</file>

<file path=xl/ctrlProps/ctrlProp29.xml><?xml version="1.0" encoding="utf-8"?>
<formControlPr xmlns="http://schemas.microsoft.com/office/spreadsheetml/2009/9/main" objectType="CheckBox" fmlaLink="F13" lockText="1" noThreeD="1"/>
</file>

<file path=xl/ctrlProps/ctrlProp30.xml><?xml version="1.0" encoding="utf-8"?>
<formControlPr xmlns="http://schemas.microsoft.com/office/spreadsheetml/2009/9/main" objectType="CheckBox" fmlaLink="G13" lockText="1" noThreeD="1"/>
</file>

<file path=xl/ctrlProps/ctrlProp31.xml><?xml version="1.0" encoding="utf-8"?>
<formControlPr xmlns="http://schemas.microsoft.com/office/spreadsheetml/2009/9/main" objectType="CheckBox" fmlaLink="H13" lockText="1" noThreeD="1"/>
</file>

<file path=xl/ctrlProps/ctrlProp32.xml><?xml version="1.0" encoding="utf-8"?>
<formControlPr xmlns="http://schemas.microsoft.com/office/spreadsheetml/2009/9/main" objectType="CheckBox" fmlaLink="I13" lockText="1" noThreeD="1"/>
</file>

<file path=xl/ctrlProps/ctrlProp33.xml><?xml version="1.0" encoding="utf-8"?>
<formControlPr xmlns="http://schemas.microsoft.com/office/spreadsheetml/2009/9/main" objectType="CheckBox" fmlaLink="J13" lockText="1" noThreeD="1"/>
</file>

<file path=xl/ctrlProps/ctrlProp34.xml><?xml version="1.0" encoding="utf-8"?>
<formControlPr xmlns="http://schemas.microsoft.com/office/spreadsheetml/2009/9/main" objectType="CheckBox" fmlaLink="K13" lockText="1" noThreeD="1"/>
</file>

<file path=xl/ctrlProps/ctrlProp35.xml><?xml version="1.0" encoding="utf-8"?>
<formControlPr xmlns="http://schemas.microsoft.com/office/spreadsheetml/2009/9/main" objectType="CheckBox" fmlaLink="L13" lockText="1" noThreeD="1"/>
</file>

<file path=xl/ctrlProps/ctrlProp36.xml><?xml version="1.0" encoding="utf-8"?>
<formControlPr xmlns="http://schemas.microsoft.com/office/spreadsheetml/2009/9/main" objectType="CheckBox" fmlaLink="M13" lockText="1" noThreeD="1"/>
</file>

<file path=xl/ctrlProps/ctrlProp37.xml><?xml version="1.0" encoding="utf-8"?>
<formControlPr xmlns="http://schemas.microsoft.com/office/spreadsheetml/2009/9/main" objectType="CheckBox" fmlaLink="C13" lockText="1" noThreeD="1"/>
</file>

<file path=xl/ctrlProps/ctrlProp38.xml><?xml version="1.0" encoding="utf-8"?>
<formControlPr xmlns="http://schemas.microsoft.com/office/spreadsheetml/2009/9/main" objectType="CheckBox" fmlaLink="N13" lockText="1" noThreeD="1"/>
</file>

<file path=xl/ctrlProps/ctrlProp39.xml><?xml version="1.0" encoding="utf-8"?>
<formControlPr xmlns="http://schemas.microsoft.com/office/spreadsheetml/2009/9/main" objectType="CheckBox" fmlaLink="N13" lockText="1" noThreeD="1"/>
</file>

<file path=xl/ctrlProps/ctrlProp40.xml><?xml version="1.0" encoding="utf-8"?>
<formControlPr xmlns="http://schemas.microsoft.com/office/spreadsheetml/2009/9/main" objectType="CheckBox" fmlaLink="N13" lockText="1" noThreeD="1"/>
</file>

<file path=xl/ctrlProps/ctrlProp41.xml><?xml version="1.0" encoding="utf-8"?>
<formControlPr xmlns="http://schemas.microsoft.com/office/spreadsheetml/2009/9/main" objectType="CheckBox" fmlaLink="N13" lockText="1" noThreeD="1"/>
</file>

<file path=xl/ctrlProps/ctrlProp42.xml><?xml version="1.0" encoding="utf-8"?>
<formControlPr xmlns="http://schemas.microsoft.com/office/spreadsheetml/2009/9/main" objectType="CheckBox" fmlaLink="N13" lockText="1" noThreeD="1"/>
</file>

<file path=xl/ctrlProps/ctrlProp43.xml><?xml version="1.0" encoding="utf-8"?>
<formControlPr xmlns="http://schemas.microsoft.com/office/spreadsheetml/2009/9/main" objectType="CheckBox" fmlaLink="N13" lockText="1" noThreeD="1"/>
</file>

<file path=xl/ctrlProps/ctrlProp44.xml><?xml version="1.0" encoding="utf-8"?>
<formControlPr xmlns="http://schemas.microsoft.com/office/spreadsheetml/2009/9/main" objectType="CheckBox" fmlaLink="N13" lockText="1" noThreeD="1"/>
</file>

<file path=xl/ctrlProps/ctrlProp45.xml><?xml version="1.0" encoding="utf-8"?>
<formControlPr xmlns="http://schemas.microsoft.com/office/spreadsheetml/2009/9/main" objectType="CheckBox" fmlaLink="N13" lockText="1" noThreeD="1"/>
</file>

<file path=xl/ctrlProps/ctrlProp46.xml><?xml version="1.0" encoding="utf-8"?>
<formControlPr xmlns="http://schemas.microsoft.com/office/spreadsheetml/2009/9/main" objectType="CheckBox" fmlaLink="N13" lockText="1" noThreeD="1"/>
</file>

<file path=xl/ctrlProps/ctrlProp47.xml><?xml version="1.0" encoding="utf-8"?>
<formControlPr xmlns="http://schemas.microsoft.com/office/spreadsheetml/2009/9/main" objectType="CheckBox" fmlaLink="N13" lockText="1" noThreeD="1"/>
</file>

<file path=xl/ctrlProps/ctrlProp48.xml><?xml version="1.0" encoding="utf-8"?>
<formControlPr xmlns="http://schemas.microsoft.com/office/spreadsheetml/2009/9/main" objectType="CheckBox" fmlaLink="N13" lockText="1" noThreeD="1"/>
</file>

<file path=xl/ctrlProps/ctrlProp49.xml><?xml version="1.0" encoding="utf-8"?>
<formControlPr xmlns="http://schemas.microsoft.com/office/spreadsheetml/2009/9/main" objectType="CheckBox" fmlaLink="N13" lockText="1" noThreeD="1"/>
</file>

<file path=xl/ctrlProps/ctrlProp50.xml><?xml version="1.0" encoding="utf-8"?>
<formControlPr xmlns="http://schemas.microsoft.com/office/spreadsheetml/2009/9/main" objectType="CheckBox" fmlaLink="N13" lockText="1" noThreeD="1"/>
</file>

<file path=xl/ctrlProps/ctrlProp51.xml><?xml version="1.0" encoding="utf-8"?>
<formControlPr xmlns="http://schemas.microsoft.com/office/spreadsheetml/2009/9/main" objectType="CheckBox" fmlaLink="B5" lockText="1" noThreeD="1"/>
</file>

<file path=xl/ctrlProps/ctrlProp52.xml><?xml version="1.0" encoding="utf-8"?>
<formControlPr xmlns="http://schemas.microsoft.com/office/spreadsheetml/2009/9/main" objectType="CheckBox" checked="Checked" fmlaLink="B6" lockText="1" noThreeD="1"/>
</file>

<file path=xl/ctrlProps/ctrlProp53.xml><?xml version="1.0" encoding="utf-8"?>
<formControlPr xmlns="http://schemas.microsoft.com/office/spreadsheetml/2009/9/main" objectType="CheckBox" fmlaLink="D13" lockText="1" noThreeD="1"/>
</file>

<file path=xl/ctrlProps/ctrlProp54.xml><?xml version="1.0" encoding="utf-8"?>
<formControlPr xmlns="http://schemas.microsoft.com/office/spreadsheetml/2009/9/main" objectType="CheckBox" fmlaLink="E13" lockText="1" noThreeD="1"/>
</file>

<file path=xl/ctrlProps/ctrlProp55.xml><?xml version="1.0" encoding="utf-8"?>
<formControlPr xmlns="http://schemas.microsoft.com/office/spreadsheetml/2009/9/main" objectType="CheckBox" fmlaLink="F13" lockText="1" noThreeD="1"/>
</file>

<file path=xl/ctrlProps/ctrlProp56.xml><?xml version="1.0" encoding="utf-8"?>
<formControlPr xmlns="http://schemas.microsoft.com/office/spreadsheetml/2009/9/main" objectType="CheckBox" fmlaLink="G13" lockText="1" noThreeD="1"/>
</file>

<file path=xl/ctrlProps/ctrlProp57.xml><?xml version="1.0" encoding="utf-8"?>
<formControlPr xmlns="http://schemas.microsoft.com/office/spreadsheetml/2009/9/main" objectType="CheckBox" fmlaLink="H13" lockText="1" noThreeD="1"/>
</file>

<file path=xl/ctrlProps/ctrlProp58.xml><?xml version="1.0" encoding="utf-8"?>
<formControlPr xmlns="http://schemas.microsoft.com/office/spreadsheetml/2009/9/main" objectType="CheckBox" fmlaLink="I13" lockText="1" noThreeD="1"/>
</file>

<file path=xl/ctrlProps/ctrlProp59.xml><?xml version="1.0" encoding="utf-8"?>
<formControlPr xmlns="http://schemas.microsoft.com/office/spreadsheetml/2009/9/main" objectType="CheckBox" fmlaLink="J13" lockText="1" noThreeD="1"/>
</file>

<file path=xl/ctrlProps/ctrlProp60.xml><?xml version="1.0" encoding="utf-8"?>
<formControlPr xmlns="http://schemas.microsoft.com/office/spreadsheetml/2009/9/main" objectType="CheckBox" fmlaLink="K13" lockText="1" noThreeD="1"/>
</file>

<file path=xl/ctrlProps/ctrlProp61.xml><?xml version="1.0" encoding="utf-8"?>
<formControlPr xmlns="http://schemas.microsoft.com/office/spreadsheetml/2009/9/main" objectType="CheckBox" fmlaLink="L13" lockText="1" noThreeD="1"/>
</file>

<file path=xl/ctrlProps/ctrlProp62.xml><?xml version="1.0" encoding="utf-8"?>
<formControlPr xmlns="http://schemas.microsoft.com/office/spreadsheetml/2009/9/main" objectType="CheckBox" fmlaLink="M13" lockText="1" noThreeD="1"/>
</file>

<file path=xl/ctrlProps/ctrlProp63.xml><?xml version="1.0" encoding="utf-8"?>
<formControlPr xmlns="http://schemas.microsoft.com/office/spreadsheetml/2009/9/main" objectType="CheckBox" fmlaLink="N13" lockText="1" noThreeD="1"/>
</file>

<file path=xl/ctrlProps/ctrlProp64.xml><?xml version="1.0" encoding="utf-8"?>
<formControlPr xmlns="http://schemas.microsoft.com/office/spreadsheetml/2009/9/main" objectType="CheckBox" fmlaLink="O13" lockText="1" noThreeD="1"/>
</file>

<file path=xl/ctrlProps/ctrlProp65.xml><?xml version="1.0" encoding="utf-8"?>
<formControlPr xmlns="http://schemas.microsoft.com/office/spreadsheetml/2009/9/main" objectType="CheckBox" fmlaLink="P13" lockText="1" noThreeD="1"/>
</file>

<file path=xl/ctrlProps/ctrlProp66.xml><?xml version="1.0" encoding="utf-8"?>
<formControlPr xmlns="http://schemas.microsoft.com/office/spreadsheetml/2009/9/main" objectType="CheckBox" fmlaLink="Q13" lockText="1" noThreeD="1"/>
</file>

<file path=xl/ctrlProps/ctrlProp67.xml><?xml version="1.0" encoding="utf-8"?>
<formControlPr xmlns="http://schemas.microsoft.com/office/spreadsheetml/2009/9/main" objectType="CheckBox" fmlaLink="R13" lockText="1" noThreeD="1"/>
</file>

<file path=xl/ctrlProps/ctrlProp68.xml><?xml version="1.0" encoding="utf-8"?>
<formControlPr xmlns="http://schemas.microsoft.com/office/spreadsheetml/2009/9/main" objectType="CheckBox" fmlaLink="S13" lockText="1" noThreeD="1"/>
</file>

<file path=xl/ctrlProps/ctrlProp69.xml><?xml version="1.0" encoding="utf-8"?>
<formControlPr xmlns="http://schemas.microsoft.com/office/spreadsheetml/2009/9/main" objectType="CheckBox" fmlaLink="T13" lockText="1" noThreeD="1"/>
</file>

<file path=xl/ctrlProps/ctrlProp70.xml><?xml version="1.0" encoding="utf-8"?>
<formControlPr xmlns="http://schemas.microsoft.com/office/spreadsheetml/2009/9/main" objectType="CheckBox" fmlaLink="U13" lockText="1" noThreeD="1"/>
</file>

<file path=xl/ctrlProps/ctrlProp71.xml><?xml version="1.0" encoding="utf-8"?>
<formControlPr xmlns="http://schemas.microsoft.com/office/spreadsheetml/2009/9/main" objectType="CheckBox" fmlaLink="V13" lockText="1" noThreeD="1"/>
</file>

<file path=xl/ctrlProps/ctrlProp72.xml><?xml version="1.0" encoding="utf-8"?>
<formControlPr xmlns="http://schemas.microsoft.com/office/spreadsheetml/2009/9/main" objectType="CheckBox" fmlaLink="W13" lockText="1" noThreeD="1"/>
</file>

<file path=xl/ctrlProps/ctrlProp73.xml><?xml version="1.0" encoding="utf-8"?>
<formControlPr xmlns="http://schemas.microsoft.com/office/spreadsheetml/2009/9/main" objectType="CheckBox" fmlaLink="X13" lockText="1" noThreeD="1"/>
</file>

<file path=xl/ctrlProps/ctrlProp74.xml><?xml version="1.0" encoding="utf-8"?>
<formControlPr xmlns="http://schemas.microsoft.com/office/spreadsheetml/2009/9/main" objectType="CheckBox" fmlaLink="Y13" lockText="1" noThreeD="1"/>
</file>

<file path=xl/ctrlProps/ctrlProp75.xml><?xml version="1.0" encoding="utf-8"?>
<formControlPr xmlns="http://schemas.microsoft.com/office/spreadsheetml/2009/9/main" objectType="CheckBox" fmlaLink="Z13" lockText="1" noThreeD="1"/>
</file>

<file path=xl/ctrlProps/ctrlProp76.xml><?xml version="1.0" encoding="utf-8"?>
<formControlPr xmlns="http://schemas.microsoft.com/office/spreadsheetml/2009/9/main" objectType="CheckBox" fmlaLink="AA13" lockText="1" noThreeD="1"/>
</file>

<file path=xl/ctrlProps/ctrlProp77.xml><?xml version="1.0" encoding="utf-8"?>
<formControlPr xmlns="http://schemas.microsoft.com/office/spreadsheetml/2009/9/main" objectType="CheckBox" fmlaLink="C13" lockText="1" noThreeD="1"/>
</file>

<file path=xl/ctrlProps/ctrlProp78.xml><?xml version="1.0" encoding="utf-8"?>
<formControlPr xmlns="http://schemas.microsoft.com/office/spreadsheetml/2009/9/main" objectType="CheckBox" checked="Checked" fmlaLink="B3" lockText="1" noThreeD="1"/>
</file>

<file path=xl/ctrlProps/ctrlProp79.xml><?xml version="1.0" encoding="utf-8"?>
<formControlPr xmlns="http://schemas.microsoft.com/office/spreadsheetml/2009/9/main" objectType="CheckBox" fmlaLink="B4" lockText="1" noThreeD="1"/>
</file>

<file path=xl/ctrlProps/ctrlProp80.xml><?xml version="1.0" encoding="utf-8"?>
<formControlPr xmlns="http://schemas.microsoft.com/office/spreadsheetml/2009/9/main" objectType="CheckBox" fmlaLink="M13" lockText="1" noThreeD="1"/>
</file>

<file path=xl/ctrlProps/ctrlProp81.xml><?xml version="1.0" encoding="utf-8"?>
<formControlPr xmlns="http://schemas.microsoft.com/office/spreadsheetml/2009/9/main" objectType="CheckBox" fmlaLink="N13" lockText="1" noThreeD="1"/>
</file>

<file path=xl/ctrlProps/ctrlProp82.xml><?xml version="1.0" encoding="utf-8"?>
<formControlPr xmlns="http://schemas.microsoft.com/office/spreadsheetml/2009/9/main" objectType="CheckBox" fmlaLink="D13" lockText="1" noThreeD="1"/>
</file>

<file path=xl/ctrlProps/ctrlProp83.xml><?xml version="1.0" encoding="utf-8"?>
<formControlPr xmlns="http://schemas.microsoft.com/office/spreadsheetml/2009/9/main" objectType="CheckBox" fmlaLink="E13" lockText="1" noThreeD="1"/>
</file>

<file path=xl/ctrlProps/ctrlProp84.xml><?xml version="1.0" encoding="utf-8"?>
<formControlPr xmlns="http://schemas.microsoft.com/office/spreadsheetml/2009/9/main" objectType="CheckBox" fmlaLink="F13" lockText="1" noThreeD="1"/>
</file>

<file path=xl/ctrlProps/ctrlProp85.xml><?xml version="1.0" encoding="utf-8"?>
<formControlPr xmlns="http://schemas.microsoft.com/office/spreadsheetml/2009/9/main" objectType="CheckBox" fmlaLink="G13" lockText="1" noThreeD="1"/>
</file>

<file path=xl/ctrlProps/ctrlProp86.xml><?xml version="1.0" encoding="utf-8"?>
<formControlPr xmlns="http://schemas.microsoft.com/office/spreadsheetml/2009/9/main" objectType="CheckBox" fmlaLink="H13" lockText="1" noThreeD="1"/>
</file>

<file path=xl/ctrlProps/ctrlProp87.xml><?xml version="1.0" encoding="utf-8"?>
<formControlPr xmlns="http://schemas.microsoft.com/office/spreadsheetml/2009/9/main" objectType="CheckBox" fmlaLink="I13" lockText="1" noThreeD="1"/>
</file>

<file path=xl/ctrlProps/ctrlProp88.xml><?xml version="1.0" encoding="utf-8"?>
<formControlPr xmlns="http://schemas.microsoft.com/office/spreadsheetml/2009/9/main" objectType="CheckBox" fmlaLink="J13" lockText="1" noThreeD="1"/>
</file>

<file path=xl/ctrlProps/ctrlProp89.xml><?xml version="1.0" encoding="utf-8"?>
<formControlPr xmlns="http://schemas.microsoft.com/office/spreadsheetml/2009/9/main" objectType="CheckBox" fmlaLink="K13" lockText="1" noThreeD="1"/>
</file>

<file path=xl/ctrlProps/ctrlProp90.xml><?xml version="1.0" encoding="utf-8"?>
<formControlPr xmlns="http://schemas.microsoft.com/office/spreadsheetml/2009/9/main" objectType="CheckBox" fmlaLink="L13" lockText="1" noThreeD="1"/>
</file>

<file path=xl/ctrlProps/ctrlProp91.xml><?xml version="1.0" encoding="utf-8"?>
<formControlPr xmlns="http://schemas.microsoft.com/office/spreadsheetml/2009/9/main" objectType="CheckBox" fmlaLink="M13" lockText="1" noThreeD="1"/>
</file>

<file path=xl/ctrlProps/ctrlProp92.xml><?xml version="1.0" encoding="utf-8"?>
<formControlPr xmlns="http://schemas.microsoft.com/office/spreadsheetml/2009/9/main" objectType="CheckBox" fmlaLink="C13" lockText="1" noThreeD="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18" Type="http://schemas.openxmlformats.org/officeDocument/2006/relationships/chart" Target="../charts/chart21.xml"/><Relationship Id="rId3" Type="http://schemas.openxmlformats.org/officeDocument/2006/relationships/chart" Target="../charts/chart6.xml"/><Relationship Id="rId21" Type="http://schemas.openxmlformats.org/officeDocument/2006/relationships/chart" Target="../charts/chart24.xml"/><Relationship Id="rId7" Type="http://schemas.openxmlformats.org/officeDocument/2006/relationships/chart" Target="../charts/chart10.xml"/><Relationship Id="rId12" Type="http://schemas.openxmlformats.org/officeDocument/2006/relationships/chart" Target="../charts/chart15.xml"/><Relationship Id="rId17" Type="http://schemas.openxmlformats.org/officeDocument/2006/relationships/chart" Target="../charts/chart20.xml"/><Relationship Id="rId2" Type="http://schemas.openxmlformats.org/officeDocument/2006/relationships/chart" Target="../charts/chart5.xml"/><Relationship Id="rId16" Type="http://schemas.openxmlformats.org/officeDocument/2006/relationships/chart" Target="../charts/chart19.xml"/><Relationship Id="rId20" Type="http://schemas.openxmlformats.org/officeDocument/2006/relationships/chart" Target="../charts/chart23.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24" Type="http://schemas.openxmlformats.org/officeDocument/2006/relationships/chart" Target="../charts/chart27.xml"/><Relationship Id="rId5" Type="http://schemas.openxmlformats.org/officeDocument/2006/relationships/chart" Target="../charts/chart8.xml"/><Relationship Id="rId15" Type="http://schemas.openxmlformats.org/officeDocument/2006/relationships/chart" Target="../charts/chart18.xml"/><Relationship Id="rId23" Type="http://schemas.openxmlformats.org/officeDocument/2006/relationships/chart" Target="../charts/chart26.xml"/><Relationship Id="rId10" Type="http://schemas.openxmlformats.org/officeDocument/2006/relationships/chart" Target="../charts/chart13.xml"/><Relationship Id="rId19" Type="http://schemas.openxmlformats.org/officeDocument/2006/relationships/chart" Target="../charts/chart22.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 Id="rId22"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5.xml"/><Relationship Id="rId13" Type="http://schemas.openxmlformats.org/officeDocument/2006/relationships/chart" Target="../charts/chart40.xml"/><Relationship Id="rId18" Type="http://schemas.openxmlformats.org/officeDocument/2006/relationships/chart" Target="../charts/chart45.xml"/><Relationship Id="rId3" Type="http://schemas.openxmlformats.org/officeDocument/2006/relationships/chart" Target="../charts/chart30.xml"/><Relationship Id="rId21" Type="http://schemas.openxmlformats.org/officeDocument/2006/relationships/chart" Target="../charts/chart48.xml"/><Relationship Id="rId7" Type="http://schemas.openxmlformats.org/officeDocument/2006/relationships/chart" Target="../charts/chart34.xml"/><Relationship Id="rId12" Type="http://schemas.openxmlformats.org/officeDocument/2006/relationships/chart" Target="../charts/chart39.xml"/><Relationship Id="rId17" Type="http://schemas.openxmlformats.org/officeDocument/2006/relationships/chart" Target="../charts/chart44.xml"/><Relationship Id="rId2" Type="http://schemas.openxmlformats.org/officeDocument/2006/relationships/chart" Target="../charts/chart29.xml"/><Relationship Id="rId16" Type="http://schemas.openxmlformats.org/officeDocument/2006/relationships/chart" Target="../charts/chart43.xml"/><Relationship Id="rId20" Type="http://schemas.openxmlformats.org/officeDocument/2006/relationships/chart" Target="../charts/chart47.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5" Type="http://schemas.openxmlformats.org/officeDocument/2006/relationships/chart" Target="../charts/chart42.xml"/><Relationship Id="rId10" Type="http://schemas.openxmlformats.org/officeDocument/2006/relationships/chart" Target="../charts/chart37.xml"/><Relationship Id="rId19" Type="http://schemas.openxmlformats.org/officeDocument/2006/relationships/chart" Target="../charts/chart46.xml"/><Relationship Id="rId4" Type="http://schemas.openxmlformats.org/officeDocument/2006/relationships/chart" Target="../charts/chart31.xml"/><Relationship Id="rId9" Type="http://schemas.openxmlformats.org/officeDocument/2006/relationships/chart" Target="../charts/chart36.xml"/><Relationship Id="rId14" Type="http://schemas.openxmlformats.org/officeDocument/2006/relationships/chart" Target="../charts/chart41.xml"/><Relationship Id="rId22" Type="http://schemas.openxmlformats.org/officeDocument/2006/relationships/chart" Target="../charts/chart4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11.xml.rels><?xml version="1.0" encoding="UTF-8" standalone="yes"?>
<Relationships xmlns="http://schemas.openxmlformats.org/package/2006/relationships"><Relationship Id="rId13" Type="http://schemas.openxmlformats.org/officeDocument/2006/relationships/chart" Target="../charts/chart64.xml"/><Relationship Id="rId18" Type="http://schemas.openxmlformats.org/officeDocument/2006/relationships/chart" Target="../charts/chart69.xml"/><Relationship Id="rId26" Type="http://schemas.openxmlformats.org/officeDocument/2006/relationships/chart" Target="../charts/chart77.xml"/><Relationship Id="rId39" Type="http://schemas.openxmlformats.org/officeDocument/2006/relationships/chart" Target="../charts/chart90.xml"/><Relationship Id="rId3" Type="http://schemas.openxmlformats.org/officeDocument/2006/relationships/chart" Target="../charts/chart54.xml"/><Relationship Id="rId21" Type="http://schemas.openxmlformats.org/officeDocument/2006/relationships/chart" Target="../charts/chart72.xml"/><Relationship Id="rId34" Type="http://schemas.openxmlformats.org/officeDocument/2006/relationships/chart" Target="../charts/chart85.xml"/><Relationship Id="rId42" Type="http://schemas.openxmlformats.org/officeDocument/2006/relationships/chart" Target="../charts/chart93.xml"/><Relationship Id="rId47" Type="http://schemas.openxmlformats.org/officeDocument/2006/relationships/chart" Target="../charts/chart98.xml"/><Relationship Id="rId50" Type="http://schemas.openxmlformats.org/officeDocument/2006/relationships/chart" Target="../charts/chart101.xml"/><Relationship Id="rId7" Type="http://schemas.openxmlformats.org/officeDocument/2006/relationships/chart" Target="../charts/chart58.xml"/><Relationship Id="rId12" Type="http://schemas.openxmlformats.org/officeDocument/2006/relationships/chart" Target="../charts/chart63.xml"/><Relationship Id="rId17" Type="http://schemas.openxmlformats.org/officeDocument/2006/relationships/chart" Target="../charts/chart68.xml"/><Relationship Id="rId25" Type="http://schemas.openxmlformats.org/officeDocument/2006/relationships/chart" Target="../charts/chart76.xml"/><Relationship Id="rId33" Type="http://schemas.openxmlformats.org/officeDocument/2006/relationships/chart" Target="../charts/chart84.xml"/><Relationship Id="rId38" Type="http://schemas.openxmlformats.org/officeDocument/2006/relationships/chart" Target="../charts/chart89.xml"/><Relationship Id="rId46" Type="http://schemas.openxmlformats.org/officeDocument/2006/relationships/chart" Target="../charts/chart97.xml"/><Relationship Id="rId2" Type="http://schemas.openxmlformats.org/officeDocument/2006/relationships/chart" Target="../charts/chart53.xml"/><Relationship Id="rId16" Type="http://schemas.openxmlformats.org/officeDocument/2006/relationships/chart" Target="../charts/chart67.xml"/><Relationship Id="rId20" Type="http://schemas.openxmlformats.org/officeDocument/2006/relationships/chart" Target="../charts/chart71.xml"/><Relationship Id="rId29" Type="http://schemas.openxmlformats.org/officeDocument/2006/relationships/chart" Target="../charts/chart80.xml"/><Relationship Id="rId41" Type="http://schemas.openxmlformats.org/officeDocument/2006/relationships/chart" Target="../charts/chart92.xml"/><Relationship Id="rId1" Type="http://schemas.openxmlformats.org/officeDocument/2006/relationships/chart" Target="../charts/chart52.xml"/><Relationship Id="rId6" Type="http://schemas.openxmlformats.org/officeDocument/2006/relationships/chart" Target="../charts/chart57.xml"/><Relationship Id="rId11" Type="http://schemas.openxmlformats.org/officeDocument/2006/relationships/chart" Target="../charts/chart62.xml"/><Relationship Id="rId24" Type="http://schemas.openxmlformats.org/officeDocument/2006/relationships/chart" Target="../charts/chart75.xml"/><Relationship Id="rId32" Type="http://schemas.openxmlformats.org/officeDocument/2006/relationships/chart" Target="../charts/chart83.xml"/><Relationship Id="rId37" Type="http://schemas.openxmlformats.org/officeDocument/2006/relationships/chart" Target="../charts/chart88.xml"/><Relationship Id="rId40" Type="http://schemas.openxmlformats.org/officeDocument/2006/relationships/chart" Target="../charts/chart91.xml"/><Relationship Id="rId45" Type="http://schemas.openxmlformats.org/officeDocument/2006/relationships/chart" Target="../charts/chart96.xml"/><Relationship Id="rId5" Type="http://schemas.openxmlformats.org/officeDocument/2006/relationships/chart" Target="../charts/chart56.xml"/><Relationship Id="rId15" Type="http://schemas.openxmlformats.org/officeDocument/2006/relationships/chart" Target="../charts/chart66.xml"/><Relationship Id="rId23" Type="http://schemas.openxmlformats.org/officeDocument/2006/relationships/chart" Target="../charts/chart74.xml"/><Relationship Id="rId28" Type="http://schemas.openxmlformats.org/officeDocument/2006/relationships/chart" Target="../charts/chart79.xml"/><Relationship Id="rId36" Type="http://schemas.openxmlformats.org/officeDocument/2006/relationships/chart" Target="../charts/chart87.xml"/><Relationship Id="rId49" Type="http://schemas.openxmlformats.org/officeDocument/2006/relationships/chart" Target="../charts/chart100.xml"/><Relationship Id="rId10" Type="http://schemas.openxmlformats.org/officeDocument/2006/relationships/chart" Target="../charts/chart61.xml"/><Relationship Id="rId19" Type="http://schemas.openxmlformats.org/officeDocument/2006/relationships/chart" Target="../charts/chart70.xml"/><Relationship Id="rId31" Type="http://schemas.openxmlformats.org/officeDocument/2006/relationships/chart" Target="../charts/chart82.xml"/><Relationship Id="rId44" Type="http://schemas.openxmlformats.org/officeDocument/2006/relationships/chart" Target="../charts/chart95.xml"/><Relationship Id="rId4" Type="http://schemas.openxmlformats.org/officeDocument/2006/relationships/chart" Target="../charts/chart55.xml"/><Relationship Id="rId9" Type="http://schemas.openxmlformats.org/officeDocument/2006/relationships/chart" Target="../charts/chart60.xml"/><Relationship Id="rId14" Type="http://schemas.openxmlformats.org/officeDocument/2006/relationships/chart" Target="../charts/chart65.xml"/><Relationship Id="rId22" Type="http://schemas.openxmlformats.org/officeDocument/2006/relationships/chart" Target="../charts/chart73.xml"/><Relationship Id="rId27" Type="http://schemas.openxmlformats.org/officeDocument/2006/relationships/chart" Target="../charts/chart78.xml"/><Relationship Id="rId30" Type="http://schemas.openxmlformats.org/officeDocument/2006/relationships/chart" Target="../charts/chart81.xml"/><Relationship Id="rId35" Type="http://schemas.openxmlformats.org/officeDocument/2006/relationships/chart" Target="../charts/chart86.xml"/><Relationship Id="rId43" Type="http://schemas.openxmlformats.org/officeDocument/2006/relationships/chart" Target="../charts/chart94.xml"/><Relationship Id="rId48" Type="http://schemas.openxmlformats.org/officeDocument/2006/relationships/chart" Target="../charts/chart99.xml"/><Relationship Id="rId8" Type="http://schemas.openxmlformats.org/officeDocument/2006/relationships/chart" Target="../charts/chart59.xml"/><Relationship Id="rId51" Type="http://schemas.openxmlformats.org/officeDocument/2006/relationships/chart" Target="../charts/chart102.xml"/></Relationships>
</file>

<file path=xl/drawings/drawing1.xml><?xml version="1.0" encoding="utf-8"?>
<xdr:wsDr xmlns:xdr="http://schemas.openxmlformats.org/drawingml/2006/spreadsheetDrawing" xmlns:a="http://schemas.openxmlformats.org/drawingml/2006/main">
  <xdr:twoCellAnchor>
    <xdr:from>
      <xdr:col>10</xdr:col>
      <xdr:colOff>323850</xdr:colOff>
      <xdr:row>32</xdr:row>
      <xdr:rowOff>114300</xdr:rowOff>
    </xdr:from>
    <xdr:to>
      <xdr:col>19</xdr:col>
      <xdr:colOff>47625</xdr:colOff>
      <xdr:row>50</xdr:row>
      <xdr:rowOff>95250</xdr:rowOff>
    </xdr:to>
    <xdr:graphicFrame macro="">
      <xdr:nvGraphicFramePr>
        <xdr:cNvPr id="14190" name="Chart 9">
          <a:extLst>
            <a:ext uri="{FF2B5EF4-FFF2-40B4-BE49-F238E27FC236}">
              <a16:creationId xmlns:a16="http://schemas.microsoft.com/office/drawing/2014/main" id="{00000000-0008-0000-0000-00006E3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581025</xdr:colOff>
      <xdr:row>48</xdr:row>
      <xdr:rowOff>66675</xdr:rowOff>
    </xdr:from>
    <xdr:to>
      <xdr:col>22</xdr:col>
      <xdr:colOff>228600</xdr:colOff>
      <xdr:row>66</xdr:row>
      <xdr:rowOff>123825</xdr:rowOff>
    </xdr:to>
    <xdr:graphicFrame macro="">
      <xdr:nvGraphicFramePr>
        <xdr:cNvPr id="14191" name="Chart 10">
          <a:extLst>
            <a:ext uri="{FF2B5EF4-FFF2-40B4-BE49-F238E27FC236}">
              <a16:creationId xmlns:a16="http://schemas.microsoft.com/office/drawing/2014/main" id="{00000000-0008-0000-0000-00006F3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0</xdr:row>
      <xdr:rowOff>28575</xdr:rowOff>
    </xdr:from>
    <xdr:to>
      <xdr:col>13</xdr:col>
      <xdr:colOff>600075</xdr:colOff>
      <xdr:row>10</xdr:row>
      <xdr:rowOff>0</xdr:rowOff>
    </xdr:to>
    <xdr:sp macro="" textlink="">
      <xdr:nvSpPr>
        <xdr:cNvPr id="14192" name="Rectangle 36">
          <a:extLst>
            <a:ext uri="{FF2B5EF4-FFF2-40B4-BE49-F238E27FC236}">
              <a16:creationId xmlns:a16="http://schemas.microsoft.com/office/drawing/2014/main" id="{00000000-0008-0000-0000-000070370000}"/>
            </a:ext>
          </a:extLst>
        </xdr:cNvPr>
        <xdr:cNvSpPr>
          <a:spLocks noChangeArrowheads="1"/>
        </xdr:cNvSpPr>
      </xdr:nvSpPr>
      <xdr:spPr bwMode="auto">
        <a:xfrm>
          <a:off x="8248650" y="28575"/>
          <a:ext cx="3638550" cy="1647825"/>
        </a:xfrm>
        <a:prstGeom prst="rect">
          <a:avLst/>
        </a:prstGeom>
        <a:solidFill>
          <a:srgbClr val="CCFFFF"/>
        </a:solidFill>
        <a:ln w="9525">
          <a:solidFill>
            <a:srgbClr val="000000"/>
          </a:solidFill>
          <a:miter lim="800000"/>
          <a:headEnd/>
          <a:tailEnd/>
        </a:ln>
      </xdr:spPr>
    </xdr:sp>
    <xdr:clientData/>
  </xdr:twoCellAnchor>
  <xdr:twoCellAnchor>
    <xdr:from>
      <xdr:col>8</xdr:col>
      <xdr:colOff>38100</xdr:colOff>
      <xdr:row>0</xdr:row>
      <xdr:rowOff>114300</xdr:rowOff>
    </xdr:from>
    <xdr:to>
      <xdr:col>13</xdr:col>
      <xdr:colOff>447675</xdr:colOff>
      <xdr:row>10</xdr:row>
      <xdr:rowOff>0</xdr:rowOff>
    </xdr:to>
    <xdr:grpSp>
      <xdr:nvGrpSpPr>
        <xdr:cNvPr id="14193" name="Group 62">
          <a:extLst>
            <a:ext uri="{FF2B5EF4-FFF2-40B4-BE49-F238E27FC236}">
              <a16:creationId xmlns:a16="http://schemas.microsoft.com/office/drawing/2014/main" id="{00000000-0008-0000-0000-000071370000}"/>
            </a:ext>
          </a:extLst>
        </xdr:cNvPr>
        <xdr:cNvGrpSpPr>
          <a:grpSpLocks/>
        </xdr:cNvGrpSpPr>
      </xdr:nvGrpSpPr>
      <xdr:grpSpPr bwMode="auto">
        <a:xfrm>
          <a:off x="8277225" y="114300"/>
          <a:ext cx="3457575" cy="1562100"/>
          <a:chOff x="869" y="12"/>
          <a:chExt cx="363" cy="162"/>
        </a:xfrm>
      </xdr:grpSpPr>
      <xdr:sp macro="" textlink="">
        <xdr:nvSpPr>
          <xdr:cNvPr id="14195" name="Oval 19">
            <a:extLst>
              <a:ext uri="{FF2B5EF4-FFF2-40B4-BE49-F238E27FC236}">
                <a16:creationId xmlns:a16="http://schemas.microsoft.com/office/drawing/2014/main" id="{00000000-0008-0000-0000-000073370000}"/>
              </a:ext>
            </a:extLst>
          </xdr:cNvPr>
          <xdr:cNvSpPr>
            <a:spLocks noChangeArrowheads="1"/>
          </xdr:cNvSpPr>
        </xdr:nvSpPr>
        <xdr:spPr bwMode="auto">
          <a:xfrm>
            <a:off x="1108" y="89"/>
            <a:ext cx="8" cy="8"/>
          </a:xfrm>
          <a:prstGeom prst="ellipse">
            <a:avLst/>
          </a:prstGeom>
          <a:solidFill>
            <a:srgbClr val="000000"/>
          </a:solidFill>
          <a:ln w="9525">
            <a:solidFill>
              <a:srgbClr val="000000"/>
            </a:solidFill>
            <a:round/>
            <a:headEnd/>
            <a:tailEnd/>
          </a:ln>
        </xdr:spPr>
      </xdr:sp>
      <xdr:sp macro="" textlink="">
        <xdr:nvSpPr>
          <xdr:cNvPr id="13327" name="Line 15">
            <a:extLst>
              <a:ext uri="{FF2B5EF4-FFF2-40B4-BE49-F238E27FC236}">
                <a16:creationId xmlns:a16="http://schemas.microsoft.com/office/drawing/2014/main" id="{00000000-0008-0000-0000-00000F340000}"/>
              </a:ext>
            </a:extLst>
          </xdr:cNvPr>
          <xdr:cNvSpPr>
            <a:spLocks noChangeShapeType="1"/>
          </xdr:cNvSpPr>
        </xdr:nvSpPr>
        <xdr:spPr bwMode="auto">
          <a:xfrm>
            <a:off x="869" y="93"/>
            <a:ext cx="242" cy="0"/>
          </a:xfrm>
          <a:prstGeom prst="line">
            <a:avLst/>
          </a:prstGeom>
          <a:noFill/>
          <a:ln w="9525">
            <a:solidFill>
              <a:srgbClr val="339966"/>
            </a:solidFill>
            <a:round/>
            <a:headEnd/>
            <a:tailEnd/>
          </a:ln>
          <a:effectLst>
            <a:outerShdw dist="35921" dir="2700000" algn="ctr" rotWithShape="0">
              <a:srgbClr val="000000"/>
            </a:outerShdw>
          </a:effectLst>
        </xdr:spPr>
        <xdr:txBody>
          <a:bodyPr/>
          <a:lstStyle/>
          <a:p>
            <a:endParaRPr lang="en-US"/>
          </a:p>
        </xdr:txBody>
      </xdr:sp>
      <xdr:sp macro="" textlink="">
        <xdr:nvSpPr>
          <xdr:cNvPr id="13328" name="Line 16">
            <a:extLst>
              <a:ext uri="{FF2B5EF4-FFF2-40B4-BE49-F238E27FC236}">
                <a16:creationId xmlns:a16="http://schemas.microsoft.com/office/drawing/2014/main" id="{00000000-0008-0000-0000-000010340000}"/>
              </a:ext>
            </a:extLst>
          </xdr:cNvPr>
          <xdr:cNvSpPr>
            <a:spLocks noChangeShapeType="1"/>
          </xdr:cNvSpPr>
        </xdr:nvSpPr>
        <xdr:spPr bwMode="auto">
          <a:xfrm flipH="1" flipV="1">
            <a:off x="893" y="35"/>
            <a:ext cx="218" cy="58"/>
          </a:xfrm>
          <a:prstGeom prst="line">
            <a:avLst/>
          </a:prstGeom>
          <a:noFill/>
          <a:ln w="6350">
            <a:solidFill>
              <a:srgbClr val="000000"/>
            </a:solidFill>
            <a:prstDash val="lgDashDot"/>
            <a:round/>
            <a:headEnd/>
            <a:tailEnd/>
          </a:ln>
          <a:effectLst>
            <a:outerShdw dist="35921" dir="2700000" algn="ctr" rotWithShape="0">
              <a:srgbClr val="000000"/>
            </a:outerShdw>
          </a:effectLst>
        </xdr:spPr>
        <xdr:txBody>
          <a:bodyPr/>
          <a:lstStyle/>
          <a:p>
            <a:endParaRPr lang="en-US"/>
          </a:p>
        </xdr:txBody>
      </xdr:sp>
      <xdr:sp macro="" textlink="">
        <xdr:nvSpPr>
          <xdr:cNvPr id="13329" name="Line 17">
            <a:extLst>
              <a:ext uri="{FF2B5EF4-FFF2-40B4-BE49-F238E27FC236}">
                <a16:creationId xmlns:a16="http://schemas.microsoft.com/office/drawing/2014/main" id="{00000000-0008-0000-0000-000011340000}"/>
              </a:ext>
            </a:extLst>
          </xdr:cNvPr>
          <xdr:cNvSpPr>
            <a:spLocks noChangeShapeType="1"/>
          </xdr:cNvSpPr>
        </xdr:nvSpPr>
        <xdr:spPr bwMode="auto">
          <a:xfrm flipH="1">
            <a:off x="889" y="93"/>
            <a:ext cx="224" cy="61"/>
          </a:xfrm>
          <a:prstGeom prst="line">
            <a:avLst/>
          </a:prstGeom>
          <a:noFill/>
          <a:ln w="6350">
            <a:solidFill>
              <a:srgbClr val="000000"/>
            </a:solidFill>
            <a:prstDash val="lgDashDot"/>
            <a:round/>
            <a:headEnd/>
            <a:tailEnd/>
          </a:ln>
          <a:effectLst>
            <a:outerShdw dist="35921" dir="2700000" algn="ctr" rotWithShape="0">
              <a:srgbClr val="000000"/>
            </a:outerShdw>
          </a:effectLst>
        </xdr:spPr>
        <xdr:txBody>
          <a:bodyPr/>
          <a:lstStyle/>
          <a:p>
            <a:endParaRPr lang="en-US"/>
          </a:p>
        </xdr:txBody>
      </xdr:sp>
      <xdr:sp macro="" textlink="">
        <xdr:nvSpPr>
          <xdr:cNvPr id="13332" name="Line 20">
            <a:extLst>
              <a:ext uri="{FF2B5EF4-FFF2-40B4-BE49-F238E27FC236}">
                <a16:creationId xmlns:a16="http://schemas.microsoft.com/office/drawing/2014/main" id="{00000000-0008-0000-0000-000014340000}"/>
              </a:ext>
            </a:extLst>
          </xdr:cNvPr>
          <xdr:cNvSpPr>
            <a:spLocks noChangeShapeType="1"/>
          </xdr:cNvSpPr>
        </xdr:nvSpPr>
        <xdr:spPr bwMode="auto">
          <a:xfrm>
            <a:off x="1003" y="47"/>
            <a:ext cx="0" cy="102"/>
          </a:xfrm>
          <a:prstGeom prst="line">
            <a:avLst/>
          </a:prstGeom>
          <a:noFill/>
          <a:ln w="6350">
            <a:solidFill>
              <a:srgbClr val="000000"/>
            </a:solidFill>
            <a:prstDash val="lgDashDot"/>
            <a:round/>
            <a:headEnd/>
            <a:tailEnd/>
          </a:ln>
          <a:effectLst>
            <a:outerShdw dist="35921" dir="2700000" algn="ctr" rotWithShape="0">
              <a:srgbClr val="000000"/>
            </a:outerShdw>
          </a:effectLst>
        </xdr:spPr>
        <xdr:txBody>
          <a:bodyPr/>
          <a:lstStyle/>
          <a:p>
            <a:endParaRPr lang="en-US"/>
          </a:p>
        </xdr:txBody>
      </xdr:sp>
      <xdr:sp macro="" textlink="">
        <xdr:nvSpPr>
          <xdr:cNvPr id="13333" name="Line 21">
            <a:extLst>
              <a:ext uri="{FF2B5EF4-FFF2-40B4-BE49-F238E27FC236}">
                <a16:creationId xmlns:a16="http://schemas.microsoft.com/office/drawing/2014/main" id="{00000000-0008-0000-0000-000015340000}"/>
              </a:ext>
            </a:extLst>
          </xdr:cNvPr>
          <xdr:cNvSpPr>
            <a:spLocks noChangeShapeType="1"/>
          </xdr:cNvSpPr>
        </xdr:nvSpPr>
        <xdr:spPr bwMode="auto">
          <a:xfrm>
            <a:off x="934" y="35"/>
            <a:ext cx="0" cy="122"/>
          </a:xfrm>
          <a:prstGeom prst="line">
            <a:avLst/>
          </a:prstGeom>
          <a:noFill/>
          <a:ln w="6350">
            <a:solidFill>
              <a:srgbClr val="000000"/>
            </a:solidFill>
            <a:prstDash val="lgDashDot"/>
            <a:round/>
            <a:headEnd/>
            <a:tailEnd/>
          </a:ln>
          <a:effectLst>
            <a:outerShdw dist="35921" dir="2700000" algn="ctr" rotWithShape="0">
              <a:srgbClr val="000000"/>
            </a:outerShdw>
          </a:effectLst>
        </xdr:spPr>
        <xdr:txBody>
          <a:bodyPr/>
          <a:lstStyle/>
          <a:p>
            <a:endParaRPr lang="en-US"/>
          </a:p>
        </xdr:txBody>
      </xdr:sp>
      <xdr:sp macro="" textlink="">
        <xdr:nvSpPr>
          <xdr:cNvPr id="13336" name="Text Box 24">
            <a:extLst>
              <a:ext uri="{FF2B5EF4-FFF2-40B4-BE49-F238E27FC236}">
                <a16:creationId xmlns:a16="http://schemas.microsoft.com/office/drawing/2014/main" id="{00000000-0008-0000-0000-000018340000}"/>
              </a:ext>
            </a:extLst>
          </xdr:cNvPr>
          <xdr:cNvSpPr txBox="1">
            <a:spLocks noChangeArrowheads="1"/>
          </xdr:cNvSpPr>
        </xdr:nvSpPr>
        <xdr:spPr bwMode="auto">
          <a:xfrm>
            <a:off x="1117" y="78"/>
            <a:ext cx="23" cy="18"/>
          </a:xfrm>
          <a:prstGeom prst="rect">
            <a:avLst/>
          </a:prstGeom>
          <a:noFill/>
          <a:ln w="9525">
            <a:noFill/>
            <a:miter lim="800000"/>
            <a:headEnd/>
            <a:tailEnd/>
          </a:ln>
          <a:effectLst>
            <a:outerShdw dist="35921" dir="2700000" algn="ctr" rotWithShape="0">
              <a:srgbClr val="000000"/>
            </a:outerShdw>
          </a:effectLst>
        </xdr:spPr>
        <xdr:txBody>
          <a:bodyPr wrap="none" lIns="18288" tIns="18288" rIns="0" bIns="0" anchor="t" upright="1">
            <a:spAutoFit/>
          </a:bodyPr>
          <a:lstStyle/>
          <a:p>
            <a:pPr algn="l" rtl="0">
              <a:defRPr sz="1000"/>
            </a:pPr>
            <a:r>
              <a:rPr lang="en-US" sz="900" b="0" i="0" strike="noStrike">
                <a:solidFill>
                  <a:srgbClr val="000000"/>
                </a:solidFill>
                <a:latin typeface="Arial"/>
                <a:cs typeface="Arial"/>
              </a:rPr>
              <a:t>Site</a:t>
            </a:r>
          </a:p>
        </xdr:txBody>
      </xdr:sp>
      <xdr:sp macro="" textlink="">
        <xdr:nvSpPr>
          <xdr:cNvPr id="13338" name="Text Box 26">
            <a:extLst>
              <a:ext uri="{FF2B5EF4-FFF2-40B4-BE49-F238E27FC236}">
                <a16:creationId xmlns:a16="http://schemas.microsoft.com/office/drawing/2014/main" id="{00000000-0008-0000-0000-00001A340000}"/>
              </a:ext>
            </a:extLst>
          </xdr:cNvPr>
          <xdr:cNvSpPr txBox="1">
            <a:spLocks noChangeArrowheads="1"/>
          </xdr:cNvSpPr>
        </xdr:nvSpPr>
        <xdr:spPr bwMode="auto">
          <a:xfrm>
            <a:off x="972" y="12"/>
            <a:ext cx="166" cy="23"/>
          </a:xfrm>
          <a:prstGeom prst="rect">
            <a:avLst/>
          </a:prstGeom>
          <a:noFill/>
          <a:ln w="9525">
            <a:no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Changes in terrain roughness </a:t>
            </a:r>
          </a:p>
          <a:p>
            <a:pPr algn="l" rtl="0">
              <a:defRPr sz="1000"/>
            </a:pPr>
            <a:endParaRPr lang="en-US" sz="800" b="0" i="0" strike="noStrike">
              <a:solidFill>
                <a:srgbClr val="000000"/>
              </a:solidFill>
              <a:latin typeface="Arial"/>
              <a:cs typeface="Arial"/>
            </a:endParaRPr>
          </a:p>
        </xdr:txBody>
      </xdr:sp>
      <xdr:sp macro="" textlink="">
        <xdr:nvSpPr>
          <xdr:cNvPr id="13340" name="Line 28">
            <a:extLst>
              <a:ext uri="{FF2B5EF4-FFF2-40B4-BE49-F238E27FC236}">
                <a16:creationId xmlns:a16="http://schemas.microsoft.com/office/drawing/2014/main" id="{00000000-0008-0000-0000-00001C340000}"/>
              </a:ext>
            </a:extLst>
          </xdr:cNvPr>
          <xdr:cNvSpPr>
            <a:spLocks noChangeShapeType="1"/>
          </xdr:cNvSpPr>
        </xdr:nvSpPr>
        <xdr:spPr bwMode="auto">
          <a:xfrm flipH="1">
            <a:off x="933" y="25"/>
            <a:ext cx="40" cy="68"/>
          </a:xfrm>
          <a:prstGeom prst="line">
            <a:avLst/>
          </a:prstGeom>
          <a:noFill/>
          <a:ln w="6350">
            <a:solidFill>
              <a:srgbClr val="99CC00"/>
            </a:solidFill>
            <a:round/>
            <a:headEnd/>
            <a:tailEnd/>
          </a:ln>
          <a:effectLst>
            <a:outerShdw dist="35921" dir="2700000" algn="ctr" rotWithShape="0">
              <a:srgbClr val="000000"/>
            </a:outerShdw>
          </a:effectLst>
        </xdr:spPr>
        <xdr:txBody>
          <a:bodyPr/>
          <a:lstStyle/>
          <a:p>
            <a:endParaRPr lang="en-US"/>
          </a:p>
        </xdr:txBody>
      </xdr:sp>
      <xdr:sp macro="" textlink="">
        <xdr:nvSpPr>
          <xdr:cNvPr id="13341" name="Line 29">
            <a:extLst>
              <a:ext uri="{FF2B5EF4-FFF2-40B4-BE49-F238E27FC236}">
                <a16:creationId xmlns:a16="http://schemas.microsoft.com/office/drawing/2014/main" id="{00000000-0008-0000-0000-00001D340000}"/>
              </a:ext>
            </a:extLst>
          </xdr:cNvPr>
          <xdr:cNvSpPr>
            <a:spLocks noChangeShapeType="1"/>
          </xdr:cNvSpPr>
        </xdr:nvSpPr>
        <xdr:spPr bwMode="auto">
          <a:xfrm>
            <a:off x="975" y="25"/>
            <a:ext cx="26" cy="67"/>
          </a:xfrm>
          <a:prstGeom prst="line">
            <a:avLst/>
          </a:prstGeom>
          <a:noFill/>
          <a:ln w="6350">
            <a:solidFill>
              <a:srgbClr val="99CC00"/>
            </a:solidFill>
            <a:round/>
            <a:headEnd/>
            <a:tailEnd/>
          </a:ln>
          <a:effectLst>
            <a:outerShdw dist="35921" dir="2700000" algn="ctr" rotWithShape="0">
              <a:srgbClr val="000000"/>
            </a:outerShdw>
          </a:effectLst>
        </xdr:spPr>
        <xdr:txBody>
          <a:bodyPr/>
          <a:lstStyle/>
          <a:p>
            <a:endParaRPr lang="en-US"/>
          </a:p>
        </xdr:txBody>
      </xdr:sp>
      <xdr:sp macro="" textlink="">
        <xdr:nvSpPr>
          <xdr:cNvPr id="13346" name="Arc 34">
            <a:extLst>
              <a:ext uri="{FF2B5EF4-FFF2-40B4-BE49-F238E27FC236}">
                <a16:creationId xmlns:a16="http://schemas.microsoft.com/office/drawing/2014/main" id="{00000000-0008-0000-0000-000022340000}"/>
              </a:ext>
            </a:extLst>
          </xdr:cNvPr>
          <xdr:cNvSpPr>
            <a:spLocks/>
          </xdr:cNvSpPr>
        </xdr:nvSpPr>
        <xdr:spPr bwMode="auto">
          <a:xfrm rot="18611581" flipH="1">
            <a:off x="1061" y="75"/>
            <a:ext cx="35" cy="39"/>
          </a:xfrm>
          <a:custGeom>
            <a:avLst/>
            <a:gdLst>
              <a:gd name="G0" fmla="+- 0 0 0"/>
              <a:gd name="G1" fmla="+- 20167 0 0"/>
              <a:gd name="G2" fmla="+- 21600 0 0"/>
              <a:gd name="T0" fmla="*/ 7736 w 18022"/>
              <a:gd name="T1" fmla="*/ 0 h 20167"/>
              <a:gd name="T2" fmla="*/ 18022 w 18022"/>
              <a:gd name="T3" fmla="*/ 8260 h 20167"/>
              <a:gd name="T4" fmla="*/ 0 w 18022"/>
              <a:gd name="T5" fmla="*/ 20167 h 20167"/>
            </a:gdLst>
            <a:ahLst/>
            <a:cxnLst>
              <a:cxn ang="0">
                <a:pos x="T0" y="T1"/>
              </a:cxn>
              <a:cxn ang="0">
                <a:pos x="T2" y="T3"/>
              </a:cxn>
              <a:cxn ang="0">
                <a:pos x="T4" y="T5"/>
              </a:cxn>
            </a:cxnLst>
            <a:rect l="0" t="0" r="r" b="b"/>
            <a:pathLst>
              <a:path w="18022" h="20167" fill="none" extrusionOk="0">
                <a:moveTo>
                  <a:pt x="7736" y="-1"/>
                </a:moveTo>
                <a:cubicBezTo>
                  <a:pt x="11942" y="1613"/>
                  <a:pt x="15538" y="4501"/>
                  <a:pt x="18021" y="8260"/>
                </a:cubicBezTo>
              </a:path>
              <a:path w="18022" h="20167" stroke="0" extrusionOk="0">
                <a:moveTo>
                  <a:pt x="7736" y="-1"/>
                </a:moveTo>
                <a:cubicBezTo>
                  <a:pt x="11942" y="1613"/>
                  <a:pt x="15538" y="4501"/>
                  <a:pt x="18021" y="8260"/>
                </a:cubicBezTo>
                <a:lnTo>
                  <a:pt x="0" y="20167"/>
                </a:lnTo>
                <a:close/>
              </a:path>
            </a:pathLst>
          </a:custGeom>
          <a:noFill/>
          <a:ln w="6350">
            <a:solidFill>
              <a:srgbClr val="000000"/>
            </a:solidFill>
            <a:round/>
            <a:headEnd type="stealth" w="sm" len="med"/>
            <a:tailEnd type="stealth" w="sm" len="med"/>
          </a:ln>
          <a:effectLst>
            <a:outerShdw dist="35921" dir="2700000" algn="ctr" rotWithShape="0">
              <a:srgbClr val="000000"/>
            </a:outerShdw>
          </a:effectLst>
        </xdr:spPr>
        <xdr:txBody>
          <a:bodyPr/>
          <a:lstStyle/>
          <a:p>
            <a:endParaRPr lang="en-US"/>
          </a:p>
        </xdr:txBody>
      </xdr:sp>
      <xdr:sp macro="" textlink="">
        <xdr:nvSpPr>
          <xdr:cNvPr id="13347" name="Text Box 35">
            <a:extLst>
              <a:ext uri="{FF2B5EF4-FFF2-40B4-BE49-F238E27FC236}">
                <a16:creationId xmlns:a16="http://schemas.microsoft.com/office/drawing/2014/main" id="{00000000-0008-0000-0000-000023340000}"/>
              </a:ext>
            </a:extLst>
          </xdr:cNvPr>
          <xdr:cNvSpPr txBox="1">
            <a:spLocks noChangeArrowheads="1"/>
          </xdr:cNvSpPr>
        </xdr:nvSpPr>
        <xdr:spPr bwMode="auto">
          <a:xfrm>
            <a:off x="1032" y="82"/>
            <a:ext cx="26" cy="20"/>
          </a:xfrm>
          <a:prstGeom prst="rect">
            <a:avLst/>
          </a:prstGeom>
          <a:noFill/>
          <a:ln w="9525">
            <a:noFill/>
            <a:miter lim="800000"/>
            <a:headEnd/>
            <a:tailEnd/>
          </a:ln>
          <a:effectLst>
            <a:outerShdw dist="35921" dir="2700000" algn="ctr" rotWithShape="0">
              <a:srgbClr val="000000"/>
            </a:outerShdw>
          </a:effectLst>
        </xdr:spPr>
        <xdr:txBody>
          <a:bodyPr vertOverflow="clip" wrap="square" lIns="27432" tIns="18288" rIns="0" bIns="0" anchor="t" upright="1"/>
          <a:lstStyle/>
          <a:p>
            <a:pPr algn="l" rtl="0">
              <a:defRPr sz="1000"/>
            </a:pPr>
            <a:r>
              <a:rPr lang="en-US" sz="900" b="0" i="0" strike="noStrike">
                <a:solidFill>
                  <a:srgbClr val="000000"/>
                </a:solidFill>
                <a:latin typeface="Arial"/>
                <a:cs typeface="Arial"/>
              </a:rPr>
              <a:t>30º </a:t>
            </a:r>
          </a:p>
        </xdr:txBody>
      </xdr:sp>
      <xdr:grpSp>
        <xdr:nvGrpSpPr>
          <xdr:cNvPr id="14207" name="Group 59">
            <a:extLst>
              <a:ext uri="{FF2B5EF4-FFF2-40B4-BE49-F238E27FC236}">
                <a16:creationId xmlns:a16="http://schemas.microsoft.com/office/drawing/2014/main" id="{00000000-0008-0000-0000-00007F370000}"/>
              </a:ext>
            </a:extLst>
          </xdr:cNvPr>
          <xdr:cNvGrpSpPr>
            <a:grpSpLocks/>
          </xdr:cNvGrpSpPr>
        </xdr:nvGrpSpPr>
        <xdr:grpSpPr bwMode="auto">
          <a:xfrm>
            <a:off x="973" y="110"/>
            <a:ext cx="259" cy="64"/>
            <a:chOff x="973" y="110"/>
            <a:chExt cx="259" cy="64"/>
          </a:xfrm>
        </xdr:grpSpPr>
        <xdr:sp macro="" textlink="">
          <xdr:nvSpPr>
            <xdr:cNvPr id="13352" name="Text Box 40">
              <a:extLst>
                <a:ext uri="{FF2B5EF4-FFF2-40B4-BE49-F238E27FC236}">
                  <a16:creationId xmlns:a16="http://schemas.microsoft.com/office/drawing/2014/main" id="{00000000-0008-0000-0000-000028340000}"/>
                </a:ext>
              </a:extLst>
            </xdr:cNvPr>
            <xdr:cNvSpPr txBox="1">
              <a:spLocks noChangeArrowheads="1"/>
            </xdr:cNvSpPr>
          </xdr:nvSpPr>
          <xdr:spPr bwMode="auto">
            <a:xfrm>
              <a:off x="1053" y="113"/>
              <a:ext cx="179" cy="61"/>
            </a:xfrm>
            <a:prstGeom prst="rect">
              <a:avLst/>
            </a:prstGeom>
            <a:noFill/>
            <a:ln w="9525">
              <a:noFill/>
              <a:miter lim="800000"/>
              <a:headEnd/>
              <a:tailEnd/>
            </a:ln>
            <a:effectLst>
              <a:outerShdw dist="35921" dir="2700000" algn="ctr" rotWithShape="0">
                <a:srgbClr val="000000"/>
              </a:outerShdw>
            </a:effectLst>
          </xdr:spPr>
          <xdr:txBody>
            <a:bodyPr wrap="none" lIns="18288" tIns="22860" rIns="0" bIns="0" anchor="t" upright="1">
              <a:spAutoFit/>
            </a:bodyPr>
            <a:lstStyle/>
            <a:p>
              <a:pPr algn="l" rtl="0">
                <a:defRPr sz="1000"/>
              </a:pPr>
              <a:r>
                <a:rPr lang="en-US" sz="800" b="0" i="0" strike="noStrike">
                  <a:solidFill>
                    <a:srgbClr val="000000"/>
                  </a:solidFill>
                  <a:latin typeface="Arial"/>
                  <a:cs typeface="Arial"/>
                </a:rPr>
                <a:t>Terrain in patch with  z</a:t>
              </a:r>
              <a:r>
                <a:rPr lang="en-US" sz="800" b="0" i="0" strike="noStrike" baseline="-25000">
                  <a:solidFill>
                    <a:srgbClr val="000000"/>
                  </a:solidFill>
                  <a:latin typeface="Arial"/>
                  <a:cs typeface="Arial"/>
                </a:rPr>
                <a:t>0</a:t>
              </a:r>
              <a:r>
                <a:rPr lang="en-US" sz="800" b="0" i="0" strike="noStrike">
                  <a:solidFill>
                    <a:srgbClr val="000000"/>
                  </a:solidFill>
                  <a:latin typeface="Arial"/>
                  <a:cs typeface="Arial"/>
                </a:rPr>
                <a:t> varying in </a:t>
              </a:r>
            </a:p>
            <a:p>
              <a:pPr algn="l" rtl="0">
                <a:defRPr sz="1000"/>
              </a:pPr>
              <a:r>
                <a:rPr lang="en-US" sz="800" b="0" i="0" strike="noStrike">
                  <a:solidFill>
                    <a:srgbClr val="000000"/>
                  </a:solidFill>
                  <a:latin typeface="Arial"/>
                  <a:cs typeface="Arial"/>
                </a:rPr>
                <a:t>across-wind direction.</a:t>
              </a:r>
            </a:p>
            <a:p>
              <a:pPr algn="l" rtl="0">
                <a:defRPr sz="1000"/>
              </a:pPr>
              <a:r>
                <a:rPr lang="en-US" sz="800" b="0" i="0" strike="noStrike">
                  <a:solidFill>
                    <a:srgbClr val="000000"/>
                  </a:solidFill>
                  <a:latin typeface="Arial"/>
                  <a:cs typeface="Arial"/>
                </a:rPr>
                <a:t>All terrain in patch affects conditions </a:t>
              </a:r>
            </a:p>
            <a:p>
              <a:pPr algn="l" rtl="0">
                <a:defRPr sz="1000"/>
              </a:pPr>
              <a:r>
                <a:rPr lang="en-US" sz="800" b="0" i="0" strike="noStrike">
                  <a:solidFill>
                    <a:srgbClr val="000000"/>
                  </a:solidFill>
                  <a:latin typeface="Arial"/>
                  <a:cs typeface="Arial"/>
                </a:rPr>
                <a:t>at site.</a:t>
              </a:r>
            </a:p>
          </xdr:txBody>
        </xdr:sp>
        <xdr:sp macro="" textlink="">
          <xdr:nvSpPr>
            <xdr:cNvPr id="13353" name="Line 41">
              <a:extLst>
                <a:ext uri="{FF2B5EF4-FFF2-40B4-BE49-F238E27FC236}">
                  <a16:creationId xmlns:a16="http://schemas.microsoft.com/office/drawing/2014/main" id="{00000000-0008-0000-0000-000029340000}"/>
                </a:ext>
              </a:extLst>
            </xdr:cNvPr>
            <xdr:cNvSpPr>
              <a:spLocks noChangeShapeType="1"/>
            </xdr:cNvSpPr>
          </xdr:nvSpPr>
          <xdr:spPr bwMode="auto">
            <a:xfrm>
              <a:off x="973" y="110"/>
              <a:ext cx="79" cy="19"/>
            </a:xfrm>
            <a:prstGeom prst="line">
              <a:avLst/>
            </a:prstGeom>
            <a:noFill/>
            <a:ln w="6350">
              <a:solidFill>
                <a:srgbClr val="99CC00"/>
              </a:solidFill>
              <a:round/>
              <a:headEnd/>
              <a:tailEnd/>
            </a:ln>
            <a:effectLst>
              <a:outerShdw dist="35921" dir="2700000" algn="ctr" rotWithShape="0">
                <a:srgbClr val="000000"/>
              </a:outerShdw>
            </a:effectLst>
          </xdr:spPr>
          <xdr:txBody>
            <a:bodyPr/>
            <a:lstStyle/>
            <a:p>
              <a:endParaRPr lang="en-US"/>
            </a:p>
          </xdr:txBody>
        </xdr:sp>
      </xdr:grpSp>
      <xdr:sp macro="" textlink="">
        <xdr:nvSpPr>
          <xdr:cNvPr id="13357" name="Line 45">
            <a:extLst>
              <a:ext uri="{FF2B5EF4-FFF2-40B4-BE49-F238E27FC236}">
                <a16:creationId xmlns:a16="http://schemas.microsoft.com/office/drawing/2014/main" id="{00000000-0008-0000-0000-00002D340000}"/>
              </a:ext>
            </a:extLst>
          </xdr:cNvPr>
          <xdr:cNvSpPr>
            <a:spLocks noChangeShapeType="1"/>
          </xdr:cNvSpPr>
        </xdr:nvSpPr>
        <xdr:spPr bwMode="auto">
          <a:xfrm>
            <a:off x="888" y="90"/>
            <a:ext cx="31" cy="0"/>
          </a:xfrm>
          <a:prstGeom prst="line">
            <a:avLst/>
          </a:prstGeom>
          <a:noFill/>
          <a:ln w="9525">
            <a:solidFill>
              <a:srgbClr val="000000"/>
            </a:solidFill>
            <a:round/>
            <a:headEnd/>
            <a:tailEnd type="stealth" w="sm" len="med"/>
          </a:ln>
          <a:effectLst>
            <a:outerShdw dist="35921" dir="2700000" algn="ctr" rotWithShape="0">
              <a:srgbClr val="000000"/>
            </a:outerShdw>
          </a:effectLst>
        </xdr:spPr>
        <xdr:txBody>
          <a:bodyPr/>
          <a:lstStyle/>
          <a:p>
            <a:endParaRPr lang="en-US"/>
          </a:p>
        </xdr:txBody>
      </xdr:sp>
      <xdr:sp macro="" textlink="">
        <xdr:nvSpPr>
          <xdr:cNvPr id="13370" name="Text Box 58">
            <a:extLst>
              <a:ext uri="{FF2B5EF4-FFF2-40B4-BE49-F238E27FC236}">
                <a16:creationId xmlns:a16="http://schemas.microsoft.com/office/drawing/2014/main" id="{00000000-0008-0000-0000-00003A340000}"/>
              </a:ext>
            </a:extLst>
          </xdr:cNvPr>
          <xdr:cNvSpPr txBox="1">
            <a:spLocks noChangeArrowheads="1"/>
          </xdr:cNvSpPr>
        </xdr:nvSpPr>
        <xdr:spPr bwMode="auto">
          <a:xfrm>
            <a:off x="895" y="101"/>
            <a:ext cx="19" cy="19"/>
          </a:xfrm>
          <a:prstGeom prst="rect">
            <a:avLst/>
          </a:prstGeom>
          <a:solidFill>
            <a:srgbClr val="CCFFFF"/>
          </a:solidFill>
          <a:ln w="9525">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V</a:t>
            </a:r>
          </a:p>
        </xdr:txBody>
      </xdr:sp>
    </xdr:grpSp>
    <xdr:clientData/>
  </xdr:twoCellAnchor>
  <xdr:twoCellAnchor>
    <xdr:from>
      <xdr:col>17</xdr:col>
      <xdr:colOff>9525</xdr:colOff>
      <xdr:row>10</xdr:row>
      <xdr:rowOff>0</xdr:rowOff>
    </xdr:from>
    <xdr:to>
      <xdr:col>26</xdr:col>
      <xdr:colOff>190500</xdr:colOff>
      <xdr:row>32</xdr:row>
      <xdr:rowOff>57150</xdr:rowOff>
    </xdr:to>
    <xdr:graphicFrame macro="">
      <xdr:nvGraphicFramePr>
        <xdr:cNvPr id="14194" name="Chart 63">
          <a:extLst>
            <a:ext uri="{FF2B5EF4-FFF2-40B4-BE49-F238E27FC236}">
              <a16:creationId xmlns:a16="http://schemas.microsoft.com/office/drawing/2014/main" id="{00000000-0008-0000-0000-0000723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104775</xdr:colOff>
          <xdr:row>12</xdr:row>
          <xdr:rowOff>38100</xdr:rowOff>
        </xdr:from>
        <xdr:to>
          <xdr:col>16</xdr:col>
          <xdr:colOff>542925</xdr:colOff>
          <xdr:row>13</xdr:row>
          <xdr:rowOff>28575</xdr:rowOff>
        </xdr:to>
        <xdr:sp macro="" textlink="">
          <xdr:nvSpPr>
            <xdr:cNvPr id="13363" name="Button 51" hidden="1">
              <a:extLst>
                <a:ext uri="{63B3BB69-23CF-44E3-9099-C40C66FF867C}">
                  <a14:compatExt spid="_x0000_s13363"/>
                </a:ext>
                <a:ext uri="{FF2B5EF4-FFF2-40B4-BE49-F238E27FC236}">
                  <a16:creationId xmlns:a16="http://schemas.microsoft.com/office/drawing/2014/main" id="{00000000-0008-0000-0000-0000333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RUN</a:t>
              </a:r>
              <a:r>
                <a:rPr lang="en-US" sz="1000" b="0" i="0" u="none" strike="noStrike" baseline="0">
                  <a:solidFill>
                    <a:srgbClr val="000000"/>
                  </a:solidFill>
                  <a:latin typeface="Arial"/>
                  <a:cs typeface="Arial"/>
                </a:rPr>
                <a:t> </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0.33322</cdr:x>
      <cdr:y>0.20534</cdr:y>
    </cdr:from>
    <cdr:to>
      <cdr:x>0.37269</cdr:x>
      <cdr:y>0.2678</cdr:y>
    </cdr:to>
    <cdr:sp macro="" textlink="">
      <cdr:nvSpPr>
        <cdr:cNvPr id="22529" name="Text Box 1025">
          <a:extLst xmlns:a="http://schemas.openxmlformats.org/drawingml/2006/main">
            <a:ext uri="{FF2B5EF4-FFF2-40B4-BE49-F238E27FC236}">
              <a16:creationId xmlns:a16="http://schemas.microsoft.com/office/drawing/2014/main" id="{D6F796BA-99E8-4854-B901-8BE18356550B}"/>
            </a:ext>
          </a:extLst>
        </cdr:cNvPr>
        <cdr:cNvSpPr txBox="1">
          <a:spLocks xmlns:a="http://schemas.openxmlformats.org/drawingml/2006/main" noChangeArrowheads="1"/>
        </cdr:cNvSpPr>
      </cdr:nvSpPr>
      <cdr:spPr bwMode="auto">
        <a:xfrm xmlns:a="http://schemas.openxmlformats.org/drawingml/2006/main">
          <a:off x="1737627" y="575954"/>
          <a:ext cx="205826" cy="175176"/>
        </a:xfrm>
        <a:prstGeom xmlns:a="http://schemas.openxmlformats.org/drawingml/2006/main" prst="rect">
          <a:avLst/>
        </a:prstGeom>
        <a:noFill xmlns:a="http://schemas.openxmlformats.org/drawingml/2006/main"/>
        <a:ln xmlns:a="http://schemas.openxmlformats.org/drawingml/2006/main" w="9525">
          <a:noFill/>
          <a:miter lim="800000"/>
          <a:headEnd/>
          <a:tailEnd/>
        </a:ln>
        <a:effectLst xmlns:a="http://schemas.openxmlformats.org/drawingml/2006/main">
          <a:outerShdw dist="35921" dir="2700000" algn="ctr" rotWithShape="0">
            <a:srgbClr val="000000"/>
          </a:outerShdw>
        </a:effectLst>
      </cdr:spPr>
      <cdr:txBody>
        <a:bodyPr xmlns:a="http://schemas.openxmlformats.org/drawingml/2006/main" wrap="none" lIns="27432" tIns="27432" rIns="0" bIns="0" anchor="t" upright="1">
          <a:spAutoFit/>
        </a:bodyPr>
        <a:lstStyle xmlns:a="http://schemas.openxmlformats.org/drawingml/2006/main"/>
        <a:p xmlns:a="http://schemas.openxmlformats.org/drawingml/2006/main">
          <a:pPr algn="l" rtl="0">
            <a:defRPr sz="1000"/>
          </a:pPr>
          <a:r>
            <a:rPr lang="en-US" sz="1000" b="0" i="1" strike="noStrike">
              <a:solidFill>
                <a:srgbClr val="0000FF"/>
              </a:solidFill>
              <a:latin typeface="Arial"/>
              <a:cs typeface="Arial"/>
            </a:rPr>
            <a:t>z</a:t>
          </a:r>
          <a:r>
            <a:rPr lang="en-US" sz="1000" b="0" i="1" strike="noStrike" baseline="-25000">
              <a:solidFill>
                <a:srgbClr val="0000FF"/>
              </a:solidFill>
              <a:latin typeface="Arial"/>
              <a:cs typeface="Arial"/>
            </a:rPr>
            <a:t>AB</a:t>
          </a:r>
        </a:p>
      </cdr:txBody>
    </cdr:sp>
  </cdr:relSizeAnchor>
</c:userShapes>
</file>

<file path=xl/drawings/drawing3.xml><?xml version="1.0" encoding="utf-8"?>
<c:userShapes xmlns:c="http://schemas.openxmlformats.org/drawingml/2006/chart">
  <cdr:relSizeAnchor xmlns:cdr="http://schemas.openxmlformats.org/drawingml/2006/chartDrawing">
    <cdr:from>
      <cdr:x>0.56377</cdr:x>
      <cdr:y>0.18021</cdr:y>
    </cdr:from>
    <cdr:to>
      <cdr:x>0.60021</cdr:x>
      <cdr:y>0.23065</cdr:y>
    </cdr:to>
    <cdr:sp macro="" textlink="">
      <cdr:nvSpPr>
        <cdr:cNvPr id="23554" name="Text Box 2">
          <a:extLst xmlns:a="http://schemas.openxmlformats.org/drawingml/2006/main">
            <a:ext uri="{FF2B5EF4-FFF2-40B4-BE49-F238E27FC236}">
              <a16:creationId xmlns:a16="http://schemas.microsoft.com/office/drawing/2014/main" id="{1FCF9556-CB7F-47CE-B329-446C914BED2B}"/>
            </a:ext>
          </a:extLst>
        </cdr:cNvPr>
        <cdr:cNvSpPr txBox="1">
          <a:spLocks xmlns:a="http://schemas.openxmlformats.org/drawingml/2006/main" noChangeArrowheads="1"/>
        </cdr:cNvSpPr>
      </cdr:nvSpPr>
      <cdr:spPr bwMode="auto">
        <a:xfrm xmlns:a="http://schemas.openxmlformats.org/drawingml/2006/main">
          <a:off x="3934066" y="575178"/>
          <a:ext cx="266380" cy="198131"/>
        </a:xfrm>
        <a:prstGeom xmlns:a="http://schemas.openxmlformats.org/drawingml/2006/main" prst="rect">
          <a:avLst/>
        </a:prstGeom>
        <a:noFill xmlns:a="http://schemas.openxmlformats.org/drawingml/2006/main"/>
        <a:ln xmlns:a="http://schemas.openxmlformats.org/drawingml/2006/main" w="9525">
          <a:noFill/>
          <a:miter lim="800000"/>
          <a:headEnd/>
          <a:tailEnd/>
        </a:ln>
        <a:effectLst xmlns:a="http://schemas.openxmlformats.org/drawingml/2006/main">
          <a:outerShdw dist="35921" dir="2700000" algn="ctr" rotWithShape="0">
            <a:srgbClr val="000000"/>
          </a:outerShdw>
        </a:effectLst>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strike="noStrike">
              <a:solidFill>
                <a:srgbClr val="0000FF"/>
              </a:solidFill>
              <a:latin typeface="Arial"/>
              <a:cs typeface="Arial"/>
            </a:rPr>
            <a:t>z</a:t>
          </a:r>
          <a:r>
            <a:rPr lang="en-US" sz="1000" b="0" i="0" strike="noStrike" baseline="-25000">
              <a:solidFill>
                <a:srgbClr val="0000FF"/>
              </a:solidFill>
              <a:latin typeface="Arial"/>
              <a:cs typeface="Arial"/>
            </a:rPr>
            <a:t>CD</a:t>
          </a:r>
        </a:p>
      </cdr:txBody>
    </cdr:sp>
  </cdr:relSizeAnchor>
</c:userShapes>
</file>

<file path=xl/drawings/drawing4.xml><?xml version="1.0" encoding="utf-8"?>
<xdr:wsDr xmlns:xdr="http://schemas.openxmlformats.org/drawingml/2006/spreadsheetDrawing" xmlns:a="http://schemas.openxmlformats.org/drawingml/2006/main">
  <xdr:twoCellAnchor>
    <xdr:from>
      <xdr:col>23</xdr:col>
      <xdr:colOff>470535</xdr:colOff>
      <xdr:row>1</xdr:row>
      <xdr:rowOff>45720</xdr:rowOff>
    </xdr:from>
    <xdr:to>
      <xdr:col>32</xdr:col>
      <xdr:colOff>569595</xdr:colOff>
      <xdr:row>3</xdr:row>
      <xdr:rowOff>89698</xdr:rowOff>
    </xdr:to>
    <xdr:sp macro="" textlink="">
      <xdr:nvSpPr>
        <xdr:cNvPr id="1069" name="Text 45">
          <a:extLst>
            <a:ext uri="{FF2B5EF4-FFF2-40B4-BE49-F238E27FC236}">
              <a16:creationId xmlns:a16="http://schemas.microsoft.com/office/drawing/2014/main" id="{00000000-0008-0000-0100-00002D040000}"/>
            </a:ext>
          </a:extLst>
        </xdr:cNvPr>
        <xdr:cNvSpPr txBox="1">
          <a:spLocks noChangeArrowheads="1"/>
        </xdr:cNvSpPr>
      </xdr:nvSpPr>
      <xdr:spPr bwMode="auto">
        <a:xfrm>
          <a:off x="16398240" y="213360"/>
          <a:ext cx="5722620" cy="41910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000" b="1" i="0" strike="noStrike">
              <a:solidFill>
                <a:srgbClr val="000000"/>
              </a:solidFill>
              <a:latin typeface="Arial"/>
              <a:cs typeface="Arial"/>
            </a:rPr>
            <a:t>REFERENCE WIND SPEED AND CORRESPONDING TERRAIN</a:t>
          </a:r>
        </a:p>
        <a:p>
          <a:pPr algn="l" rtl="0">
            <a:defRPr sz="1000"/>
          </a:pPr>
          <a:r>
            <a:rPr lang="en-US" sz="1000" b="1" i="0" strike="noStrike">
              <a:solidFill>
                <a:srgbClr val="000000"/>
              </a:solidFill>
              <a:latin typeface="Arial"/>
              <a:cs typeface="Arial"/>
            </a:rPr>
            <a:t>LOCATION/NAME: EXAMPLE</a:t>
          </a:r>
        </a:p>
      </xdr:txBody>
    </xdr:sp>
    <xdr:clientData/>
  </xdr:twoCellAnchor>
  <xdr:twoCellAnchor>
    <xdr:from>
      <xdr:col>2</xdr:col>
      <xdr:colOff>9525</xdr:colOff>
      <xdr:row>13</xdr:row>
      <xdr:rowOff>19050</xdr:rowOff>
    </xdr:from>
    <xdr:to>
      <xdr:col>9</xdr:col>
      <xdr:colOff>590550</xdr:colOff>
      <xdr:row>17</xdr:row>
      <xdr:rowOff>142875</xdr:rowOff>
    </xdr:to>
    <xdr:grpSp>
      <xdr:nvGrpSpPr>
        <xdr:cNvPr id="2141619" name="Group 128">
          <a:extLst>
            <a:ext uri="{FF2B5EF4-FFF2-40B4-BE49-F238E27FC236}">
              <a16:creationId xmlns:a16="http://schemas.microsoft.com/office/drawing/2014/main" id="{00000000-0008-0000-0100-0000B3AD2000}"/>
            </a:ext>
          </a:extLst>
        </xdr:cNvPr>
        <xdr:cNvGrpSpPr>
          <a:grpSpLocks/>
        </xdr:cNvGrpSpPr>
      </xdr:nvGrpSpPr>
      <xdr:grpSpPr bwMode="auto">
        <a:xfrm>
          <a:off x="2724150" y="2162175"/>
          <a:ext cx="4848225" cy="771525"/>
          <a:chOff x="257" y="227"/>
          <a:chExt cx="509" cy="81"/>
        </a:xfrm>
      </xdr:grpSpPr>
      <xdr:grpSp>
        <xdr:nvGrpSpPr>
          <xdr:cNvPr id="2141650" name="Group 127">
            <a:extLst>
              <a:ext uri="{FF2B5EF4-FFF2-40B4-BE49-F238E27FC236}">
                <a16:creationId xmlns:a16="http://schemas.microsoft.com/office/drawing/2014/main" id="{00000000-0008-0000-0100-0000D2AD2000}"/>
              </a:ext>
            </a:extLst>
          </xdr:cNvPr>
          <xdr:cNvGrpSpPr>
            <a:grpSpLocks/>
          </xdr:cNvGrpSpPr>
        </xdr:nvGrpSpPr>
        <xdr:grpSpPr bwMode="auto">
          <a:xfrm>
            <a:off x="257" y="227"/>
            <a:ext cx="509" cy="81"/>
            <a:chOff x="257" y="227"/>
            <a:chExt cx="509" cy="81"/>
          </a:xfrm>
        </xdr:grpSpPr>
        <xdr:grpSp>
          <xdr:nvGrpSpPr>
            <xdr:cNvPr id="2141652" name="Group 126">
              <a:extLst>
                <a:ext uri="{FF2B5EF4-FFF2-40B4-BE49-F238E27FC236}">
                  <a16:creationId xmlns:a16="http://schemas.microsoft.com/office/drawing/2014/main" id="{00000000-0008-0000-0100-0000D4AD2000}"/>
                </a:ext>
              </a:extLst>
            </xdr:cNvPr>
            <xdr:cNvGrpSpPr>
              <a:grpSpLocks/>
            </xdr:cNvGrpSpPr>
          </xdr:nvGrpSpPr>
          <xdr:grpSpPr bwMode="auto">
            <a:xfrm>
              <a:off x="257" y="227"/>
              <a:ext cx="509" cy="81"/>
              <a:chOff x="257" y="227"/>
              <a:chExt cx="509" cy="81"/>
            </a:xfrm>
          </xdr:grpSpPr>
          <xdr:sp macro="" textlink="">
            <xdr:nvSpPr>
              <xdr:cNvPr id="2141663" name="Rectangle 96">
                <a:extLst>
                  <a:ext uri="{FF2B5EF4-FFF2-40B4-BE49-F238E27FC236}">
                    <a16:creationId xmlns:a16="http://schemas.microsoft.com/office/drawing/2014/main" id="{00000000-0008-0000-0100-0000DFAD2000}"/>
                  </a:ext>
                </a:extLst>
              </xdr:cNvPr>
              <xdr:cNvSpPr>
                <a:spLocks noChangeArrowheads="1"/>
              </xdr:cNvSpPr>
            </xdr:nvSpPr>
            <xdr:spPr bwMode="auto">
              <a:xfrm>
                <a:off x="257" y="227"/>
                <a:ext cx="509" cy="81"/>
              </a:xfrm>
              <a:prstGeom prst="rect">
                <a:avLst/>
              </a:prstGeom>
              <a:solidFill>
                <a:srgbClr val="FFFFCC"/>
              </a:solidFill>
              <a:ln w="9525">
                <a:solidFill>
                  <a:srgbClr val="000000"/>
                </a:solidFill>
                <a:miter lim="800000"/>
                <a:headEnd/>
                <a:tailEnd/>
              </a:ln>
            </xdr:spPr>
          </xdr:sp>
          <xdr:grpSp>
            <xdr:nvGrpSpPr>
              <xdr:cNvPr id="2141664" name="Group 97">
                <a:extLst>
                  <a:ext uri="{FF2B5EF4-FFF2-40B4-BE49-F238E27FC236}">
                    <a16:creationId xmlns:a16="http://schemas.microsoft.com/office/drawing/2014/main" id="{00000000-0008-0000-0100-0000E0AD2000}"/>
                  </a:ext>
                </a:extLst>
              </xdr:cNvPr>
              <xdr:cNvGrpSpPr>
                <a:grpSpLocks/>
              </xdr:cNvGrpSpPr>
            </xdr:nvGrpSpPr>
            <xdr:grpSpPr bwMode="auto">
              <a:xfrm>
                <a:off x="264" y="247"/>
                <a:ext cx="494" cy="51"/>
                <a:chOff x="298" y="272"/>
                <a:chExt cx="494" cy="51"/>
              </a:xfrm>
            </xdr:grpSpPr>
            <xdr:sp macro="" textlink="">
              <xdr:nvSpPr>
                <xdr:cNvPr id="2141669" name="Line 98">
                  <a:extLst>
                    <a:ext uri="{FF2B5EF4-FFF2-40B4-BE49-F238E27FC236}">
                      <a16:creationId xmlns:a16="http://schemas.microsoft.com/office/drawing/2014/main" id="{00000000-0008-0000-0100-0000E5AD2000}"/>
                    </a:ext>
                  </a:extLst>
                </xdr:cNvPr>
                <xdr:cNvSpPr>
                  <a:spLocks noChangeShapeType="1"/>
                </xdr:cNvSpPr>
              </xdr:nvSpPr>
              <xdr:spPr bwMode="auto">
                <a:xfrm>
                  <a:off x="750" y="272"/>
                  <a:ext cx="0" cy="29"/>
                </a:xfrm>
                <a:prstGeom prst="line">
                  <a:avLst/>
                </a:prstGeom>
                <a:noFill/>
                <a:ln w="9525">
                  <a:solidFill>
                    <a:srgbClr val="000000"/>
                  </a:solidFill>
                  <a:round/>
                  <a:headEnd/>
                  <a:tailEnd/>
                </a:ln>
              </xdr:spPr>
            </xdr:sp>
            <xdr:sp macro="" textlink="">
              <xdr:nvSpPr>
                <xdr:cNvPr id="2141670" name="Line 99">
                  <a:extLst>
                    <a:ext uri="{FF2B5EF4-FFF2-40B4-BE49-F238E27FC236}">
                      <a16:creationId xmlns:a16="http://schemas.microsoft.com/office/drawing/2014/main" id="{00000000-0008-0000-0100-0000E6AD2000}"/>
                    </a:ext>
                  </a:extLst>
                </xdr:cNvPr>
                <xdr:cNvSpPr>
                  <a:spLocks noChangeShapeType="1"/>
                </xdr:cNvSpPr>
              </xdr:nvSpPr>
              <xdr:spPr bwMode="auto">
                <a:xfrm>
                  <a:off x="750" y="304"/>
                  <a:ext cx="0" cy="19"/>
                </a:xfrm>
                <a:prstGeom prst="line">
                  <a:avLst/>
                </a:prstGeom>
                <a:noFill/>
                <a:ln w="9525">
                  <a:solidFill>
                    <a:srgbClr val="000000"/>
                  </a:solidFill>
                  <a:round/>
                  <a:headEnd/>
                  <a:tailEnd/>
                </a:ln>
              </xdr:spPr>
            </xdr:sp>
            <xdr:grpSp>
              <xdr:nvGrpSpPr>
                <xdr:cNvPr id="2141671" name="Group 100">
                  <a:extLst>
                    <a:ext uri="{FF2B5EF4-FFF2-40B4-BE49-F238E27FC236}">
                      <a16:creationId xmlns:a16="http://schemas.microsoft.com/office/drawing/2014/main" id="{00000000-0008-0000-0100-0000E7AD2000}"/>
                    </a:ext>
                  </a:extLst>
                </xdr:cNvPr>
                <xdr:cNvGrpSpPr>
                  <a:grpSpLocks/>
                </xdr:cNvGrpSpPr>
              </xdr:nvGrpSpPr>
              <xdr:grpSpPr bwMode="auto">
                <a:xfrm>
                  <a:off x="413" y="303"/>
                  <a:ext cx="379" cy="0"/>
                  <a:chOff x="-191" y="-26502"/>
                  <a:chExt cx="19708" cy="0"/>
                </a:xfrm>
              </xdr:grpSpPr>
              <xdr:sp macro="" textlink="">
                <xdr:nvSpPr>
                  <xdr:cNvPr id="2141676" name="Line 101">
                    <a:extLst>
                      <a:ext uri="{FF2B5EF4-FFF2-40B4-BE49-F238E27FC236}">
                        <a16:creationId xmlns:a16="http://schemas.microsoft.com/office/drawing/2014/main" id="{00000000-0008-0000-0100-0000ECAD2000}"/>
                      </a:ext>
                    </a:extLst>
                  </xdr:cNvPr>
                  <xdr:cNvSpPr>
                    <a:spLocks noChangeShapeType="1"/>
                  </xdr:cNvSpPr>
                </xdr:nvSpPr>
                <xdr:spPr bwMode="auto">
                  <a:xfrm>
                    <a:off x="-191" y="-26502"/>
                    <a:ext cx="5876" cy="0"/>
                  </a:xfrm>
                  <a:prstGeom prst="line">
                    <a:avLst/>
                  </a:prstGeom>
                  <a:noFill/>
                  <a:ln w="24765">
                    <a:solidFill>
                      <a:srgbClr val="339966"/>
                    </a:solidFill>
                    <a:round/>
                    <a:headEnd/>
                    <a:tailEnd/>
                  </a:ln>
                </xdr:spPr>
              </xdr:sp>
              <xdr:sp macro="" textlink="">
                <xdr:nvSpPr>
                  <xdr:cNvPr id="2141677" name="Line 102">
                    <a:extLst>
                      <a:ext uri="{FF2B5EF4-FFF2-40B4-BE49-F238E27FC236}">
                        <a16:creationId xmlns:a16="http://schemas.microsoft.com/office/drawing/2014/main" id="{00000000-0008-0000-0100-0000EDAD2000}"/>
                      </a:ext>
                    </a:extLst>
                  </xdr:cNvPr>
                  <xdr:cNvSpPr>
                    <a:spLocks noChangeShapeType="1"/>
                  </xdr:cNvSpPr>
                </xdr:nvSpPr>
                <xdr:spPr bwMode="auto">
                  <a:xfrm>
                    <a:off x="5737" y="-26502"/>
                    <a:ext cx="5564" cy="0"/>
                  </a:xfrm>
                  <a:prstGeom prst="line">
                    <a:avLst/>
                  </a:prstGeom>
                  <a:noFill/>
                  <a:ln w="9525">
                    <a:solidFill>
                      <a:srgbClr val="339966"/>
                    </a:solidFill>
                    <a:round/>
                    <a:headEnd/>
                    <a:tailEnd/>
                  </a:ln>
                </xdr:spPr>
              </xdr:sp>
              <xdr:sp macro="" textlink="">
                <xdr:nvSpPr>
                  <xdr:cNvPr id="2141678" name="Line 103">
                    <a:extLst>
                      <a:ext uri="{FF2B5EF4-FFF2-40B4-BE49-F238E27FC236}">
                        <a16:creationId xmlns:a16="http://schemas.microsoft.com/office/drawing/2014/main" id="{00000000-0008-0000-0100-0000EEAD2000}"/>
                      </a:ext>
                    </a:extLst>
                  </xdr:cNvPr>
                  <xdr:cNvSpPr>
                    <a:spLocks noChangeShapeType="1"/>
                  </xdr:cNvSpPr>
                </xdr:nvSpPr>
                <xdr:spPr bwMode="auto">
                  <a:xfrm>
                    <a:off x="11301" y="-26502"/>
                    <a:ext cx="8216" cy="0"/>
                  </a:xfrm>
                  <a:prstGeom prst="line">
                    <a:avLst/>
                  </a:prstGeom>
                  <a:noFill/>
                  <a:ln w="24765">
                    <a:solidFill>
                      <a:srgbClr val="339966"/>
                    </a:solidFill>
                    <a:round/>
                    <a:headEnd/>
                    <a:tailEnd/>
                  </a:ln>
                </xdr:spPr>
              </xdr:sp>
            </xdr:grpSp>
            <xdr:sp macro="" textlink="">
              <xdr:nvSpPr>
                <xdr:cNvPr id="2141672" name="Line 104">
                  <a:extLst>
                    <a:ext uri="{FF2B5EF4-FFF2-40B4-BE49-F238E27FC236}">
                      <a16:creationId xmlns:a16="http://schemas.microsoft.com/office/drawing/2014/main" id="{00000000-0008-0000-0100-0000E8AD2000}"/>
                    </a:ext>
                  </a:extLst>
                </xdr:cNvPr>
                <xdr:cNvSpPr>
                  <a:spLocks noChangeShapeType="1"/>
                </xdr:cNvSpPr>
              </xdr:nvSpPr>
              <xdr:spPr bwMode="auto">
                <a:xfrm>
                  <a:off x="635" y="313"/>
                  <a:ext cx="115" cy="0"/>
                </a:xfrm>
                <a:prstGeom prst="line">
                  <a:avLst/>
                </a:prstGeom>
                <a:noFill/>
                <a:ln w="9525">
                  <a:solidFill>
                    <a:srgbClr val="000000"/>
                  </a:solidFill>
                  <a:round/>
                  <a:headEnd type="triangle" w="sm" len="med"/>
                  <a:tailEnd type="triangle" w="sm" len="med"/>
                </a:ln>
              </xdr:spPr>
            </xdr:sp>
            <xdr:sp macro="" textlink="">
              <xdr:nvSpPr>
                <xdr:cNvPr id="2141673" name="Line 105">
                  <a:extLst>
                    <a:ext uri="{FF2B5EF4-FFF2-40B4-BE49-F238E27FC236}">
                      <a16:creationId xmlns:a16="http://schemas.microsoft.com/office/drawing/2014/main" id="{00000000-0008-0000-0100-0000E9AD2000}"/>
                    </a:ext>
                  </a:extLst>
                </xdr:cNvPr>
                <xdr:cNvSpPr>
                  <a:spLocks noChangeShapeType="1"/>
                </xdr:cNvSpPr>
              </xdr:nvSpPr>
              <xdr:spPr bwMode="auto">
                <a:xfrm>
                  <a:off x="524" y="313"/>
                  <a:ext cx="109" cy="0"/>
                </a:xfrm>
                <a:prstGeom prst="line">
                  <a:avLst/>
                </a:prstGeom>
                <a:noFill/>
                <a:ln w="9525">
                  <a:solidFill>
                    <a:srgbClr val="000000"/>
                  </a:solidFill>
                  <a:round/>
                  <a:headEnd type="triangle" w="sm" len="med"/>
                  <a:tailEnd type="triangle" w="sm" len="med"/>
                </a:ln>
              </xdr:spPr>
            </xdr:sp>
            <xdr:sp macro="" textlink="">
              <xdr:nvSpPr>
                <xdr:cNvPr id="2141674" name="Line 106">
                  <a:extLst>
                    <a:ext uri="{FF2B5EF4-FFF2-40B4-BE49-F238E27FC236}">
                      <a16:creationId xmlns:a16="http://schemas.microsoft.com/office/drawing/2014/main" id="{00000000-0008-0000-0100-0000EAAD2000}"/>
                    </a:ext>
                  </a:extLst>
                </xdr:cNvPr>
                <xdr:cNvSpPr>
                  <a:spLocks noChangeShapeType="1"/>
                </xdr:cNvSpPr>
              </xdr:nvSpPr>
              <xdr:spPr bwMode="auto">
                <a:xfrm flipH="1">
                  <a:off x="298" y="304"/>
                  <a:ext cx="118" cy="0"/>
                </a:xfrm>
                <a:prstGeom prst="line">
                  <a:avLst/>
                </a:prstGeom>
                <a:noFill/>
                <a:ln w="9525">
                  <a:solidFill>
                    <a:srgbClr val="339966"/>
                  </a:solidFill>
                  <a:prstDash val="dash"/>
                  <a:round/>
                  <a:headEnd/>
                  <a:tailEnd/>
                </a:ln>
              </xdr:spPr>
            </xdr:sp>
            <xdr:sp macro="" textlink="">
              <xdr:nvSpPr>
                <xdr:cNvPr id="2141675" name="Line 107">
                  <a:extLst>
                    <a:ext uri="{FF2B5EF4-FFF2-40B4-BE49-F238E27FC236}">
                      <a16:creationId xmlns:a16="http://schemas.microsoft.com/office/drawing/2014/main" id="{00000000-0008-0000-0100-0000EBAD2000}"/>
                    </a:ext>
                  </a:extLst>
                </xdr:cNvPr>
                <xdr:cNvSpPr>
                  <a:spLocks noChangeShapeType="1"/>
                </xdr:cNvSpPr>
              </xdr:nvSpPr>
              <xdr:spPr bwMode="auto">
                <a:xfrm>
                  <a:off x="412" y="313"/>
                  <a:ext cx="112" cy="0"/>
                </a:xfrm>
                <a:prstGeom prst="line">
                  <a:avLst/>
                </a:prstGeom>
                <a:noFill/>
                <a:ln w="9525">
                  <a:solidFill>
                    <a:srgbClr val="000000"/>
                  </a:solidFill>
                  <a:round/>
                  <a:headEnd type="triangle" w="sm" len="med"/>
                  <a:tailEnd type="triangle" w="sm" len="med"/>
                </a:ln>
              </xdr:spPr>
            </xdr:sp>
          </xdr:grpSp>
          <xdr:sp macro="" textlink="">
            <xdr:nvSpPr>
              <xdr:cNvPr id="2141665" name="Line 117">
                <a:extLst>
                  <a:ext uri="{FF2B5EF4-FFF2-40B4-BE49-F238E27FC236}">
                    <a16:creationId xmlns:a16="http://schemas.microsoft.com/office/drawing/2014/main" id="{00000000-0008-0000-0100-0000E1AD2000}"/>
                  </a:ext>
                </a:extLst>
              </xdr:cNvPr>
              <xdr:cNvSpPr>
                <a:spLocks noChangeShapeType="1"/>
              </xdr:cNvSpPr>
            </xdr:nvSpPr>
            <xdr:spPr bwMode="auto">
              <a:xfrm>
                <a:off x="286" y="248"/>
                <a:ext cx="51" cy="0"/>
              </a:xfrm>
              <a:prstGeom prst="line">
                <a:avLst/>
              </a:prstGeom>
              <a:noFill/>
              <a:ln w="9525">
                <a:solidFill>
                  <a:srgbClr val="000000"/>
                </a:solidFill>
                <a:round/>
                <a:headEnd/>
                <a:tailEnd type="triangle" w="sm" len="med"/>
              </a:ln>
            </xdr:spPr>
          </xdr:sp>
          <xdr:sp macro="" textlink="">
            <xdr:nvSpPr>
              <xdr:cNvPr id="2141666" name="Line 120">
                <a:extLst>
                  <a:ext uri="{FF2B5EF4-FFF2-40B4-BE49-F238E27FC236}">
                    <a16:creationId xmlns:a16="http://schemas.microsoft.com/office/drawing/2014/main" id="{00000000-0008-0000-0100-0000E2AD2000}"/>
                  </a:ext>
                </a:extLst>
              </xdr:cNvPr>
              <xdr:cNvSpPr>
                <a:spLocks noChangeShapeType="1"/>
              </xdr:cNvSpPr>
            </xdr:nvSpPr>
            <xdr:spPr bwMode="auto">
              <a:xfrm>
                <a:off x="600" y="267"/>
                <a:ext cx="0" cy="19"/>
              </a:xfrm>
              <a:prstGeom prst="line">
                <a:avLst/>
              </a:prstGeom>
              <a:noFill/>
              <a:ln w="9525">
                <a:solidFill>
                  <a:srgbClr val="000000"/>
                </a:solidFill>
                <a:round/>
                <a:headEnd/>
                <a:tailEnd/>
              </a:ln>
            </xdr:spPr>
          </xdr:sp>
          <xdr:sp macro="" textlink="">
            <xdr:nvSpPr>
              <xdr:cNvPr id="2141667" name="Line 121">
                <a:extLst>
                  <a:ext uri="{FF2B5EF4-FFF2-40B4-BE49-F238E27FC236}">
                    <a16:creationId xmlns:a16="http://schemas.microsoft.com/office/drawing/2014/main" id="{00000000-0008-0000-0100-0000E3AD2000}"/>
                  </a:ext>
                </a:extLst>
              </xdr:cNvPr>
              <xdr:cNvSpPr>
                <a:spLocks noChangeShapeType="1"/>
              </xdr:cNvSpPr>
            </xdr:nvSpPr>
            <xdr:spPr bwMode="auto">
              <a:xfrm>
                <a:off x="491" y="268"/>
                <a:ext cx="0" cy="19"/>
              </a:xfrm>
              <a:prstGeom prst="line">
                <a:avLst/>
              </a:prstGeom>
              <a:noFill/>
              <a:ln w="9525">
                <a:solidFill>
                  <a:srgbClr val="000000"/>
                </a:solidFill>
                <a:round/>
                <a:headEnd/>
                <a:tailEnd/>
              </a:ln>
            </xdr:spPr>
          </xdr:sp>
          <xdr:sp macro="" textlink="">
            <xdr:nvSpPr>
              <xdr:cNvPr id="2141668" name="Line 122">
                <a:extLst>
                  <a:ext uri="{FF2B5EF4-FFF2-40B4-BE49-F238E27FC236}">
                    <a16:creationId xmlns:a16="http://schemas.microsoft.com/office/drawing/2014/main" id="{00000000-0008-0000-0100-0000E4AD2000}"/>
                  </a:ext>
                </a:extLst>
              </xdr:cNvPr>
              <xdr:cNvSpPr>
                <a:spLocks noChangeShapeType="1"/>
              </xdr:cNvSpPr>
            </xdr:nvSpPr>
            <xdr:spPr bwMode="auto">
              <a:xfrm>
                <a:off x="379" y="268"/>
                <a:ext cx="0" cy="19"/>
              </a:xfrm>
              <a:prstGeom prst="line">
                <a:avLst/>
              </a:prstGeom>
              <a:noFill/>
              <a:ln w="9525">
                <a:solidFill>
                  <a:srgbClr val="000000"/>
                </a:solidFill>
                <a:round/>
                <a:headEnd/>
                <a:tailEnd/>
              </a:ln>
            </xdr:spPr>
          </xdr:sp>
        </xdr:grpSp>
        <xdr:sp macro="" textlink="">
          <xdr:nvSpPr>
            <xdr:cNvPr id="1132" name="Text 38">
              <a:extLst>
                <a:ext uri="{FF2B5EF4-FFF2-40B4-BE49-F238E27FC236}">
                  <a16:creationId xmlns:a16="http://schemas.microsoft.com/office/drawing/2014/main" id="{00000000-0008-0000-0100-00006C040000}"/>
                </a:ext>
              </a:extLst>
            </xdr:cNvPr>
            <xdr:cNvSpPr txBox="1">
              <a:spLocks noChangeArrowheads="1"/>
            </xdr:cNvSpPr>
          </xdr:nvSpPr>
          <xdr:spPr bwMode="auto">
            <a:xfrm>
              <a:off x="689" y="231"/>
              <a:ext cx="51" cy="1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Ref. Site</a:t>
              </a:r>
            </a:p>
          </xdr:txBody>
        </xdr:sp>
        <xdr:sp macro="" textlink="">
          <xdr:nvSpPr>
            <xdr:cNvPr id="1133" name="Text 39">
              <a:extLst>
                <a:ext uri="{FF2B5EF4-FFF2-40B4-BE49-F238E27FC236}">
                  <a16:creationId xmlns:a16="http://schemas.microsoft.com/office/drawing/2014/main" id="{00000000-0008-0000-0100-00006D040000}"/>
                </a:ext>
              </a:extLst>
            </xdr:cNvPr>
            <xdr:cNvSpPr txBox="1">
              <a:spLocks noChangeArrowheads="1"/>
            </xdr:cNvSpPr>
          </xdr:nvSpPr>
          <xdr:spPr bwMode="auto">
            <a:xfrm>
              <a:off x="623" y="256"/>
              <a:ext cx="74" cy="18"/>
            </a:xfrm>
            <a:prstGeom prst="rect">
              <a:avLst/>
            </a:prstGeom>
            <a:solidFill>
              <a:srgbClr val="FFFFCC"/>
            </a:solidFill>
            <a:ln w="9525">
              <a:solidFill>
                <a:srgbClr val="FFFFCC"/>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Terrain</a:t>
              </a:r>
              <a:r>
                <a:rPr lang="en-US" sz="1000" b="0" i="1" strike="noStrike">
                  <a:solidFill>
                    <a:srgbClr val="000000"/>
                  </a:solidFill>
                  <a:latin typeface="Arial"/>
                  <a:cs typeface="Arial"/>
                </a:rPr>
                <a:t> z</a:t>
              </a:r>
              <a:r>
                <a:rPr lang="en-US" sz="1000" b="0" i="0" strike="noStrike" baseline="-25000">
                  <a:solidFill>
                    <a:srgbClr val="000000"/>
                  </a:solidFill>
                  <a:latin typeface="Arial"/>
                  <a:cs typeface="Arial"/>
                </a:rPr>
                <a:t>0</a:t>
              </a:r>
            </a:p>
          </xdr:txBody>
        </xdr:sp>
        <xdr:sp macro="" textlink="">
          <xdr:nvSpPr>
            <xdr:cNvPr id="1134" name="Text 40">
              <a:extLst>
                <a:ext uri="{FF2B5EF4-FFF2-40B4-BE49-F238E27FC236}">
                  <a16:creationId xmlns:a16="http://schemas.microsoft.com/office/drawing/2014/main" id="{00000000-0008-0000-0100-00006E040000}"/>
                </a:ext>
              </a:extLst>
            </xdr:cNvPr>
            <xdr:cNvSpPr txBox="1">
              <a:spLocks noChangeArrowheads="1"/>
            </xdr:cNvSpPr>
          </xdr:nvSpPr>
          <xdr:spPr bwMode="auto">
            <a:xfrm>
              <a:off x="535" y="254"/>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01</a:t>
              </a:r>
            </a:p>
          </xdr:txBody>
        </xdr:sp>
        <xdr:sp macro="" textlink="">
          <xdr:nvSpPr>
            <xdr:cNvPr id="1135" name="Text 41">
              <a:extLst>
                <a:ext uri="{FF2B5EF4-FFF2-40B4-BE49-F238E27FC236}">
                  <a16:creationId xmlns:a16="http://schemas.microsoft.com/office/drawing/2014/main" id="{00000000-0008-0000-0100-00006F040000}"/>
                </a:ext>
              </a:extLst>
            </xdr:cNvPr>
            <xdr:cNvSpPr txBox="1">
              <a:spLocks noChangeArrowheads="1"/>
            </xdr:cNvSpPr>
          </xdr:nvSpPr>
          <xdr:spPr bwMode="auto">
            <a:xfrm>
              <a:off x="419" y="254"/>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02</a:t>
              </a:r>
            </a:p>
          </xdr:txBody>
        </xdr:sp>
        <xdr:sp macro="" textlink="">
          <xdr:nvSpPr>
            <xdr:cNvPr id="1136" name="Text 45">
              <a:extLst>
                <a:ext uri="{FF2B5EF4-FFF2-40B4-BE49-F238E27FC236}">
                  <a16:creationId xmlns:a16="http://schemas.microsoft.com/office/drawing/2014/main" id="{00000000-0008-0000-0100-000070040000}"/>
                </a:ext>
              </a:extLst>
            </xdr:cNvPr>
            <xdr:cNvSpPr txBox="1">
              <a:spLocks noChangeArrowheads="1"/>
            </xdr:cNvSpPr>
          </xdr:nvSpPr>
          <xdr:spPr bwMode="auto">
            <a:xfrm>
              <a:off x="651" y="286"/>
              <a:ext cx="20" cy="14"/>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 </a:t>
              </a:r>
            </a:p>
          </xdr:txBody>
        </xdr:sp>
        <xdr:sp macro="" textlink="">
          <xdr:nvSpPr>
            <xdr:cNvPr id="1137" name="Text 47">
              <a:extLst>
                <a:ext uri="{FF2B5EF4-FFF2-40B4-BE49-F238E27FC236}">
                  <a16:creationId xmlns:a16="http://schemas.microsoft.com/office/drawing/2014/main" id="{00000000-0008-0000-0100-000071040000}"/>
                </a:ext>
              </a:extLst>
            </xdr:cNvPr>
            <xdr:cNvSpPr txBox="1">
              <a:spLocks noChangeArrowheads="1"/>
            </xdr:cNvSpPr>
          </xdr:nvSpPr>
          <xdr:spPr bwMode="auto">
            <a:xfrm>
              <a:off x="528" y="284"/>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1</a:t>
              </a:r>
            </a:p>
          </xdr:txBody>
        </xdr:sp>
        <xdr:sp macro="" textlink="">
          <xdr:nvSpPr>
            <xdr:cNvPr id="1138" name="Text 51">
              <a:extLst>
                <a:ext uri="{FF2B5EF4-FFF2-40B4-BE49-F238E27FC236}">
                  <a16:creationId xmlns:a16="http://schemas.microsoft.com/office/drawing/2014/main" id="{00000000-0008-0000-0100-000072040000}"/>
                </a:ext>
              </a:extLst>
            </xdr:cNvPr>
            <xdr:cNvSpPr txBox="1">
              <a:spLocks noChangeArrowheads="1"/>
            </xdr:cNvSpPr>
          </xdr:nvSpPr>
          <xdr:spPr bwMode="auto">
            <a:xfrm>
              <a:off x="427" y="285"/>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2</a:t>
              </a:r>
            </a:p>
          </xdr:txBody>
        </xdr:sp>
        <xdr:sp macro="" textlink="">
          <xdr:nvSpPr>
            <xdr:cNvPr id="1139" name="Text 53">
              <a:extLst>
                <a:ext uri="{FF2B5EF4-FFF2-40B4-BE49-F238E27FC236}">
                  <a16:creationId xmlns:a16="http://schemas.microsoft.com/office/drawing/2014/main" id="{00000000-0008-0000-0100-000073040000}"/>
                </a:ext>
              </a:extLst>
            </xdr:cNvPr>
            <xdr:cNvSpPr txBox="1">
              <a:spLocks noChangeArrowheads="1"/>
            </xdr:cNvSpPr>
          </xdr:nvSpPr>
          <xdr:spPr bwMode="auto">
            <a:xfrm>
              <a:off x="300" y="255"/>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03</a:t>
              </a:r>
            </a:p>
          </xdr:txBody>
        </xdr:sp>
        <xdr:sp macro="" textlink="">
          <xdr:nvSpPr>
            <xdr:cNvPr id="1140" name="Text 54">
              <a:extLst>
                <a:ext uri="{FF2B5EF4-FFF2-40B4-BE49-F238E27FC236}">
                  <a16:creationId xmlns:a16="http://schemas.microsoft.com/office/drawing/2014/main" id="{00000000-0008-0000-0100-000074040000}"/>
                </a:ext>
              </a:extLst>
            </xdr:cNvPr>
            <xdr:cNvSpPr txBox="1">
              <a:spLocks noChangeArrowheads="1"/>
            </xdr:cNvSpPr>
          </xdr:nvSpPr>
          <xdr:spPr bwMode="auto">
            <a:xfrm>
              <a:off x="262" y="282"/>
              <a:ext cx="64" cy="18"/>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900" b="0" i="1" strike="noStrike">
                  <a:solidFill>
                    <a:srgbClr val="000000"/>
                  </a:solidFill>
                  <a:latin typeface="Arial"/>
                  <a:cs typeface="Arial"/>
                </a:rPr>
                <a:t>x</a:t>
              </a:r>
              <a:r>
                <a:rPr lang="en-US" sz="1000" b="0" i="0" strike="noStrike" baseline="-25000">
                  <a:solidFill>
                    <a:srgbClr val="000000"/>
                  </a:solidFill>
                  <a:latin typeface="Arial"/>
                  <a:cs typeface="Arial"/>
                </a:rPr>
                <a:t>3</a:t>
              </a:r>
              <a:r>
                <a:rPr lang="en-US" sz="900" b="0" i="0" strike="noStrike">
                  <a:solidFill>
                    <a:srgbClr val="000000"/>
                  </a:solidFill>
                  <a:latin typeface="Arial"/>
                  <a:cs typeface="Arial"/>
                </a:rPr>
                <a:t> &gt; 50km</a:t>
              </a:r>
            </a:p>
          </xdr:txBody>
        </xdr:sp>
        <xdr:sp macro="" textlink="">
          <xdr:nvSpPr>
            <xdr:cNvPr id="1142" name="Text 56">
              <a:extLst>
                <a:ext uri="{FF2B5EF4-FFF2-40B4-BE49-F238E27FC236}">
                  <a16:creationId xmlns:a16="http://schemas.microsoft.com/office/drawing/2014/main" id="{00000000-0008-0000-0100-000076040000}"/>
                </a:ext>
              </a:extLst>
            </xdr:cNvPr>
            <xdr:cNvSpPr txBox="1">
              <a:spLocks noChangeArrowheads="1"/>
            </xdr:cNvSpPr>
          </xdr:nvSpPr>
          <xdr:spPr bwMode="auto">
            <a:xfrm>
              <a:off x="267" y="240"/>
              <a:ext cx="17" cy="21"/>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grpSp>
      <xdr:sp macro="" textlink="">
        <xdr:nvSpPr>
          <xdr:cNvPr id="1143" name="Text Box 119">
            <a:extLst>
              <a:ext uri="{FF2B5EF4-FFF2-40B4-BE49-F238E27FC236}">
                <a16:creationId xmlns:a16="http://schemas.microsoft.com/office/drawing/2014/main" id="{00000000-0008-0000-0100-000077040000}"/>
              </a:ext>
            </a:extLst>
          </xdr:cNvPr>
          <xdr:cNvSpPr txBox="1">
            <a:spLocks noChangeArrowheads="1"/>
          </xdr:cNvSpPr>
        </xdr:nvSpPr>
        <xdr:spPr bwMode="auto">
          <a:xfrm>
            <a:off x="372" y="234"/>
            <a:ext cx="297" cy="18"/>
          </a:xfrm>
          <a:prstGeom prst="rect">
            <a:avLst/>
          </a:prstGeom>
          <a:solidFill>
            <a:srgbClr val="FF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Example showing terrain with 3 changes in roughness: n=3</a:t>
            </a:r>
          </a:p>
        </xdr:txBody>
      </xdr:sp>
    </xdr:grpSp>
    <xdr:clientData/>
  </xdr:twoCellAnchor>
  <xdr:twoCellAnchor>
    <xdr:from>
      <xdr:col>2</xdr:col>
      <xdr:colOff>9525</xdr:colOff>
      <xdr:row>13</xdr:row>
      <xdr:rowOff>19050</xdr:rowOff>
    </xdr:from>
    <xdr:to>
      <xdr:col>9</xdr:col>
      <xdr:colOff>590550</xdr:colOff>
      <xdr:row>17</xdr:row>
      <xdr:rowOff>142875</xdr:rowOff>
    </xdr:to>
    <xdr:grpSp>
      <xdr:nvGrpSpPr>
        <xdr:cNvPr id="2141620" name="Group 181">
          <a:extLst>
            <a:ext uri="{FF2B5EF4-FFF2-40B4-BE49-F238E27FC236}">
              <a16:creationId xmlns:a16="http://schemas.microsoft.com/office/drawing/2014/main" id="{00000000-0008-0000-0100-0000B4AD2000}"/>
            </a:ext>
          </a:extLst>
        </xdr:cNvPr>
        <xdr:cNvGrpSpPr>
          <a:grpSpLocks/>
        </xdr:cNvGrpSpPr>
      </xdr:nvGrpSpPr>
      <xdr:grpSpPr bwMode="auto">
        <a:xfrm>
          <a:off x="2724150" y="2162175"/>
          <a:ext cx="4848225" cy="771525"/>
          <a:chOff x="257" y="227"/>
          <a:chExt cx="509" cy="81"/>
        </a:xfrm>
      </xdr:grpSpPr>
      <xdr:grpSp>
        <xdr:nvGrpSpPr>
          <xdr:cNvPr id="2141621" name="Group 182">
            <a:extLst>
              <a:ext uri="{FF2B5EF4-FFF2-40B4-BE49-F238E27FC236}">
                <a16:creationId xmlns:a16="http://schemas.microsoft.com/office/drawing/2014/main" id="{00000000-0008-0000-0100-0000B5AD2000}"/>
              </a:ext>
            </a:extLst>
          </xdr:cNvPr>
          <xdr:cNvGrpSpPr>
            <a:grpSpLocks/>
          </xdr:cNvGrpSpPr>
        </xdr:nvGrpSpPr>
        <xdr:grpSpPr bwMode="auto">
          <a:xfrm>
            <a:off x="257" y="227"/>
            <a:ext cx="509" cy="81"/>
            <a:chOff x="257" y="227"/>
            <a:chExt cx="509" cy="81"/>
          </a:xfrm>
        </xdr:grpSpPr>
        <xdr:grpSp>
          <xdr:nvGrpSpPr>
            <xdr:cNvPr id="2141623" name="Group 183">
              <a:extLst>
                <a:ext uri="{FF2B5EF4-FFF2-40B4-BE49-F238E27FC236}">
                  <a16:creationId xmlns:a16="http://schemas.microsoft.com/office/drawing/2014/main" id="{00000000-0008-0000-0100-0000B7AD2000}"/>
                </a:ext>
              </a:extLst>
            </xdr:cNvPr>
            <xdr:cNvGrpSpPr>
              <a:grpSpLocks/>
            </xdr:cNvGrpSpPr>
          </xdr:nvGrpSpPr>
          <xdr:grpSpPr bwMode="auto">
            <a:xfrm>
              <a:off x="257" y="227"/>
              <a:ext cx="509" cy="81"/>
              <a:chOff x="257" y="227"/>
              <a:chExt cx="509" cy="81"/>
            </a:xfrm>
          </xdr:grpSpPr>
          <xdr:sp macro="" textlink="">
            <xdr:nvSpPr>
              <xdr:cNvPr id="2141634" name="Rectangle 184">
                <a:extLst>
                  <a:ext uri="{FF2B5EF4-FFF2-40B4-BE49-F238E27FC236}">
                    <a16:creationId xmlns:a16="http://schemas.microsoft.com/office/drawing/2014/main" id="{00000000-0008-0000-0100-0000C2AD2000}"/>
                  </a:ext>
                </a:extLst>
              </xdr:cNvPr>
              <xdr:cNvSpPr>
                <a:spLocks noChangeArrowheads="1"/>
              </xdr:cNvSpPr>
            </xdr:nvSpPr>
            <xdr:spPr bwMode="auto">
              <a:xfrm>
                <a:off x="257" y="227"/>
                <a:ext cx="509" cy="81"/>
              </a:xfrm>
              <a:prstGeom prst="rect">
                <a:avLst/>
              </a:prstGeom>
              <a:solidFill>
                <a:srgbClr val="FFFFCC"/>
              </a:solidFill>
              <a:ln w="9525">
                <a:solidFill>
                  <a:srgbClr val="000000"/>
                </a:solidFill>
                <a:miter lim="800000"/>
                <a:headEnd/>
                <a:tailEnd/>
              </a:ln>
            </xdr:spPr>
          </xdr:sp>
          <xdr:grpSp>
            <xdr:nvGrpSpPr>
              <xdr:cNvPr id="2141635" name="Group 185">
                <a:extLst>
                  <a:ext uri="{FF2B5EF4-FFF2-40B4-BE49-F238E27FC236}">
                    <a16:creationId xmlns:a16="http://schemas.microsoft.com/office/drawing/2014/main" id="{00000000-0008-0000-0100-0000C3AD2000}"/>
                  </a:ext>
                </a:extLst>
              </xdr:cNvPr>
              <xdr:cNvGrpSpPr>
                <a:grpSpLocks/>
              </xdr:cNvGrpSpPr>
            </xdr:nvGrpSpPr>
            <xdr:grpSpPr bwMode="auto">
              <a:xfrm>
                <a:off x="264" y="247"/>
                <a:ext cx="494" cy="51"/>
                <a:chOff x="298" y="272"/>
                <a:chExt cx="494" cy="51"/>
              </a:xfrm>
            </xdr:grpSpPr>
            <xdr:sp macro="" textlink="">
              <xdr:nvSpPr>
                <xdr:cNvPr id="2141640" name="Line 186">
                  <a:extLst>
                    <a:ext uri="{FF2B5EF4-FFF2-40B4-BE49-F238E27FC236}">
                      <a16:creationId xmlns:a16="http://schemas.microsoft.com/office/drawing/2014/main" id="{00000000-0008-0000-0100-0000C8AD2000}"/>
                    </a:ext>
                  </a:extLst>
                </xdr:cNvPr>
                <xdr:cNvSpPr>
                  <a:spLocks noChangeShapeType="1"/>
                </xdr:cNvSpPr>
              </xdr:nvSpPr>
              <xdr:spPr bwMode="auto">
                <a:xfrm>
                  <a:off x="750" y="272"/>
                  <a:ext cx="0" cy="29"/>
                </a:xfrm>
                <a:prstGeom prst="line">
                  <a:avLst/>
                </a:prstGeom>
                <a:noFill/>
                <a:ln w="9525">
                  <a:solidFill>
                    <a:srgbClr val="000000"/>
                  </a:solidFill>
                  <a:round/>
                  <a:headEnd/>
                  <a:tailEnd/>
                </a:ln>
              </xdr:spPr>
            </xdr:sp>
            <xdr:sp macro="" textlink="">
              <xdr:nvSpPr>
                <xdr:cNvPr id="2141641" name="Line 187">
                  <a:extLst>
                    <a:ext uri="{FF2B5EF4-FFF2-40B4-BE49-F238E27FC236}">
                      <a16:creationId xmlns:a16="http://schemas.microsoft.com/office/drawing/2014/main" id="{00000000-0008-0000-0100-0000C9AD2000}"/>
                    </a:ext>
                  </a:extLst>
                </xdr:cNvPr>
                <xdr:cNvSpPr>
                  <a:spLocks noChangeShapeType="1"/>
                </xdr:cNvSpPr>
              </xdr:nvSpPr>
              <xdr:spPr bwMode="auto">
                <a:xfrm>
                  <a:off x="750" y="304"/>
                  <a:ext cx="0" cy="19"/>
                </a:xfrm>
                <a:prstGeom prst="line">
                  <a:avLst/>
                </a:prstGeom>
                <a:noFill/>
                <a:ln w="9525">
                  <a:solidFill>
                    <a:srgbClr val="000000"/>
                  </a:solidFill>
                  <a:round/>
                  <a:headEnd/>
                  <a:tailEnd/>
                </a:ln>
              </xdr:spPr>
            </xdr:sp>
            <xdr:grpSp>
              <xdr:nvGrpSpPr>
                <xdr:cNvPr id="2141642" name="Group 188">
                  <a:extLst>
                    <a:ext uri="{FF2B5EF4-FFF2-40B4-BE49-F238E27FC236}">
                      <a16:creationId xmlns:a16="http://schemas.microsoft.com/office/drawing/2014/main" id="{00000000-0008-0000-0100-0000CAAD2000}"/>
                    </a:ext>
                  </a:extLst>
                </xdr:cNvPr>
                <xdr:cNvGrpSpPr>
                  <a:grpSpLocks/>
                </xdr:cNvGrpSpPr>
              </xdr:nvGrpSpPr>
              <xdr:grpSpPr bwMode="auto">
                <a:xfrm>
                  <a:off x="413" y="303"/>
                  <a:ext cx="379" cy="0"/>
                  <a:chOff x="-191" y="-26502"/>
                  <a:chExt cx="19708" cy="0"/>
                </a:xfrm>
              </xdr:grpSpPr>
              <xdr:sp macro="" textlink="">
                <xdr:nvSpPr>
                  <xdr:cNvPr id="2141647" name="Line 189">
                    <a:extLst>
                      <a:ext uri="{FF2B5EF4-FFF2-40B4-BE49-F238E27FC236}">
                        <a16:creationId xmlns:a16="http://schemas.microsoft.com/office/drawing/2014/main" id="{00000000-0008-0000-0100-0000CFAD2000}"/>
                      </a:ext>
                    </a:extLst>
                  </xdr:cNvPr>
                  <xdr:cNvSpPr>
                    <a:spLocks noChangeShapeType="1"/>
                  </xdr:cNvSpPr>
                </xdr:nvSpPr>
                <xdr:spPr bwMode="auto">
                  <a:xfrm>
                    <a:off x="-191" y="-26502"/>
                    <a:ext cx="5876" cy="0"/>
                  </a:xfrm>
                  <a:prstGeom prst="line">
                    <a:avLst/>
                  </a:prstGeom>
                  <a:noFill/>
                  <a:ln w="24765">
                    <a:solidFill>
                      <a:srgbClr val="339966"/>
                    </a:solidFill>
                    <a:round/>
                    <a:headEnd/>
                    <a:tailEnd/>
                  </a:ln>
                </xdr:spPr>
              </xdr:sp>
              <xdr:sp macro="" textlink="">
                <xdr:nvSpPr>
                  <xdr:cNvPr id="2141648" name="Line 190">
                    <a:extLst>
                      <a:ext uri="{FF2B5EF4-FFF2-40B4-BE49-F238E27FC236}">
                        <a16:creationId xmlns:a16="http://schemas.microsoft.com/office/drawing/2014/main" id="{00000000-0008-0000-0100-0000D0AD2000}"/>
                      </a:ext>
                    </a:extLst>
                  </xdr:cNvPr>
                  <xdr:cNvSpPr>
                    <a:spLocks noChangeShapeType="1"/>
                  </xdr:cNvSpPr>
                </xdr:nvSpPr>
                <xdr:spPr bwMode="auto">
                  <a:xfrm>
                    <a:off x="5737" y="-26502"/>
                    <a:ext cx="5564" cy="0"/>
                  </a:xfrm>
                  <a:prstGeom prst="line">
                    <a:avLst/>
                  </a:prstGeom>
                  <a:noFill/>
                  <a:ln w="9525">
                    <a:solidFill>
                      <a:srgbClr val="339966"/>
                    </a:solidFill>
                    <a:round/>
                    <a:headEnd/>
                    <a:tailEnd/>
                  </a:ln>
                </xdr:spPr>
              </xdr:sp>
              <xdr:sp macro="" textlink="">
                <xdr:nvSpPr>
                  <xdr:cNvPr id="2141649" name="Line 191">
                    <a:extLst>
                      <a:ext uri="{FF2B5EF4-FFF2-40B4-BE49-F238E27FC236}">
                        <a16:creationId xmlns:a16="http://schemas.microsoft.com/office/drawing/2014/main" id="{00000000-0008-0000-0100-0000D1AD2000}"/>
                      </a:ext>
                    </a:extLst>
                  </xdr:cNvPr>
                  <xdr:cNvSpPr>
                    <a:spLocks noChangeShapeType="1"/>
                  </xdr:cNvSpPr>
                </xdr:nvSpPr>
                <xdr:spPr bwMode="auto">
                  <a:xfrm>
                    <a:off x="11301" y="-26502"/>
                    <a:ext cx="8216" cy="0"/>
                  </a:xfrm>
                  <a:prstGeom prst="line">
                    <a:avLst/>
                  </a:prstGeom>
                  <a:noFill/>
                  <a:ln w="24765">
                    <a:solidFill>
                      <a:srgbClr val="339966"/>
                    </a:solidFill>
                    <a:round/>
                    <a:headEnd/>
                    <a:tailEnd/>
                  </a:ln>
                </xdr:spPr>
              </xdr:sp>
            </xdr:grpSp>
            <xdr:sp macro="" textlink="">
              <xdr:nvSpPr>
                <xdr:cNvPr id="2141643" name="Line 192">
                  <a:extLst>
                    <a:ext uri="{FF2B5EF4-FFF2-40B4-BE49-F238E27FC236}">
                      <a16:creationId xmlns:a16="http://schemas.microsoft.com/office/drawing/2014/main" id="{00000000-0008-0000-0100-0000CBAD2000}"/>
                    </a:ext>
                  </a:extLst>
                </xdr:cNvPr>
                <xdr:cNvSpPr>
                  <a:spLocks noChangeShapeType="1"/>
                </xdr:cNvSpPr>
              </xdr:nvSpPr>
              <xdr:spPr bwMode="auto">
                <a:xfrm>
                  <a:off x="635" y="313"/>
                  <a:ext cx="115" cy="0"/>
                </a:xfrm>
                <a:prstGeom prst="line">
                  <a:avLst/>
                </a:prstGeom>
                <a:noFill/>
                <a:ln w="9525">
                  <a:solidFill>
                    <a:srgbClr val="000000"/>
                  </a:solidFill>
                  <a:round/>
                  <a:headEnd type="triangle" w="sm" len="med"/>
                  <a:tailEnd type="triangle" w="sm" len="med"/>
                </a:ln>
              </xdr:spPr>
            </xdr:sp>
            <xdr:sp macro="" textlink="">
              <xdr:nvSpPr>
                <xdr:cNvPr id="2141644" name="Line 193">
                  <a:extLst>
                    <a:ext uri="{FF2B5EF4-FFF2-40B4-BE49-F238E27FC236}">
                      <a16:creationId xmlns:a16="http://schemas.microsoft.com/office/drawing/2014/main" id="{00000000-0008-0000-0100-0000CCAD2000}"/>
                    </a:ext>
                  </a:extLst>
                </xdr:cNvPr>
                <xdr:cNvSpPr>
                  <a:spLocks noChangeShapeType="1"/>
                </xdr:cNvSpPr>
              </xdr:nvSpPr>
              <xdr:spPr bwMode="auto">
                <a:xfrm>
                  <a:off x="524" y="313"/>
                  <a:ext cx="109" cy="0"/>
                </a:xfrm>
                <a:prstGeom prst="line">
                  <a:avLst/>
                </a:prstGeom>
                <a:noFill/>
                <a:ln w="9525">
                  <a:solidFill>
                    <a:srgbClr val="000000"/>
                  </a:solidFill>
                  <a:round/>
                  <a:headEnd type="triangle" w="sm" len="med"/>
                  <a:tailEnd type="triangle" w="sm" len="med"/>
                </a:ln>
              </xdr:spPr>
            </xdr:sp>
            <xdr:sp macro="" textlink="">
              <xdr:nvSpPr>
                <xdr:cNvPr id="2141645" name="Line 194">
                  <a:extLst>
                    <a:ext uri="{FF2B5EF4-FFF2-40B4-BE49-F238E27FC236}">
                      <a16:creationId xmlns:a16="http://schemas.microsoft.com/office/drawing/2014/main" id="{00000000-0008-0000-0100-0000CDAD2000}"/>
                    </a:ext>
                  </a:extLst>
                </xdr:cNvPr>
                <xdr:cNvSpPr>
                  <a:spLocks noChangeShapeType="1"/>
                </xdr:cNvSpPr>
              </xdr:nvSpPr>
              <xdr:spPr bwMode="auto">
                <a:xfrm flipH="1">
                  <a:off x="298" y="304"/>
                  <a:ext cx="118" cy="0"/>
                </a:xfrm>
                <a:prstGeom prst="line">
                  <a:avLst/>
                </a:prstGeom>
                <a:noFill/>
                <a:ln w="9525">
                  <a:solidFill>
                    <a:srgbClr val="339966"/>
                  </a:solidFill>
                  <a:prstDash val="dash"/>
                  <a:round/>
                  <a:headEnd/>
                  <a:tailEnd/>
                </a:ln>
              </xdr:spPr>
            </xdr:sp>
            <xdr:sp macro="" textlink="">
              <xdr:nvSpPr>
                <xdr:cNvPr id="2141646" name="Line 195">
                  <a:extLst>
                    <a:ext uri="{FF2B5EF4-FFF2-40B4-BE49-F238E27FC236}">
                      <a16:creationId xmlns:a16="http://schemas.microsoft.com/office/drawing/2014/main" id="{00000000-0008-0000-0100-0000CEAD2000}"/>
                    </a:ext>
                  </a:extLst>
                </xdr:cNvPr>
                <xdr:cNvSpPr>
                  <a:spLocks noChangeShapeType="1"/>
                </xdr:cNvSpPr>
              </xdr:nvSpPr>
              <xdr:spPr bwMode="auto">
                <a:xfrm>
                  <a:off x="412" y="313"/>
                  <a:ext cx="112" cy="0"/>
                </a:xfrm>
                <a:prstGeom prst="line">
                  <a:avLst/>
                </a:prstGeom>
                <a:noFill/>
                <a:ln w="9525">
                  <a:solidFill>
                    <a:srgbClr val="000000"/>
                  </a:solidFill>
                  <a:round/>
                  <a:headEnd type="triangle" w="sm" len="med"/>
                  <a:tailEnd type="triangle" w="sm" len="med"/>
                </a:ln>
              </xdr:spPr>
            </xdr:sp>
          </xdr:grpSp>
          <xdr:sp macro="" textlink="">
            <xdr:nvSpPr>
              <xdr:cNvPr id="2141636" name="Line 196">
                <a:extLst>
                  <a:ext uri="{FF2B5EF4-FFF2-40B4-BE49-F238E27FC236}">
                    <a16:creationId xmlns:a16="http://schemas.microsoft.com/office/drawing/2014/main" id="{00000000-0008-0000-0100-0000C4AD2000}"/>
                  </a:ext>
                </a:extLst>
              </xdr:cNvPr>
              <xdr:cNvSpPr>
                <a:spLocks noChangeShapeType="1"/>
              </xdr:cNvSpPr>
            </xdr:nvSpPr>
            <xdr:spPr bwMode="auto">
              <a:xfrm>
                <a:off x="286" y="248"/>
                <a:ext cx="51" cy="0"/>
              </a:xfrm>
              <a:prstGeom prst="line">
                <a:avLst/>
              </a:prstGeom>
              <a:noFill/>
              <a:ln w="9525">
                <a:solidFill>
                  <a:srgbClr val="000000"/>
                </a:solidFill>
                <a:round/>
                <a:headEnd/>
                <a:tailEnd type="triangle" w="sm" len="med"/>
              </a:ln>
            </xdr:spPr>
          </xdr:sp>
          <xdr:sp macro="" textlink="">
            <xdr:nvSpPr>
              <xdr:cNvPr id="2141637" name="Line 197">
                <a:extLst>
                  <a:ext uri="{FF2B5EF4-FFF2-40B4-BE49-F238E27FC236}">
                    <a16:creationId xmlns:a16="http://schemas.microsoft.com/office/drawing/2014/main" id="{00000000-0008-0000-0100-0000C5AD2000}"/>
                  </a:ext>
                </a:extLst>
              </xdr:cNvPr>
              <xdr:cNvSpPr>
                <a:spLocks noChangeShapeType="1"/>
              </xdr:cNvSpPr>
            </xdr:nvSpPr>
            <xdr:spPr bwMode="auto">
              <a:xfrm>
                <a:off x="600" y="267"/>
                <a:ext cx="0" cy="19"/>
              </a:xfrm>
              <a:prstGeom prst="line">
                <a:avLst/>
              </a:prstGeom>
              <a:noFill/>
              <a:ln w="9525">
                <a:solidFill>
                  <a:srgbClr val="000000"/>
                </a:solidFill>
                <a:round/>
                <a:headEnd/>
                <a:tailEnd/>
              </a:ln>
            </xdr:spPr>
          </xdr:sp>
          <xdr:sp macro="" textlink="">
            <xdr:nvSpPr>
              <xdr:cNvPr id="2141638" name="Line 198">
                <a:extLst>
                  <a:ext uri="{FF2B5EF4-FFF2-40B4-BE49-F238E27FC236}">
                    <a16:creationId xmlns:a16="http://schemas.microsoft.com/office/drawing/2014/main" id="{00000000-0008-0000-0100-0000C6AD2000}"/>
                  </a:ext>
                </a:extLst>
              </xdr:cNvPr>
              <xdr:cNvSpPr>
                <a:spLocks noChangeShapeType="1"/>
              </xdr:cNvSpPr>
            </xdr:nvSpPr>
            <xdr:spPr bwMode="auto">
              <a:xfrm>
                <a:off x="491" y="268"/>
                <a:ext cx="0" cy="19"/>
              </a:xfrm>
              <a:prstGeom prst="line">
                <a:avLst/>
              </a:prstGeom>
              <a:noFill/>
              <a:ln w="9525">
                <a:solidFill>
                  <a:srgbClr val="000000"/>
                </a:solidFill>
                <a:round/>
                <a:headEnd/>
                <a:tailEnd/>
              </a:ln>
            </xdr:spPr>
          </xdr:sp>
          <xdr:sp macro="" textlink="">
            <xdr:nvSpPr>
              <xdr:cNvPr id="2141639" name="Line 199">
                <a:extLst>
                  <a:ext uri="{FF2B5EF4-FFF2-40B4-BE49-F238E27FC236}">
                    <a16:creationId xmlns:a16="http://schemas.microsoft.com/office/drawing/2014/main" id="{00000000-0008-0000-0100-0000C7AD2000}"/>
                  </a:ext>
                </a:extLst>
              </xdr:cNvPr>
              <xdr:cNvSpPr>
                <a:spLocks noChangeShapeType="1"/>
              </xdr:cNvSpPr>
            </xdr:nvSpPr>
            <xdr:spPr bwMode="auto">
              <a:xfrm>
                <a:off x="379" y="268"/>
                <a:ext cx="0" cy="19"/>
              </a:xfrm>
              <a:prstGeom prst="line">
                <a:avLst/>
              </a:prstGeom>
              <a:noFill/>
              <a:ln w="9525">
                <a:solidFill>
                  <a:srgbClr val="000000"/>
                </a:solidFill>
                <a:round/>
                <a:headEnd/>
                <a:tailEnd/>
              </a:ln>
            </xdr:spPr>
          </xdr:sp>
        </xdr:grpSp>
        <xdr:sp macro="" textlink="">
          <xdr:nvSpPr>
            <xdr:cNvPr id="1224" name="Text 38">
              <a:extLst>
                <a:ext uri="{FF2B5EF4-FFF2-40B4-BE49-F238E27FC236}">
                  <a16:creationId xmlns:a16="http://schemas.microsoft.com/office/drawing/2014/main" id="{00000000-0008-0000-0100-0000C8040000}"/>
                </a:ext>
              </a:extLst>
            </xdr:cNvPr>
            <xdr:cNvSpPr txBox="1">
              <a:spLocks noChangeArrowheads="1"/>
            </xdr:cNvSpPr>
          </xdr:nvSpPr>
          <xdr:spPr bwMode="auto">
            <a:xfrm>
              <a:off x="689" y="231"/>
              <a:ext cx="51" cy="1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Ref. Site</a:t>
              </a:r>
            </a:p>
          </xdr:txBody>
        </xdr:sp>
        <xdr:sp macro="" textlink="">
          <xdr:nvSpPr>
            <xdr:cNvPr id="1225" name="Text 39">
              <a:extLst>
                <a:ext uri="{FF2B5EF4-FFF2-40B4-BE49-F238E27FC236}">
                  <a16:creationId xmlns:a16="http://schemas.microsoft.com/office/drawing/2014/main" id="{00000000-0008-0000-0100-0000C9040000}"/>
                </a:ext>
              </a:extLst>
            </xdr:cNvPr>
            <xdr:cNvSpPr txBox="1">
              <a:spLocks noChangeArrowheads="1"/>
            </xdr:cNvSpPr>
          </xdr:nvSpPr>
          <xdr:spPr bwMode="auto">
            <a:xfrm>
              <a:off x="623" y="256"/>
              <a:ext cx="74" cy="18"/>
            </a:xfrm>
            <a:prstGeom prst="rect">
              <a:avLst/>
            </a:prstGeom>
            <a:solidFill>
              <a:srgbClr val="FFFFCC"/>
            </a:solidFill>
            <a:ln w="9525">
              <a:solidFill>
                <a:srgbClr val="FFFFCC"/>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Terrain</a:t>
              </a:r>
              <a:r>
                <a:rPr lang="en-US" sz="1000" b="0" i="1" strike="noStrike">
                  <a:solidFill>
                    <a:srgbClr val="000000"/>
                  </a:solidFill>
                  <a:latin typeface="Arial"/>
                  <a:cs typeface="Arial"/>
                </a:rPr>
                <a:t> z</a:t>
              </a:r>
              <a:r>
                <a:rPr lang="en-US" sz="1000" b="0" i="0" strike="noStrike" baseline="-25000">
                  <a:solidFill>
                    <a:srgbClr val="000000"/>
                  </a:solidFill>
                  <a:latin typeface="Arial"/>
                  <a:cs typeface="Arial"/>
                </a:rPr>
                <a:t>0</a:t>
              </a:r>
            </a:p>
          </xdr:txBody>
        </xdr:sp>
        <xdr:sp macro="" textlink="">
          <xdr:nvSpPr>
            <xdr:cNvPr id="1226" name="Text 40">
              <a:extLst>
                <a:ext uri="{FF2B5EF4-FFF2-40B4-BE49-F238E27FC236}">
                  <a16:creationId xmlns:a16="http://schemas.microsoft.com/office/drawing/2014/main" id="{00000000-0008-0000-0100-0000CA040000}"/>
                </a:ext>
              </a:extLst>
            </xdr:cNvPr>
            <xdr:cNvSpPr txBox="1">
              <a:spLocks noChangeArrowheads="1"/>
            </xdr:cNvSpPr>
          </xdr:nvSpPr>
          <xdr:spPr bwMode="auto">
            <a:xfrm>
              <a:off x="535" y="254"/>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01</a:t>
              </a:r>
            </a:p>
          </xdr:txBody>
        </xdr:sp>
        <xdr:sp macro="" textlink="">
          <xdr:nvSpPr>
            <xdr:cNvPr id="1227" name="Text 41">
              <a:extLst>
                <a:ext uri="{FF2B5EF4-FFF2-40B4-BE49-F238E27FC236}">
                  <a16:creationId xmlns:a16="http://schemas.microsoft.com/office/drawing/2014/main" id="{00000000-0008-0000-0100-0000CB040000}"/>
                </a:ext>
              </a:extLst>
            </xdr:cNvPr>
            <xdr:cNvSpPr txBox="1">
              <a:spLocks noChangeArrowheads="1"/>
            </xdr:cNvSpPr>
          </xdr:nvSpPr>
          <xdr:spPr bwMode="auto">
            <a:xfrm>
              <a:off x="419" y="254"/>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02</a:t>
              </a:r>
            </a:p>
          </xdr:txBody>
        </xdr:sp>
        <xdr:sp macro="" textlink="">
          <xdr:nvSpPr>
            <xdr:cNvPr id="1228" name="Text 45">
              <a:extLst>
                <a:ext uri="{FF2B5EF4-FFF2-40B4-BE49-F238E27FC236}">
                  <a16:creationId xmlns:a16="http://schemas.microsoft.com/office/drawing/2014/main" id="{00000000-0008-0000-0100-0000CC040000}"/>
                </a:ext>
              </a:extLst>
            </xdr:cNvPr>
            <xdr:cNvSpPr txBox="1">
              <a:spLocks noChangeArrowheads="1"/>
            </xdr:cNvSpPr>
          </xdr:nvSpPr>
          <xdr:spPr bwMode="auto">
            <a:xfrm>
              <a:off x="651" y="286"/>
              <a:ext cx="20" cy="14"/>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 </a:t>
              </a:r>
            </a:p>
          </xdr:txBody>
        </xdr:sp>
        <xdr:sp macro="" textlink="">
          <xdr:nvSpPr>
            <xdr:cNvPr id="1229" name="Text 47">
              <a:extLst>
                <a:ext uri="{FF2B5EF4-FFF2-40B4-BE49-F238E27FC236}">
                  <a16:creationId xmlns:a16="http://schemas.microsoft.com/office/drawing/2014/main" id="{00000000-0008-0000-0100-0000CD040000}"/>
                </a:ext>
              </a:extLst>
            </xdr:cNvPr>
            <xdr:cNvSpPr txBox="1">
              <a:spLocks noChangeArrowheads="1"/>
            </xdr:cNvSpPr>
          </xdr:nvSpPr>
          <xdr:spPr bwMode="auto">
            <a:xfrm>
              <a:off x="528" y="284"/>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1</a:t>
              </a:r>
            </a:p>
          </xdr:txBody>
        </xdr:sp>
        <xdr:sp macro="" textlink="">
          <xdr:nvSpPr>
            <xdr:cNvPr id="1230" name="Text 51">
              <a:extLst>
                <a:ext uri="{FF2B5EF4-FFF2-40B4-BE49-F238E27FC236}">
                  <a16:creationId xmlns:a16="http://schemas.microsoft.com/office/drawing/2014/main" id="{00000000-0008-0000-0100-0000CE040000}"/>
                </a:ext>
              </a:extLst>
            </xdr:cNvPr>
            <xdr:cNvSpPr txBox="1">
              <a:spLocks noChangeArrowheads="1"/>
            </xdr:cNvSpPr>
          </xdr:nvSpPr>
          <xdr:spPr bwMode="auto">
            <a:xfrm>
              <a:off x="427" y="285"/>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2</a:t>
              </a:r>
            </a:p>
          </xdr:txBody>
        </xdr:sp>
        <xdr:sp macro="" textlink="">
          <xdr:nvSpPr>
            <xdr:cNvPr id="1231" name="Text 53">
              <a:extLst>
                <a:ext uri="{FF2B5EF4-FFF2-40B4-BE49-F238E27FC236}">
                  <a16:creationId xmlns:a16="http://schemas.microsoft.com/office/drawing/2014/main" id="{00000000-0008-0000-0100-0000CF040000}"/>
                </a:ext>
              </a:extLst>
            </xdr:cNvPr>
            <xdr:cNvSpPr txBox="1">
              <a:spLocks noChangeArrowheads="1"/>
            </xdr:cNvSpPr>
          </xdr:nvSpPr>
          <xdr:spPr bwMode="auto">
            <a:xfrm>
              <a:off x="300" y="255"/>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03</a:t>
              </a:r>
            </a:p>
          </xdr:txBody>
        </xdr:sp>
        <xdr:sp macro="" textlink="">
          <xdr:nvSpPr>
            <xdr:cNvPr id="1232" name="Text 54">
              <a:extLst>
                <a:ext uri="{FF2B5EF4-FFF2-40B4-BE49-F238E27FC236}">
                  <a16:creationId xmlns:a16="http://schemas.microsoft.com/office/drawing/2014/main" id="{00000000-0008-0000-0100-0000D0040000}"/>
                </a:ext>
              </a:extLst>
            </xdr:cNvPr>
            <xdr:cNvSpPr txBox="1">
              <a:spLocks noChangeArrowheads="1"/>
            </xdr:cNvSpPr>
          </xdr:nvSpPr>
          <xdr:spPr bwMode="auto">
            <a:xfrm>
              <a:off x="262" y="282"/>
              <a:ext cx="64" cy="18"/>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900" b="0" i="1" strike="noStrike">
                  <a:solidFill>
                    <a:srgbClr val="000000"/>
                  </a:solidFill>
                  <a:latin typeface="Arial"/>
                  <a:cs typeface="Arial"/>
                </a:rPr>
                <a:t>x</a:t>
              </a:r>
              <a:r>
                <a:rPr lang="en-US" sz="1000" b="0" i="0" strike="noStrike" baseline="-25000">
                  <a:solidFill>
                    <a:srgbClr val="000000"/>
                  </a:solidFill>
                  <a:latin typeface="Arial"/>
                  <a:cs typeface="Arial"/>
                </a:rPr>
                <a:t>3</a:t>
              </a:r>
              <a:r>
                <a:rPr lang="en-US" sz="900" b="0" i="0" strike="noStrike">
                  <a:solidFill>
                    <a:srgbClr val="000000"/>
                  </a:solidFill>
                  <a:latin typeface="Arial"/>
                  <a:cs typeface="Arial"/>
                </a:rPr>
                <a:t> &gt; 50km</a:t>
              </a:r>
            </a:p>
          </xdr:txBody>
        </xdr:sp>
        <xdr:sp macro="" textlink="">
          <xdr:nvSpPr>
            <xdr:cNvPr id="1233" name="Text 56">
              <a:extLst>
                <a:ext uri="{FF2B5EF4-FFF2-40B4-BE49-F238E27FC236}">
                  <a16:creationId xmlns:a16="http://schemas.microsoft.com/office/drawing/2014/main" id="{00000000-0008-0000-0100-0000D1040000}"/>
                </a:ext>
              </a:extLst>
            </xdr:cNvPr>
            <xdr:cNvSpPr txBox="1">
              <a:spLocks noChangeArrowheads="1"/>
            </xdr:cNvSpPr>
          </xdr:nvSpPr>
          <xdr:spPr bwMode="auto">
            <a:xfrm>
              <a:off x="267" y="240"/>
              <a:ext cx="17" cy="21"/>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grpSp>
      <xdr:sp macro="" textlink="">
        <xdr:nvSpPr>
          <xdr:cNvPr id="1234" name="Text Box 210">
            <a:extLst>
              <a:ext uri="{FF2B5EF4-FFF2-40B4-BE49-F238E27FC236}">
                <a16:creationId xmlns:a16="http://schemas.microsoft.com/office/drawing/2014/main" id="{00000000-0008-0000-0100-0000D2040000}"/>
              </a:ext>
            </a:extLst>
          </xdr:cNvPr>
          <xdr:cNvSpPr txBox="1">
            <a:spLocks noChangeArrowheads="1"/>
          </xdr:cNvSpPr>
        </xdr:nvSpPr>
        <xdr:spPr bwMode="auto">
          <a:xfrm>
            <a:off x="372" y="234"/>
            <a:ext cx="297" cy="18"/>
          </a:xfrm>
          <a:prstGeom prst="rect">
            <a:avLst/>
          </a:prstGeom>
          <a:solidFill>
            <a:srgbClr val="FF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Example showing terrain with 3 changes in roughness: n=3</a:t>
            </a:r>
          </a:p>
        </xdr:txBody>
      </xdr:sp>
    </xdr:grpSp>
    <xdr:clientData/>
  </xdr:twoCellAnchor>
  <mc:AlternateContent xmlns:mc="http://schemas.openxmlformats.org/markup-compatibility/2006">
    <mc:Choice xmlns:a14="http://schemas.microsoft.com/office/drawing/2010/main" Requires="a14">
      <xdr:twoCellAnchor editAs="oneCell">
        <xdr:from>
          <xdr:col>3</xdr:col>
          <xdr:colOff>66675</xdr:colOff>
          <xdr:row>11</xdr:row>
          <xdr:rowOff>133350</xdr:rowOff>
        </xdr:from>
        <xdr:to>
          <xdr:col>3</xdr:col>
          <xdr:colOff>485775</xdr:colOff>
          <xdr:row>13</xdr:row>
          <xdr:rowOff>28575</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133350</xdr:rowOff>
        </xdr:from>
        <xdr:to>
          <xdr:col>4</xdr:col>
          <xdr:colOff>485775</xdr:colOff>
          <xdr:row>13</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133350</xdr:rowOff>
        </xdr:from>
        <xdr:to>
          <xdr:col>5</xdr:col>
          <xdr:colOff>485775</xdr:colOff>
          <xdr:row>13</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11</xdr:row>
          <xdr:rowOff>133350</xdr:rowOff>
        </xdr:from>
        <xdr:to>
          <xdr:col>6</xdr:col>
          <xdr:colOff>504825</xdr:colOff>
          <xdr:row>13</xdr:row>
          <xdr:rowOff>28575</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11</xdr:row>
          <xdr:rowOff>133350</xdr:rowOff>
        </xdr:from>
        <xdr:to>
          <xdr:col>7</xdr:col>
          <xdr:colOff>504825</xdr:colOff>
          <xdr:row>13</xdr:row>
          <xdr:rowOff>28575</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11</xdr:row>
          <xdr:rowOff>133350</xdr:rowOff>
        </xdr:from>
        <xdr:to>
          <xdr:col>8</xdr:col>
          <xdr:colOff>504825</xdr:colOff>
          <xdr:row>13</xdr:row>
          <xdr:rowOff>28575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xdr:row>
          <xdr:rowOff>133350</xdr:rowOff>
        </xdr:from>
        <xdr:to>
          <xdr:col>9</xdr:col>
          <xdr:colOff>504825</xdr:colOff>
          <xdr:row>13</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11</xdr:row>
          <xdr:rowOff>133350</xdr:rowOff>
        </xdr:from>
        <xdr:to>
          <xdr:col>10</xdr:col>
          <xdr:colOff>504825</xdr:colOff>
          <xdr:row>13</xdr:row>
          <xdr:rowOff>28575</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11</xdr:row>
          <xdr:rowOff>133350</xdr:rowOff>
        </xdr:from>
        <xdr:to>
          <xdr:col>11</xdr:col>
          <xdr:colOff>504825</xdr:colOff>
          <xdr:row>13</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11</xdr:row>
          <xdr:rowOff>133350</xdr:rowOff>
        </xdr:from>
        <xdr:to>
          <xdr:col>12</xdr:col>
          <xdr:colOff>504825</xdr:colOff>
          <xdr:row>13</xdr:row>
          <xdr:rowOff>28575</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11</xdr:row>
          <xdr:rowOff>133350</xdr:rowOff>
        </xdr:from>
        <xdr:to>
          <xdr:col>13</xdr:col>
          <xdr:colOff>504825</xdr:colOff>
          <xdr:row>13</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11</xdr:row>
          <xdr:rowOff>133350</xdr:rowOff>
        </xdr:from>
        <xdr:to>
          <xdr:col>14</xdr:col>
          <xdr:colOff>504825</xdr:colOff>
          <xdr:row>13</xdr:row>
          <xdr:rowOff>28575</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11</xdr:row>
          <xdr:rowOff>133350</xdr:rowOff>
        </xdr:from>
        <xdr:to>
          <xdr:col>15</xdr:col>
          <xdr:colOff>504825</xdr:colOff>
          <xdr:row>13</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11</xdr:row>
          <xdr:rowOff>133350</xdr:rowOff>
        </xdr:from>
        <xdr:to>
          <xdr:col>16</xdr:col>
          <xdr:colOff>504825</xdr:colOff>
          <xdr:row>13</xdr:row>
          <xdr:rowOff>28575</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11</xdr:row>
          <xdr:rowOff>133350</xdr:rowOff>
        </xdr:from>
        <xdr:to>
          <xdr:col>17</xdr:col>
          <xdr:colOff>504825</xdr:colOff>
          <xdr:row>13</xdr:row>
          <xdr:rowOff>28575</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11</xdr:row>
          <xdr:rowOff>133350</xdr:rowOff>
        </xdr:from>
        <xdr:to>
          <xdr:col>18</xdr:col>
          <xdr:colOff>504825</xdr:colOff>
          <xdr:row>13</xdr:row>
          <xdr:rowOff>28575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11</xdr:row>
          <xdr:rowOff>133350</xdr:rowOff>
        </xdr:from>
        <xdr:to>
          <xdr:col>19</xdr:col>
          <xdr:colOff>504825</xdr:colOff>
          <xdr:row>13</xdr:row>
          <xdr:rowOff>28575</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11</xdr:row>
          <xdr:rowOff>133350</xdr:rowOff>
        </xdr:from>
        <xdr:to>
          <xdr:col>20</xdr:col>
          <xdr:colOff>504825</xdr:colOff>
          <xdr:row>13</xdr:row>
          <xdr:rowOff>28575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11</xdr:row>
          <xdr:rowOff>133350</xdr:rowOff>
        </xdr:from>
        <xdr:to>
          <xdr:col>21</xdr:col>
          <xdr:colOff>504825</xdr:colOff>
          <xdr:row>13</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85725</xdr:colOff>
          <xdr:row>11</xdr:row>
          <xdr:rowOff>133350</xdr:rowOff>
        </xdr:from>
        <xdr:to>
          <xdr:col>22</xdr:col>
          <xdr:colOff>504825</xdr:colOff>
          <xdr:row>13</xdr:row>
          <xdr:rowOff>28575</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11</xdr:row>
          <xdr:rowOff>133350</xdr:rowOff>
        </xdr:from>
        <xdr:to>
          <xdr:col>23</xdr:col>
          <xdr:colOff>504825</xdr:colOff>
          <xdr:row>13</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11</xdr:row>
          <xdr:rowOff>133350</xdr:rowOff>
        </xdr:from>
        <xdr:to>
          <xdr:col>24</xdr:col>
          <xdr:colOff>504825</xdr:colOff>
          <xdr:row>13</xdr:row>
          <xdr:rowOff>28575</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85725</xdr:colOff>
          <xdr:row>11</xdr:row>
          <xdr:rowOff>133350</xdr:rowOff>
        </xdr:from>
        <xdr:to>
          <xdr:col>25</xdr:col>
          <xdr:colOff>504825</xdr:colOff>
          <xdr:row>13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11</xdr:row>
          <xdr:rowOff>133350</xdr:rowOff>
        </xdr:from>
        <xdr:to>
          <xdr:col>26</xdr:col>
          <xdr:colOff>504825</xdr:colOff>
          <xdr:row>13</xdr:row>
          <xdr:rowOff>28575</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11</xdr:row>
          <xdr:rowOff>133350</xdr:rowOff>
        </xdr:from>
        <xdr:to>
          <xdr:col>2</xdr:col>
          <xdr:colOff>485775</xdr:colOff>
          <xdr:row>13</xdr:row>
          <xdr:rowOff>28575</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11</xdr:row>
          <xdr:rowOff>133350</xdr:rowOff>
        </xdr:from>
        <xdr:to>
          <xdr:col>3</xdr:col>
          <xdr:colOff>485775</xdr:colOff>
          <xdr:row>13</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11</xdr:row>
          <xdr:rowOff>133350</xdr:rowOff>
        </xdr:from>
        <xdr:to>
          <xdr:col>4</xdr:col>
          <xdr:colOff>485775</xdr:colOff>
          <xdr:row>13</xdr:row>
          <xdr:rowOff>28575</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11</xdr:row>
          <xdr:rowOff>133350</xdr:rowOff>
        </xdr:from>
        <xdr:to>
          <xdr:col>5</xdr:col>
          <xdr:colOff>485775</xdr:colOff>
          <xdr:row>13</xdr:row>
          <xdr:rowOff>28575</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11</xdr:row>
          <xdr:rowOff>133350</xdr:rowOff>
        </xdr:from>
        <xdr:to>
          <xdr:col>6</xdr:col>
          <xdr:colOff>504825</xdr:colOff>
          <xdr:row>13</xdr:row>
          <xdr:rowOff>28575</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11</xdr:row>
          <xdr:rowOff>133350</xdr:rowOff>
        </xdr:from>
        <xdr:to>
          <xdr:col>7</xdr:col>
          <xdr:colOff>504825</xdr:colOff>
          <xdr:row>13</xdr:row>
          <xdr:rowOff>28575</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11</xdr:row>
          <xdr:rowOff>133350</xdr:rowOff>
        </xdr:from>
        <xdr:to>
          <xdr:col>8</xdr:col>
          <xdr:colOff>504825</xdr:colOff>
          <xdr:row>13</xdr:row>
          <xdr:rowOff>28575</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11</xdr:row>
          <xdr:rowOff>133350</xdr:rowOff>
        </xdr:from>
        <xdr:to>
          <xdr:col>9</xdr:col>
          <xdr:colOff>504825</xdr:colOff>
          <xdr:row>13</xdr:row>
          <xdr:rowOff>28575</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85725</xdr:colOff>
          <xdr:row>11</xdr:row>
          <xdr:rowOff>133350</xdr:rowOff>
        </xdr:from>
        <xdr:to>
          <xdr:col>10</xdr:col>
          <xdr:colOff>504825</xdr:colOff>
          <xdr:row>13</xdr:row>
          <xdr:rowOff>28575</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11</xdr:row>
          <xdr:rowOff>133350</xdr:rowOff>
        </xdr:from>
        <xdr:to>
          <xdr:col>11</xdr:col>
          <xdr:colOff>504825</xdr:colOff>
          <xdr:row>13</xdr:row>
          <xdr:rowOff>28575</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11</xdr:row>
          <xdr:rowOff>133350</xdr:rowOff>
        </xdr:from>
        <xdr:to>
          <xdr:col>12</xdr:col>
          <xdr:colOff>504825</xdr:colOff>
          <xdr:row>13</xdr:row>
          <xdr:rowOff>28575</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11</xdr:row>
          <xdr:rowOff>133350</xdr:rowOff>
        </xdr:from>
        <xdr:to>
          <xdr:col>2</xdr:col>
          <xdr:colOff>485775</xdr:colOff>
          <xdr:row>13</xdr:row>
          <xdr:rowOff>28575</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11</xdr:row>
          <xdr:rowOff>133350</xdr:rowOff>
        </xdr:from>
        <xdr:to>
          <xdr:col>14</xdr:col>
          <xdr:colOff>504825</xdr:colOff>
          <xdr:row>13</xdr:row>
          <xdr:rowOff>28575</xdr:rowOff>
        </xdr:to>
        <xdr:sp macro="" textlink="">
          <xdr:nvSpPr>
            <xdr:cNvPr id="1236" name="Check Box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11</xdr:row>
          <xdr:rowOff>133350</xdr:rowOff>
        </xdr:from>
        <xdr:to>
          <xdr:col>15</xdr:col>
          <xdr:colOff>504825</xdr:colOff>
          <xdr:row>13</xdr:row>
          <xdr:rowOff>28575</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11</xdr:row>
          <xdr:rowOff>133350</xdr:rowOff>
        </xdr:from>
        <xdr:to>
          <xdr:col>16</xdr:col>
          <xdr:colOff>504825</xdr:colOff>
          <xdr:row>13</xdr:row>
          <xdr:rowOff>28575</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11</xdr:row>
          <xdr:rowOff>133350</xdr:rowOff>
        </xdr:from>
        <xdr:to>
          <xdr:col>17</xdr:col>
          <xdr:colOff>504825</xdr:colOff>
          <xdr:row>13</xdr:row>
          <xdr:rowOff>28575</xdr:rowOff>
        </xdr:to>
        <xdr:sp macro="" textlink="">
          <xdr:nvSpPr>
            <xdr:cNvPr id="1239" name="Check Box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11</xdr:row>
          <xdr:rowOff>133350</xdr:rowOff>
        </xdr:from>
        <xdr:to>
          <xdr:col>18</xdr:col>
          <xdr:colOff>504825</xdr:colOff>
          <xdr:row>13</xdr:row>
          <xdr:rowOff>28575</xdr:rowOff>
        </xdr:to>
        <xdr:sp macro="" textlink="">
          <xdr:nvSpPr>
            <xdr:cNvPr id="1240" name="Check Box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11</xdr:row>
          <xdr:rowOff>133350</xdr:rowOff>
        </xdr:from>
        <xdr:to>
          <xdr:col>19</xdr:col>
          <xdr:colOff>504825</xdr:colOff>
          <xdr:row>13</xdr:row>
          <xdr:rowOff>28575</xdr:rowOff>
        </xdr:to>
        <xdr:sp macro="" textlink="">
          <xdr:nvSpPr>
            <xdr:cNvPr id="1241" name="Check Box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85725</xdr:colOff>
          <xdr:row>11</xdr:row>
          <xdr:rowOff>133350</xdr:rowOff>
        </xdr:from>
        <xdr:to>
          <xdr:col>20</xdr:col>
          <xdr:colOff>504825</xdr:colOff>
          <xdr:row>13</xdr:row>
          <xdr:rowOff>28575</xdr:rowOff>
        </xdr:to>
        <xdr:sp macro="" textlink="">
          <xdr:nvSpPr>
            <xdr:cNvPr id="1242" name="Check Box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85725</xdr:colOff>
          <xdr:row>11</xdr:row>
          <xdr:rowOff>133350</xdr:rowOff>
        </xdr:from>
        <xdr:to>
          <xdr:col>21</xdr:col>
          <xdr:colOff>504825</xdr:colOff>
          <xdr:row>13</xdr:row>
          <xdr:rowOff>28575</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85725</xdr:colOff>
          <xdr:row>11</xdr:row>
          <xdr:rowOff>133350</xdr:rowOff>
        </xdr:from>
        <xdr:to>
          <xdr:col>22</xdr:col>
          <xdr:colOff>504825</xdr:colOff>
          <xdr:row>13</xdr:row>
          <xdr:rowOff>28575</xdr:rowOff>
        </xdr:to>
        <xdr:sp macro="" textlink="">
          <xdr:nvSpPr>
            <xdr:cNvPr id="1244" name="Check Box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11</xdr:row>
          <xdr:rowOff>133350</xdr:rowOff>
        </xdr:from>
        <xdr:to>
          <xdr:col>23</xdr:col>
          <xdr:colOff>504825</xdr:colOff>
          <xdr:row>13</xdr:row>
          <xdr:rowOff>28575</xdr:rowOff>
        </xdr:to>
        <xdr:sp macro="" textlink="">
          <xdr:nvSpPr>
            <xdr:cNvPr id="1245" name="Check Box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85725</xdr:colOff>
          <xdr:row>11</xdr:row>
          <xdr:rowOff>133350</xdr:rowOff>
        </xdr:from>
        <xdr:to>
          <xdr:col>24</xdr:col>
          <xdr:colOff>504825</xdr:colOff>
          <xdr:row>13</xdr:row>
          <xdr:rowOff>28575</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85725</xdr:colOff>
          <xdr:row>11</xdr:row>
          <xdr:rowOff>133350</xdr:rowOff>
        </xdr:from>
        <xdr:to>
          <xdr:col>25</xdr:col>
          <xdr:colOff>504825</xdr:colOff>
          <xdr:row>13</xdr:row>
          <xdr:rowOff>28575</xdr:rowOff>
        </xdr:to>
        <xdr:sp macro="" textlink="">
          <xdr:nvSpPr>
            <xdr:cNvPr id="1247" name="Check Box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85725</xdr:colOff>
          <xdr:row>11</xdr:row>
          <xdr:rowOff>133350</xdr:rowOff>
        </xdr:from>
        <xdr:to>
          <xdr:col>26</xdr:col>
          <xdr:colOff>504825</xdr:colOff>
          <xdr:row>13</xdr:row>
          <xdr:rowOff>28575</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100-0000E0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11</xdr:col>
      <xdr:colOff>266700</xdr:colOff>
      <xdr:row>16</xdr:row>
      <xdr:rowOff>76200</xdr:rowOff>
    </xdr:from>
    <xdr:to>
      <xdr:col>11</xdr:col>
      <xdr:colOff>342900</xdr:colOff>
      <xdr:row>17</xdr:row>
      <xdr:rowOff>104775</xdr:rowOff>
    </xdr:to>
    <xdr:sp macro="" textlink="">
      <xdr:nvSpPr>
        <xdr:cNvPr id="2705555" name="Text 2">
          <a:extLst>
            <a:ext uri="{FF2B5EF4-FFF2-40B4-BE49-F238E27FC236}">
              <a16:creationId xmlns:a16="http://schemas.microsoft.com/office/drawing/2014/main" id="{00000000-0008-0000-0200-000093482900}"/>
            </a:ext>
          </a:extLst>
        </xdr:cNvPr>
        <xdr:cNvSpPr txBox="1">
          <a:spLocks noChangeArrowheads="1"/>
        </xdr:cNvSpPr>
      </xdr:nvSpPr>
      <xdr:spPr bwMode="auto">
        <a:xfrm>
          <a:off x="8467725" y="2686050"/>
          <a:ext cx="76200" cy="190500"/>
        </a:xfrm>
        <a:prstGeom prst="rect">
          <a:avLst/>
        </a:prstGeom>
        <a:noFill/>
        <a:ln w="9525">
          <a:noFill/>
          <a:miter lim="800000"/>
          <a:headEnd/>
          <a:tailEnd/>
        </a:ln>
      </xdr:spPr>
    </xdr:sp>
    <xdr:clientData/>
  </xdr:twoCellAnchor>
  <xdr:twoCellAnchor editAs="oneCell">
    <xdr:from>
      <xdr:col>25</xdr:col>
      <xdr:colOff>495300</xdr:colOff>
      <xdr:row>15</xdr:row>
      <xdr:rowOff>114300</xdr:rowOff>
    </xdr:from>
    <xdr:to>
      <xdr:col>25</xdr:col>
      <xdr:colOff>571500</xdr:colOff>
      <xdr:row>16</xdr:row>
      <xdr:rowOff>142875</xdr:rowOff>
    </xdr:to>
    <xdr:sp macro="" textlink="">
      <xdr:nvSpPr>
        <xdr:cNvPr id="2705556" name="Text 3">
          <a:extLst>
            <a:ext uri="{FF2B5EF4-FFF2-40B4-BE49-F238E27FC236}">
              <a16:creationId xmlns:a16="http://schemas.microsoft.com/office/drawing/2014/main" id="{00000000-0008-0000-0200-000094482900}"/>
            </a:ext>
          </a:extLst>
        </xdr:cNvPr>
        <xdr:cNvSpPr txBox="1">
          <a:spLocks noChangeArrowheads="1"/>
        </xdr:cNvSpPr>
      </xdr:nvSpPr>
      <xdr:spPr bwMode="auto">
        <a:xfrm>
          <a:off x="17230725" y="2562225"/>
          <a:ext cx="76200" cy="190500"/>
        </a:xfrm>
        <a:prstGeom prst="rect">
          <a:avLst/>
        </a:prstGeom>
        <a:noFill/>
        <a:ln w="9525">
          <a:noFill/>
          <a:miter lim="800000"/>
          <a:headEnd/>
          <a:tailEnd/>
        </a:ln>
      </xdr:spPr>
    </xdr:sp>
    <xdr:clientData/>
  </xdr:twoCellAnchor>
  <xdr:twoCellAnchor>
    <xdr:from>
      <xdr:col>1</xdr:col>
      <xdr:colOff>1781175</xdr:colOff>
      <xdr:row>85</xdr:row>
      <xdr:rowOff>66675</xdr:rowOff>
    </xdr:from>
    <xdr:to>
      <xdr:col>6</xdr:col>
      <xdr:colOff>104775</xdr:colOff>
      <xdr:row>92</xdr:row>
      <xdr:rowOff>142875</xdr:rowOff>
    </xdr:to>
    <xdr:graphicFrame macro="">
      <xdr:nvGraphicFramePr>
        <xdr:cNvPr id="2705557" name="Chart 430">
          <a:extLst>
            <a:ext uri="{FF2B5EF4-FFF2-40B4-BE49-F238E27FC236}">
              <a16:creationId xmlns:a16="http://schemas.microsoft.com/office/drawing/2014/main" id="{00000000-0008-0000-0200-000095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1809750</xdr:colOff>
      <xdr:row>75</xdr:row>
      <xdr:rowOff>114300</xdr:rowOff>
    </xdr:from>
    <xdr:to>
      <xdr:col>6</xdr:col>
      <xdr:colOff>171450</xdr:colOff>
      <xdr:row>85</xdr:row>
      <xdr:rowOff>9525</xdr:rowOff>
    </xdr:to>
    <xdr:graphicFrame macro="">
      <xdr:nvGraphicFramePr>
        <xdr:cNvPr id="2705558" name="Chart 431">
          <a:extLst>
            <a:ext uri="{FF2B5EF4-FFF2-40B4-BE49-F238E27FC236}">
              <a16:creationId xmlns:a16="http://schemas.microsoft.com/office/drawing/2014/main" id="{00000000-0008-0000-0200-000096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600075</xdr:colOff>
      <xdr:row>75</xdr:row>
      <xdr:rowOff>95250</xdr:rowOff>
    </xdr:from>
    <xdr:to>
      <xdr:col>10</xdr:col>
      <xdr:colOff>190500</xdr:colOff>
      <xdr:row>86</xdr:row>
      <xdr:rowOff>9525</xdr:rowOff>
    </xdr:to>
    <xdr:graphicFrame macro="">
      <xdr:nvGraphicFramePr>
        <xdr:cNvPr id="2705559" name="Chart 432">
          <a:extLst>
            <a:ext uri="{FF2B5EF4-FFF2-40B4-BE49-F238E27FC236}">
              <a16:creationId xmlns:a16="http://schemas.microsoft.com/office/drawing/2014/main" id="{00000000-0008-0000-0200-000097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75</xdr:row>
      <xdr:rowOff>95250</xdr:rowOff>
    </xdr:from>
    <xdr:to>
      <xdr:col>14</xdr:col>
      <xdr:colOff>200025</xdr:colOff>
      <xdr:row>86</xdr:row>
      <xdr:rowOff>9525</xdr:rowOff>
    </xdr:to>
    <xdr:graphicFrame macro="">
      <xdr:nvGraphicFramePr>
        <xdr:cNvPr id="2705560" name="Chart 433">
          <a:extLst>
            <a:ext uri="{FF2B5EF4-FFF2-40B4-BE49-F238E27FC236}">
              <a16:creationId xmlns:a16="http://schemas.microsoft.com/office/drawing/2014/main" id="{00000000-0008-0000-0200-000098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600075</xdr:colOff>
      <xdr:row>75</xdr:row>
      <xdr:rowOff>95250</xdr:rowOff>
    </xdr:from>
    <xdr:to>
      <xdr:col>18</xdr:col>
      <xdr:colOff>190500</xdr:colOff>
      <xdr:row>86</xdr:row>
      <xdr:rowOff>9525</xdr:rowOff>
    </xdr:to>
    <xdr:graphicFrame macro="">
      <xdr:nvGraphicFramePr>
        <xdr:cNvPr id="2705561" name="Chart 434">
          <a:extLst>
            <a:ext uri="{FF2B5EF4-FFF2-40B4-BE49-F238E27FC236}">
              <a16:creationId xmlns:a16="http://schemas.microsoft.com/office/drawing/2014/main" id="{00000000-0008-0000-0200-000099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600075</xdr:colOff>
      <xdr:row>75</xdr:row>
      <xdr:rowOff>114300</xdr:rowOff>
    </xdr:from>
    <xdr:to>
      <xdr:col>22</xdr:col>
      <xdr:colOff>190500</xdr:colOff>
      <xdr:row>86</xdr:row>
      <xdr:rowOff>28575</xdr:rowOff>
    </xdr:to>
    <xdr:graphicFrame macro="">
      <xdr:nvGraphicFramePr>
        <xdr:cNvPr id="2705562" name="Chart 435">
          <a:extLst>
            <a:ext uri="{FF2B5EF4-FFF2-40B4-BE49-F238E27FC236}">
              <a16:creationId xmlns:a16="http://schemas.microsoft.com/office/drawing/2014/main" id="{00000000-0008-0000-0200-00009A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600075</xdr:colOff>
      <xdr:row>75</xdr:row>
      <xdr:rowOff>76200</xdr:rowOff>
    </xdr:from>
    <xdr:to>
      <xdr:col>26</xdr:col>
      <xdr:colOff>190500</xdr:colOff>
      <xdr:row>85</xdr:row>
      <xdr:rowOff>152400</xdr:rowOff>
    </xdr:to>
    <xdr:graphicFrame macro="">
      <xdr:nvGraphicFramePr>
        <xdr:cNvPr id="2705563" name="Chart 436">
          <a:extLst>
            <a:ext uri="{FF2B5EF4-FFF2-40B4-BE49-F238E27FC236}">
              <a16:creationId xmlns:a16="http://schemas.microsoft.com/office/drawing/2014/main" id="{00000000-0008-0000-0200-00009B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590550</xdr:colOff>
      <xdr:row>75</xdr:row>
      <xdr:rowOff>85725</xdr:rowOff>
    </xdr:from>
    <xdr:to>
      <xdr:col>30</xdr:col>
      <xdr:colOff>180975</xdr:colOff>
      <xdr:row>86</xdr:row>
      <xdr:rowOff>0</xdr:rowOff>
    </xdr:to>
    <xdr:graphicFrame macro="">
      <xdr:nvGraphicFramePr>
        <xdr:cNvPr id="2705564" name="Chart 437">
          <a:extLst>
            <a:ext uri="{FF2B5EF4-FFF2-40B4-BE49-F238E27FC236}">
              <a16:creationId xmlns:a16="http://schemas.microsoft.com/office/drawing/2014/main" id="{00000000-0008-0000-0200-00009C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561975</xdr:colOff>
      <xdr:row>75</xdr:row>
      <xdr:rowOff>95250</xdr:rowOff>
    </xdr:from>
    <xdr:to>
      <xdr:col>34</xdr:col>
      <xdr:colOff>152400</xdr:colOff>
      <xdr:row>86</xdr:row>
      <xdr:rowOff>9525</xdr:rowOff>
    </xdr:to>
    <xdr:graphicFrame macro="">
      <xdr:nvGraphicFramePr>
        <xdr:cNvPr id="2705565" name="Chart 438">
          <a:extLst>
            <a:ext uri="{FF2B5EF4-FFF2-40B4-BE49-F238E27FC236}">
              <a16:creationId xmlns:a16="http://schemas.microsoft.com/office/drawing/2014/main" id="{00000000-0008-0000-0200-00009D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600075</xdr:colOff>
      <xdr:row>75</xdr:row>
      <xdr:rowOff>85725</xdr:rowOff>
    </xdr:from>
    <xdr:to>
      <xdr:col>38</xdr:col>
      <xdr:colOff>190500</xdr:colOff>
      <xdr:row>86</xdr:row>
      <xdr:rowOff>0</xdr:rowOff>
    </xdr:to>
    <xdr:graphicFrame macro="">
      <xdr:nvGraphicFramePr>
        <xdr:cNvPr id="2705566" name="Chart 439">
          <a:extLst>
            <a:ext uri="{FF2B5EF4-FFF2-40B4-BE49-F238E27FC236}">
              <a16:creationId xmlns:a16="http://schemas.microsoft.com/office/drawing/2014/main" id="{00000000-0008-0000-0200-00009E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37</xdr:col>
      <xdr:colOff>590550</xdr:colOff>
      <xdr:row>75</xdr:row>
      <xdr:rowOff>76200</xdr:rowOff>
    </xdr:from>
    <xdr:to>
      <xdr:col>42</xdr:col>
      <xdr:colOff>180975</xdr:colOff>
      <xdr:row>85</xdr:row>
      <xdr:rowOff>152400</xdr:rowOff>
    </xdr:to>
    <xdr:graphicFrame macro="">
      <xdr:nvGraphicFramePr>
        <xdr:cNvPr id="2705567" name="Chart 440">
          <a:extLst>
            <a:ext uri="{FF2B5EF4-FFF2-40B4-BE49-F238E27FC236}">
              <a16:creationId xmlns:a16="http://schemas.microsoft.com/office/drawing/2014/main" id="{00000000-0008-0000-0200-00009F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600075</xdr:colOff>
      <xdr:row>75</xdr:row>
      <xdr:rowOff>66675</xdr:rowOff>
    </xdr:from>
    <xdr:to>
      <xdr:col>46</xdr:col>
      <xdr:colOff>190500</xdr:colOff>
      <xdr:row>85</xdr:row>
      <xdr:rowOff>142875</xdr:rowOff>
    </xdr:to>
    <xdr:graphicFrame macro="">
      <xdr:nvGraphicFramePr>
        <xdr:cNvPr id="2705568" name="Chart 441">
          <a:extLst>
            <a:ext uri="{FF2B5EF4-FFF2-40B4-BE49-F238E27FC236}">
              <a16:creationId xmlns:a16="http://schemas.microsoft.com/office/drawing/2014/main" id="{00000000-0008-0000-0200-0000A0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46</xdr:col>
      <xdr:colOff>0</xdr:colOff>
      <xdr:row>75</xdr:row>
      <xdr:rowOff>38100</xdr:rowOff>
    </xdr:from>
    <xdr:to>
      <xdr:col>50</xdr:col>
      <xdr:colOff>200025</xdr:colOff>
      <xdr:row>85</xdr:row>
      <xdr:rowOff>114300</xdr:rowOff>
    </xdr:to>
    <xdr:graphicFrame macro="">
      <xdr:nvGraphicFramePr>
        <xdr:cNvPr id="2705569" name="Chart 442">
          <a:extLst>
            <a:ext uri="{FF2B5EF4-FFF2-40B4-BE49-F238E27FC236}">
              <a16:creationId xmlns:a16="http://schemas.microsoft.com/office/drawing/2014/main" id="{00000000-0008-0000-0200-0000A1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19050</xdr:colOff>
      <xdr:row>85</xdr:row>
      <xdr:rowOff>66675</xdr:rowOff>
    </xdr:from>
    <xdr:to>
      <xdr:col>10</xdr:col>
      <xdr:colOff>180975</xdr:colOff>
      <xdr:row>92</xdr:row>
      <xdr:rowOff>152400</xdr:rowOff>
    </xdr:to>
    <xdr:graphicFrame macro="">
      <xdr:nvGraphicFramePr>
        <xdr:cNvPr id="2705570" name="Chart 443">
          <a:extLst>
            <a:ext uri="{FF2B5EF4-FFF2-40B4-BE49-F238E27FC236}">
              <a16:creationId xmlns:a16="http://schemas.microsoft.com/office/drawing/2014/main" id="{00000000-0008-0000-0200-0000A2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10</xdr:col>
      <xdr:colOff>47625</xdr:colOff>
      <xdr:row>85</xdr:row>
      <xdr:rowOff>104775</xdr:rowOff>
    </xdr:from>
    <xdr:to>
      <xdr:col>14</xdr:col>
      <xdr:colOff>209550</xdr:colOff>
      <xdr:row>93</xdr:row>
      <xdr:rowOff>28575</xdr:rowOff>
    </xdr:to>
    <xdr:graphicFrame macro="">
      <xdr:nvGraphicFramePr>
        <xdr:cNvPr id="2705571" name="Chart 444">
          <a:extLst>
            <a:ext uri="{FF2B5EF4-FFF2-40B4-BE49-F238E27FC236}">
              <a16:creationId xmlns:a16="http://schemas.microsoft.com/office/drawing/2014/main" id="{00000000-0008-0000-0200-0000A3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590550</xdr:colOff>
      <xdr:row>85</xdr:row>
      <xdr:rowOff>104775</xdr:rowOff>
    </xdr:from>
    <xdr:to>
      <xdr:col>18</xdr:col>
      <xdr:colOff>142875</xdr:colOff>
      <xdr:row>93</xdr:row>
      <xdr:rowOff>28575</xdr:rowOff>
    </xdr:to>
    <xdr:graphicFrame macro="">
      <xdr:nvGraphicFramePr>
        <xdr:cNvPr id="2705572" name="Chart 445">
          <a:extLst>
            <a:ext uri="{FF2B5EF4-FFF2-40B4-BE49-F238E27FC236}">
              <a16:creationId xmlns:a16="http://schemas.microsoft.com/office/drawing/2014/main" id="{00000000-0008-0000-0200-0000A4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19050</xdr:colOff>
      <xdr:row>85</xdr:row>
      <xdr:rowOff>104775</xdr:rowOff>
    </xdr:from>
    <xdr:to>
      <xdr:col>22</xdr:col>
      <xdr:colOff>180975</xdr:colOff>
      <xdr:row>93</xdr:row>
      <xdr:rowOff>28575</xdr:rowOff>
    </xdr:to>
    <xdr:graphicFrame macro="">
      <xdr:nvGraphicFramePr>
        <xdr:cNvPr id="2705573" name="Chart 446">
          <a:extLst>
            <a:ext uri="{FF2B5EF4-FFF2-40B4-BE49-F238E27FC236}">
              <a16:creationId xmlns:a16="http://schemas.microsoft.com/office/drawing/2014/main" id="{00000000-0008-0000-0200-0000A5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22</xdr:col>
      <xdr:colOff>9525</xdr:colOff>
      <xdr:row>85</xdr:row>
      <xdr:rowOff>114300</xdr:rowOff>
    </xdr:from>
    <xdr:to>
      <xdr:col>26</xdr:col>
      <xdr:colOff>171450</xdr:colOff>
      <xdr:row>93</xdr:row>
      <xdr:rowOff>38100</xdr:rowOff>
    </xdr:to>
    <xdr:graphicFrame macro="">
      <xdr:nvGraphicFramePr>
        <xdr:cNvPr id="2705574" name="Chart 447">
          <a:extLst>
            <a:ext uri="{FF2B5EF4-FFF2-40B4-BE49-F238E27FC236}">
              <a16:creationId xmlns:a16="http://schemas.microsoft.com/office/drawing/2014/main" id="{00000000-0008-0000-0200-0000A6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25</xdr:col>
      <xdr:colOff>600075</xdr:colOff>
      <xdr:row>85</xdr:row>
      <xdr:rowOff>104775</xdr:rowOff>
    </xdr:from>
    <xdr:to>
      <xdr:col>30</xdr:col>
      <xdr:colOff>152400</xdr:colOff>
      <xdr:row>93</xdr:row>
      <xdr:rowOff>28575</xdr:rowOff>
    </xdr:to>
    <xdr:graphicFrame macro="">
      <xdr:nvGraphicFramePr>
        <xdr:cNvPr id="2705575" name="Chart 448">
          <a:extLst>
            <a:ext uri="{FF2B5EF4-FFF2-40B4-BE49-F238E27FC236}">
              <a16:creationId xmlns:a16="http://schemas.microsoft.com/office/drawing/2014/main" id="{00000000-0008-0000-0200-0000A7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30</xdr:col>
      <xdr:colOff>28575</xdr:colOff>
      <xdr:row>85</xdr:row>
      <xdr:rowOff>133350</xdr:rowOff>
    </xdr:from>
    <xdr:to>
      <xdr:col>34</xdr:col>
      <xdr:colOff>190500</xdr:colOff>
      <xdr:row>93</xdr:row>
      <xdr:rowOff>57150</xdr:rowOff>
    </xdr:to>
    <xdr:graphicFrame macro="">
      <xdr:nvGraphicFramePr>
        <xdr:cNvPr id="2705576" name="Chart 449">
          <a:extLst>
            <a:ext uri="{FF2B5EF4-FFF2-40B4-BE49-F238E27FC236}">
              <a16:creationId xmlns:a16="http://schemas.microsoft.com/office/drawing/2014/main" id="{00000000-0008-0000-0200-0000A8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33</xdr:col>
      <xdr:colOff>590550</xdr:colOff>
      <xdr:row>85</xdr:row>
      <xdr:rowOff>152400</xdr:rowOff>
    </xdr:from>
    <xdr:to>
      <xdr:col>38</xdr:col>
      <xdr:colOff>142875</xdr:colOff>
      <xdr:row>93</xdr:row>
      <xdr:rowOff>76200</xdr:rowOff>
    </xdr:to>
    <xdr:graphicFrame macro="">
      <xdr:nvGraphicFramePr>
        <xdr:cNvPr id="2705577" name="Chart 450">
          <a:extLst>
            <a:ext uri="{FF2B5EF4-FFF2-40B4-BE49-F238E27FC236}">
              <a16:creationId xmlns:a16="http://schemas.microsoft.com/office/drawing/2014/main" id="{00000000-0008-0000-0200-0000A9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38</xdr:col>
      <xdr:colOff>0</xdr:colOff>
      <xdr:row>86</xdr:row>
      <xdr:rowOff>19050</xdr:rowOff>
    </xdr:from>
    <xdr:to>
      <xdr:col>42</xdr:col>
      <xdr:colOff>161925</xdr:colOff>
      <xdr:row>93</xdr:row>
      <xdr:rowOff>104775</xdr:rowOff>
    </xdr:to>
    <xdr:graphicFrame macro="">
      <xdr:nvGraphicFramePr>
        <xdr:cNvPr id="2705578" name="Chart 451">
          <a:extLst>
            <a:ext uri="{FF2B5EF4-FFF2-40B4-BE49-F238E27FC236}">
              <a16:creationId xmlns:a16="http://schemas.microsoft.com/office/drawing/2014/main" id="{00000000-0008-0000-0200-0000AA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42</xdr:col>
      <xdr:colOff>0</xdr:colOff>
      <xdr:row>86</xdr:row>
      <xdr:rowOff>0</xdr:rowOff>
    </xdr:from>
    <xdr:to>
      <xdr:col>46</xdr:col>
      <xdr:colOff>161925</xdr:colOff>
      <xdr:row>93</xdr:row>
      <xdr:rowOff>85725</xdr:rowOff>
    </xdr:to>
    <xdr:graphicFrame macro="">
      <xdr:nvGraphicFramePr>
        <xdr:cNvPr id="2705579" name="Chart 452">
          <a:extLst>
            <a:ext uri="{FF2B5EF4-FFF2-40B4-BE49-F238E27FC236}">
              <a16:creationId xmlns:a16="http://schemas.microsoft.com/office/drawing/2014/main" id="{00000000-0008-0000-0200-0000AB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45</xdr:col>
      <xdr:colOff>590550</xdr:colOff>
      <xdr:row>85</xdr:row>
      <xdr:rowOff>142875</xdr:rowOff>
    </xdr:from>
    <xdr:to>
      <xdr:col>50</xdr:col>
      <xdr:colOff>142875</xdr:colOff>
      <xdr:row>93</xdr:row>
      <xdr:rowOff>66675</xdr:rowOff>
    </xdr:to>
    <xdr:graphicFrame macro="">
      <xdr:nvGraphicFramePr>
        <xdr:cNvPr id="2705580" name="Chart 453">
          <a:extLst>
            <a:ext uri="{FF2B5EF4-FFF2-40B4-BE49-F238E27FC236}">
              <a16:creationId xmlns:a16="http://schemas.microsoft.com/office/drawing/2014/main" id="{00000000-0008-0000-0200-0000AC48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15</xdr:col>
      <xdr:colOff>361950</xdr:colOff>
      <xdr:row>6</xdr:row>
      <xdr:rowOff>104775</xdr:rowOff>
    </xdr:from>
    <xdr:to>
      <xdr:col>18</xdr:col>
      <xdr:colOff>123825</xdr:colOff>
      <xdr:row>15</xdr:row>
      <xdr:rowOff>95250</xdr:rowOff>
    </xdr:to>
    <xdr:grpSp>
      <xdr:nvGrpSpPr>
        <xdr:cNvPr id="2705581" name="Group 553">
          <a:extLst>
            <a:ext uri="{FF2B5EF4-FFF2-40B4-BE49-F238E27FC236}">
              <a16:creationId xmlns:a16="http://schemas.microsoft.com/office/drawing/2014/main" id="{00000000-0008-0000-0200-0000AD482900}"/>
            </a:ext>
          </a:extLst>
        </xdr:cNvPr>
        <xdr:cNvGrpSpPr>
          <a:grpSpLocks/>
        </xdr:cNvGrpSpPr>
      </xdr:nvGrpSpPr>
      <xdr:grpSpPr bwMode="auto">
        <a:xfrm>
          <a:off x="11001375" y="1095375"/>
          <a:ext cx="1590675" cy="1447800"/>
          <a:chOff x="1126" y="115"/>
          <a:chExt cx="167" cy="152"/>
        </a:xfrm>
      </xdr:grpSpPr>
      <xdr:sp macro="" textlink="">
        <xdr:nvSpPr>
          <xdr:cNvPr id="4650" name="Text Box 554">
            <a:extLst>
              <a:ext uri="{FF2B5EF4-FFF2-40B4-BE49-F238E27FC236}">
                <a16:creationId xmlns:a16="http://schemas.microsoft.com/office/drawing/2014/main" id="{00000000-0008-0000-0200-00002A120000}"/>
              </a:ext>
            </a:extLst>
          </xdr:cNvPr>
          <xdr:cNvSpPr txBox="1">
            <a:spLocks noChangeArrowheads="1"/>
          </xdr:cNvSpPr>
        </xdr:nvSpPr>
        <xdr:spPr bwMode="auto">
          <a:xfrm>
            <a:off x="1145" y="218"/>
            <a:ext cx="16" cy="15"/>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4651" name="Text Box 555">
            <a:extLst>
              <a:ext uri="{FF2B5EF4-FFF2-40B4-BE49-F238E27FC236}">
                <a16:creationId xmlns:a16="http://schemas.microsoft.com/office/drawing/2014/main" id="{00000000-0008-0000-0200-00002B120000}"/>
              </a:ext>
            </a:extLst>
          </xdr:cNvPr>
          <xdr:cNvSpPr txBox="1">
            <a:spLocks noChangeArrowheads="1"/>
          </xdr:cNvSpPr>
        </xdr:nvSpPr>
        <xdr:spPr bwMode="auto">
          <a:xfrm>
            <a:off x="1177" y="204"/>
            <a:ext cx="14" cy="17"/>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4652" name="Text Box 556">
            <a:extLst>
              <a:ext uri="{FF2B5EF4-FFF2-40B4-BE49-F238E27FC236}">
                <a16:creationId xmlns:a16="http://schemas.microsoft.com/office/drawing/2014/main" id="{00000000-0008-0000-0200-00002C120000}"/>
              </a:ext>
            </a:extLst>
          </xdr:cNvPr>
          <xdr:cNvSpPr txBox="1">
            <a:spLocks noChangeArrowheads="1"/>
          </xdr:cNvSpPr>
        </xdr:nvSpPr>
        <xdr:spPr bwMode="auto">
          <a:xfrm>
            <a:off x="1181" y="128"/>
            <a:ext cx="17" cy="18"/>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N</a:t>
            </a:r>
          </a:p>
        </xdr:txBody>
      </xdr:sp>
      <xdr:sp macro="" textlink="">
        <xdr:nvSpPr>
          <xdr:cNvPr id="4653" name="Text Box 557">
            <a:extLst>
              <a:ext uri="{FF2B5EF4-FFF2-40B4-BE49-F238E27FC236}">
                <a16:creationId xmlns:a16="http://schemas.microsoft.com/office/drawing/2014/main" id="{00000000-0008-0000-0200-00002D120000}"/>
              </a:ext>
            </a:extLst>
          </xdr:cNvPr>
          <xdr:cNvSpPr txBox="1">
            <a:spLocks noChangeArrowheads="1"/>
          </xdr:cNvSpPr>
        </xdr:nvSpPr>
        <xdr:spPr bwMode="auto">
          <a:xfrm>
            <a:off x="1146" y="128"/>
            <a:ext cx="14" cy="25"/>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p>
        </xdr:txBody>
      </xdr:sp>
      <xdr:sp macro="" textlink="">
        <xdr:nvSpPr>
          <xdr:cNvPr id="4654" name="Text Box 558">
            <a:extLst>
              <a:ext uri="{FF2B5EF4-FFF2-40B4-BE49-F238E27FC236}">
                <a16:creationId xmlns:a16="http://schemas.microsoft.com/office/drawing/2014/main" id="{00000000-0008-0000-0200-00002E120000}"/>
              </a:ext>
            </a:extLst>
          </xdr:cNvPr>
          <xdr:cNvSpPr txBox="1">
            <a:spLocks noChangeArrowheads="1"/>
          </xdr:cNvSpPr>
        </xdr:nvSpPr>
        <xdr:spPr bwMode="auto">
          <a:xfrm>
            <a:off x="1197" y="220"/>
            <a:ext cx="71" cy="20"/>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Angle  N0</a:t>
            </a:r>
            <a:r>
              <a:rPr lang="en-US" sz="800" b="0" i="1" strike="noStrike">
                <a:solidFill>
                  <a:srgbClr val="000000"/>
                </a:solidFill>
                <a:latin typeface="Arial"/>
                <a:cs typeface="Arial"/>
              </a:rPr>
              <a:t>V</a:t>
            </a:r>
          </a:p>
        </xdr:txBody>
      </xdr:sp>
      <xdr:sp macro="" textlink="">
        <xdr:nvSpPr>
          <xdr:cNvPr id="4655" name="Text Box 559">
            <a:extLst>
              <a:ext uri="{FF2B5EF4-FFF2-40B4-BE49-F238E27FC236}">
                <a16:creationId xmlns:a16="http://schemas.microsoft.com/office/drawing/2014/main" id="{00000000-0008-0000-0200-00002F120000}"/>
              </a:ext>
            </a:extLst>
          </xdr:cNvPr>
          <xdr:cNvSpPr txBox="1">
            <a:spLocks noChangeArrowheads="1"/>
          </xdr:cNvSpPr>
        </xdr:nvSpPr>
        <xdr:spPr bwMode="auto">
          <a:xfrm>
            <a:off x="1230" y="200"/>
            <a:ext cx="63" cy="21"/>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Angle N0y</a:t>
            </a:r>
          </a:p>
        </xdr:txBody>
      </xdr:sp>
      <xdr:sp macro="" textlink="">
        <xdr:nvSpPr>
          <xdr:cNvPr id="4656" name="Text Box 560">
            <a:extLst>
              <a:ext uri="{FF2B5EF4-FFF2-40B4-BE49-F238E27FC236}">
                <a16:creationId xmlns:a16="http://schemas.microsoft.com/office/drawing/2014/main" id="{00000000-0008-0000-0200-000030120000}"/>
              </a:ext>
            </a:extLst>
          </xdr:cNvPr>
          <xdr:cNvSpPr txBox="1">
            <a:spLocks noChangeArrowheads="1"/>
          </xdr:cNvSpPr>
        </xdr:nvSpPr>
        <xdr:spPr bwMode="auto">
          <a:xfrm>
            <a:off x="1162" y="115"/>
            <a:ext cx="34" cy="1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North</a:t>
            </a:r>
          </a:p>
        </xdr:txBody>
      </xdr:sp>
      <xdr:grpSp>
        <xdr:nvGrpSpPr>
          <xdr:cNvPr id="2705672" name="Group 561">
            <a:extLst>
              <a:ext uri="{FF2B5EF4-FFF2-40B4-BE49-F238E27FC236}">
                <a16:creationId xmlns:a16="http://schemas.microsoft.com/office/drawing/2014/main" id="{00000000-0008-0000-0200-000008492900}"/>
              </a:ext>
            </a:extLst>
          </xdr:cNvPr>
          <xdr:cNvGrpSpPr>
            <a:grpSpLocks/>
          </xdr:cNvGrpSpPr>
        </xdr:nvGrpSpPr>
        <xdr:grpSpPr bwMode="auto">
          <a:xfrm>
            <a:off x="1126" y="132"/>
            <a:ext cx="105" cy="135"/>
            <a:chOff x="1057" y="133"/>
            <a:chExt cx="105" cy="135"/>
          </a:xfrm>
        </xdr:grpSpPr>
        <xdr:sp macro="" textlink="">
          <xdr:nvSpPr>
            <xdr:cNvPr id="2705673" name="Line 562">
              <a:extLst>
                <a:ext uri="{FF2B5EF4-FFF2-40B4-BE49-F238E27FC236}">
                  <a16:creationId xmlns:a16="http://schemas.microsoft.com/office/drawing/2014/main" id="{00000000-0008-0000-0200-000009492900}"/>
                </a:ext>
              </a:extLst>
            </xdr:cNvPr>
            <xdr:cNvSpPr>
              <a:spLocks noChangeShapeType="1"/>
            </xdr:cNvSpPr>
          </xdr:nvSpPr>
          <xdr:spPr bwMode="auto">
            <a:xfrm flipV="1">
              <a:off x="1107" y="133"/>
              <a:ext cx="0" cy="79"/>
            </a:xfrm>
            <a:prstGeom prst="line">
              <a:avLst/>
            </a:prstGeom>
            <a:noFill/>
            <a:ln w="12700">
              <a:solidFill>
                <a:srgbClr val="000000"/>
              </a:solidFill>
              <a:round/>
              <a:headEnd/>
              <a:tailEnd type="stealth" w="sm" len="med"/>
            </a:ln>
          </xdr:spPr>
        </xdr:sp>
        <xdr:grpSp>
          <xdr:nvGrpSpPr>
            <xdr:cNvPr id="2705674" name="Group 563">
              <a:extLst>
                <a:ext uri="{FF2B5EF4-FFF2-40B4-BE49-F238E27FC236}">
                  <a16:creationId xmlns:a16="http://schemas.microsoft.com/office/drawing/2014/main" id="{00000000-0008-0000-0200-00000A492900}"/>
                </a:ext>
              </a:extLst>
            </xdr:cNvPr>
            <xdr:cNvGrpSpPr>
              <a:grpSpLocks/>
            </xdr:cNvGrpSpPr>
          </xdr:nvGrpSpPr>
          <xdr:grpSpPr bwMode="auto">
            <a:xfrm>
              <a:off x="1073" y="212"/>
              <a:ext cx="34" cy="45"/>
              <a:chOff x="1579" y="280"/>
              <a:chExt cx="34" cy="45"/>
            </a:xfrm>
          </xdr:grpSpPr>
          <xdr:sp macro="" textlink="">
            <xdr:nvSpPr>
              <xdr:cNvPr id="2705678" name="Line 564">
                <a:extLst>
                  <a:ext uri="{FF2B5EF4-FFF2-40B4-BE49-F238E27FC236}">
                    <a16:creationId xmlns:a16="http://schemas.microsoft.com/office/drawing/2014/main" id="{00000000-0008-0000-0200-00000E492900}"/>
                  </a:ext>
                </a:extLst>
              </xdr:cNvPr>
              <xdr:cNvSpPr>
                <a:spLocks noChangeShapeType="1"/>
              </xdr:cNvSpPr>
            </xdr:nvSpPr>
            <xdr:spPr bwMode="auto">
              <a:xfrm flipV="1">
                <a:off x="1579" y="301"/>
                <a:ext cx="18" cy="24"/>
              </a:xfrm>
              <a:prstGeom prst="line">
                <a:avLst/>
              </a:prstGeom>
              <a:noFill/>
              <a:ln w="12700">
                <a:solidFill>
                  <a:srgbClr val="000000"/>
                </a:solidFill>
                <a:round/>
                <a:headEnd/>
                <a:tailEnd type="stealth" w="sm" len="med"/>
              </a:ln>
            </xdr:spPr>
          </xdr:sp>
          <xdr:sp macro="" textlink="">
            <xdr:nvSpPr>
              <xdr:cNvPr id="2705679" name="Line 565">
                <a:extLst>
                  <a:ext uri="{FF2B5EF4-FFF2-40B4-BE49-F238E27FC236}">
                    <a16:creationId xmlns:a16="http://schemas.microsoft.com/office/drawing/2014/main" id="{00000000-0008-0000-0200-00000F492900}"/>
                  </a:ext>
                </a:extLst>
              </xdr:cNvPr>
              <xdr:cNvSpPr>
                <a:spLocks noChangeShapeType="1"/>
              </xdr:cNvSpPr>
            </xdr:nvSpPr>
            <xdr:spPr bwMode="auto">
              <a:xfrm flipV="1">
                <a:off x="1595" y="280"/>
                <a:ext cx="18" cy="24"/>
              </a:xfrm>
              <a:prstGeom prst="line">
                <a:avLst/>
              </a:prstGeom>
              <a:noFill/>
              <a:ln w="12700">
                <a:solidFill>
                  <a:srgbClr val="000000"/>
                </a:solidFill>
                <a:round/>
                <a:headEnd/>
                <a:tailEnd type="none" w="sm" len="med"/>
              </a:ln>
            </xdr:spPr>
          </xdr:sp>
        </xdr:grpSp>
        <xdr:sp macro="" textlink="">
          <xdr:nvSpPr>
            <xdr:cNvPr id="2705675" name="Line 566">
              <a:extLst>
                <a:ext uri="{FF2B5EF4-FFF2-40B4-BE49-F238E27FC236}">
                  <a16:creationId xmlns:a16="http://schemas.microsoft.com/office/drawing/2014/main" id="{00000000-0008-0000-0200-00000B492900}"/>
                </a:ext>
              </a:extLst>
            </xdr:cNvPr>
            <xdr:cNvSpPr>
              <a:spLocks noChangeShapeType="1"/>
            </xdr:cNvSpPr>
          </xdr:nvSpPr>
          <xdr:spPr bwMode="auto">
            <a:xfrm>
              <a:off x="1091" y="140"/>
              <a:ext cx="16" cy="73"/>
            </a:xfrm>
            <a:prstGeom prst="line">
              <a:avLst/>
            </a:prstGeom>
            <a:noFill/>
            <a:ln w="12700">
              <a:solidFill>
                <a:srgbClr val="FF0000"/>
              </a:solidFill>
              <a:round/>
              <a:headEnd type="stealth" w="sm" len="med"/>
              <a:tailEnd/>
            </a:ln>
          </xdr:spPr>
        </xdr:sp>
        <xdr:sp macro="" textlink="">
          <xdr:nvSpPr>
            <xdr:cNvPr id="2705676" name="Freeform 567">
              <a:extLst>
                <a:ext uri="{FF2B5EF4-FFF2-40B4-BE49-F238E27FC236}">
                  <a16:creationId xmlns:a16="http://schemas.microsoft.com/office/drawing/2014/main" id="{00000000-0008-0000-0200-00000C492900}"/>
                </a:ext>
              </a:extLst>
            </xdr:cNvPr>
            <xdr:cNvSpPr>
              <a:spLocks/>
            </xdr:cNvSpPr>
          </xdr:nvSpPr>
          <xdr:spPr bwMode="auto">
            <a:xfrm>
              <a:off x="1057" y="160"/>
              <a:ext cx="105" cy="108"/>
            </a:xfrm>
            <a:custGeom>
              <a:avLst/>
              <a:gdLst>
                <a:gd name="T0" fmla="*/ 50 w 105"/>
                <a:gd name="T1" fmla="*/ 0 h 108"/>
                <a:gd name="T2" fmla="*/ 72 w 105"/>
                <a:gd name="T3" fmla="*/ 5 h 108"/>
                <a:gd name="T4" fmla="*/ 89 w 105"/>
                <a:gd name="T5" fmla="*/ 17 h 108"/>
                <a:gd name="T6" fmla="*/ 100 w 105"/>
                <a:gd name="T7" fmla="*/ 31 h 108"/>
                <a:gd name="T8" fmla="*/ 105 w 105"/>
                <a:gd name="T9" fmla="*/ 52 h 108"/>
                <a:gd name="T10" fmla="*/ 103 w 105"/>
                <a:gd name="T11" fmla="*/ 72 h 108"/>
                <a:gd name="T12" fmla="*/ 90 w 105"/>
                <a:gd name="T13" fmla="*/ 90 h 108"/>
                <a:gd name="T14" fmla="*/ 61 w 105"/>
                <a:gd name="T15" fmla="*/ 106 h 108"/>
                <a:gd name="T16" fmla="*/ 36 w 105"/>
                <a:gd name="T17" fmla="*/ 103 h 108"/>
                <a:gd name="T18" fmla="*/ 20 w 105"/>
                <a:gd name="T19" fmla="*/ 95 h 108"/>
                <a:gd name="T20" fmla="*/ 10 w 105"/>
                <a:gd name="T21" fmla="*/ 84 h 108"/>
                <a:gd name="T22" fmla="*/ 2 w 105"/>
                <a:gd name="T23" fmla="*/ 70 h 108"/>
                <a:gd name="T24" fmla="*/ 0 w 105"/>
                <a:gd name="T25" fmla="*/ 50 h 108"/>
                <a:gd name="T26" fmla="*/ 4 w 105"/>
                <a:gd name="T27" fmla="*/ 32 h 108"/>
                <a:gd name="T28" fmla="*/ 14 w 105"/>
                <a:gd name="T29" fmla="*/ 17 h 108"/>
                <a:gd name="T30" fmla="*/ 25 w 105"/>
                <a:gd name="T31" fmla="*/ 9 h 108"/>
                <a:gd name="T32" fmla="*/ 38 w 105"/>
                <a:gd name="T33" fmla="*/ 4 h 108"/>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05"/>
                <a:gd name="T52" fmla="*/ 0 h 108"/>
                <a:gd name="T53" fmla="*/ 105 w 105"/>
                <a:gd name="T54" fmla="*/ 108 h 108"/>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05" h="108">
                  <a:moveTo>
                    <a:pt x="50" y="0"/>
                  </a:moveTo>
                  <a:cubicBezTo>
                    <a:pt x="58" y="1"/>
                    <a:pt x="66" y="2"/>
                    <a:pt x="72" y="5"/>
                  </a:cubicBezTo>
                  <a:cubicBezTo>
                    <a:pt x="78" y="8"/>
                    <a:pt x="84" y="13"/>
                    <a:pt x="89" y="17"/>
                  </a:cubicBezTo>
                  <a:cubicBezTo>
                    <a:pt x="94" y="21"/>
                    <a:pt x="97" y="25"/>
                    <a:pt x="100" y="31"/>
                  </a:cubicBezTo>
                  <a:cubicBezTo>
                    <a:pt x="103" y="37"/>
                    <a:pt x="105" y="45"/>
                    <a:pt x="105" y="52"/>
                  </a:cubicBezTo>
                  <a:cubicBezTo>
                    <a:pt x="105" y="59"/>
                    <a:pt x="105" y="66"/>
                    <a:pt x="103" y="72"/>
                  </a:cubicBezTo>
                  <a:cubicBezTo>
                    <a:pt x="101" y="78"/>
                    <a:pt x="97" y="84"/>
                    <a:pt x="90" y="90"/>
                  </a:cubicBezTo>
                  <a:cubicBezTo>
                    <a:pt x="83" y="96"/>
                    <a:pt x="70" y="104"/>
                    <a:pt x="61" y="106"/>
                  </a:cubicBezTo>
                  <a:cubicBezTo>
                    <a:pt x="52" y="108"/>
                    <a:pt x="43" y="105"/>
                    <a:pt x="36" y="103"/>
                  </a:cubicBezTo>
                  <a:cubicBezTo>
                    <a:pt x="29" y="101"/>
                    <a:pt x="24" y="98"/>
                    <a:pt x="20" y="95"/>
                  </a:cubicBezTo>
                  <a:cubicBezTo>
                    <a:pt x="16" y="92"/>
                    <a:pt x="13" y="88"/>
                    <a:pt x="10" y="84"/>
                  </a:cubicBezTo>
                  <a:cubicBezTo>
                    <a:pt x="7" y="80"/>
                    <a:pt x="4" y="76"/>
                    <a:pt x="2" y="70"/>
                  </a:cubicBezTo>
                  <a:cubicBezTo>
                    <a:pt x="0" y="64"/>
                    <a:pt x="0" y="56"/>
                    <a:pt x="0" y="50"/>
                  </a:cubicBezTo>
                  <a:cubicBezTo>
                    <a:pt x="0" y="44"/>
                    <a:pt x="2" y="37"/>
                    <a:pt x="4" y="32"/>
                  </a:cubicBezTo>
                  <a:cubicBezTo>
                    <a:pt x="6" y="27"/>
                    <a:pt x="11" y="21"/>
                    <a:pt x="14" y="17"/>
                  </a:cubicBezTo>
                  <a:cubicBezTo>
                    <a:pt x="17" y="13"/>
                    <a:pt x="21" y="11"/>
                    <a:pt x="25" y="9"/>
                  </a:cubicBezTo>
                  <a:cubicBezTo>
                    <a:pt x="29" y="7"/>
                    <a:pt x="33" y="5"/>
                    <a:pt x="38" y="4"/>
                  </a:cubicBezTo>
                </a:path>
              </a:pathLst>
            </a:custGeom>
            <a:noFill/>
            <a:ln w="9525">
              <a:solidFill>
                <a:srgbClr val="000000"/>
              </a:solidFill>
              <a:round/>
              <a:headEnd/>
              <a:tailEnd type="stealth" w="sm" len="med"/>
            </a:ln>
          </xdr:spPr>
        </xdr:sp>
        <xdr:sp macro="" textlink="">
          <xdr:nvSpPr>
            <xdr:cNvPr id="2705677" name="Freeform 568">
              <a:extLst>
                <a:ext uri="{FF2B5EF4-FFF2-40B4-BE49-F238E27FC236}">
                  <a16:creationId xmlns:a16="http://schemas.microsoft.com/office/drawing/2014/main" id="{00000000-0008-0000-0200-00000D492900}"/>
                </a:ext>
              </a:extLst>
            </xdr:cNvPr>
            <xdr:cNvSpPr>
              <a:spLocks/>
            </xdr:cNvSpPr>
          </xdr:nvSpPr>
          <xdr:spPr bwMode="auto">
            <a:xfrm>
              <a:off x="1090" y="186"/>
              <a:ext cx="46" cy="57"/>
            </a:xfrm>
            <a:custGeom>
              <a:avLst/>
              <a:gdLst>
                <a:gd name="T0" fmla="*/ 18 w 46"/>
                <a:gd name="T1" fmla="*/ 0 h 57"/>
                <a:gd name="T2" fmla="*/ 28 w 46"/>
                <a:gd name="T3" fmla="*/ 2 h 57"/>
                <a:gd name="T4" fmla="*/ 35 w 46"/>
                <a:gd name="T5" fmla="*/ 6 h 57"/>
                <a:gd name="T6" fmla="*/ 41 w 46"/>
                <a:gd name="T7" fmla="*/ 13 h 57"/>
                <a:gd name="T8" fmla="*/ 45 w 46"/>
                <a:gd name="T9" fmla="*/ 24 h 57"/>
                <a:gd name="T10" fmla="*/ 45 w 46"/>
                <a:gd name="T11" fmla="*/ 36 h 57"/>
                <a:gd name="T12" fmla="*/ 40 w 46"/>
                <a:gd name="T13" fmla="*/ 46 h 57"/>
                <a:gd name="T14" fmla="*/ 34 w 46"/>
                <a:gd name="T15" fmla="*/ 51 h 57"/>
                <a:gd name="T16" fmla="*/ 27 w 46"/>
                <a:gd name="T17" fmla="*/ 55 h 57"/>
                <a:gd name="T18" fmla="*/ 20 w 46"/>
                <a:gd name="T19" fmla="*/ 57 h 57"/>
                <a:gd name="T20" fmla="*/ 12 w 46"/>
                <a:gd name="T21" fmla="*/ 56 h 57"/>
                <a:gd name="T22" fmla="*/ 5 w 46"/>
                <a:gd name="T23" fmla="*/ 53 h 57"/>
                <a:gd name="T24" fmla="*/ 0 w 46"/>
                <a:gd name="T25" fmla="*/ 50 h 5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46"/>
                <a:gd name="T40" fmla="*/ 0 h 57"/>
                <a:gd name="T41" fmla="*/ 46 w 46"/>
                <a:gd name="T42" fmla="*/ 57 h 5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46" h="57">
                  <a:moveTo>
                    <a:pt x="18" y="0"/>
                  </a:moveTo>
                  <a:cubicBezTo>
                    <a:pt x="21" y="0"/>
                    <a:pt x="25" y="1"/>
                    <a:pt x="28" y="2"/>
                  </a:cubicBezTo>
                  <a:cubicBezTo>
                    <a:pt x="31" y="3"/>
                    <a:pt x="33" y="4"/>
                    <a:pt x="35" y="6"/>
                  </a:cubicBezTo>
                  <a:cubicBezTo>
                    <a:pt x="37" y="8"/>
                    <a:pt x="39" y="10"/>
                    <a:pt x="41" y="13"/>
                  </a:cubicBezTo>
                  <a:cubicBezTo>
                    <a:pt x="43" y="16"/>
                    <a:pt x="44" y="20"/>
                    <a:pt x="45" y="24"/>
                  </a:cubicBezTo>
                  <a:cubicBezTo>
                    <a:pt x="46" y="28"/>
                    <a:pt x="46" y="32"/>
                    <a:pt x="45" y="36"/>
                  </a:cubicBezTo>
                  <a:cubicBezTo>
                    <a:pt x="44" y="40"/>
                    <a:pt x="42" y="44"/>
                    <a:pt x="40" y="46"/>
                  </a:cubicBezTo>
                  <a:cubicBezTo>
                    <a:pt x="38" y="48"/>
                    <a:pt x="36" y="50"/>
                    <a:pt x="34" y="51"/>
                  </a:cubicBezTo>
                  <a:cubicBezTo>
                    <a:pt x="32" y="52"/>
                    <a:pt x="29" y="54"/>
                    <a:pt x="27" y="55"/>
                  </a:cubicBezTo>
                  <a:cubicBezTo>
                    <a:pt x="25" y="56"/>
                    <a:pt x="22" y="57"/>
                    <a:pt x="20" y="57"/>
                  </a:cubicBezTo>
                  <a:cubicBezTo>
                    <a:pt x="18" y="57"/>
                    <a:pt x="14" y="57"/>
                    <a:pt x="12" y="56"/>
                  </a:cubicBezTo>
                  <a:cubicBezTo>
                    <a:pt x="10" y="55"/>
                    <a:pt x="7" y="54"/>
                    <a:pt x="5" y="53"/>
                  </a:cubicBezTo>
                  <a:cubicBezTo>
                    <a:pt x="3" y="52"/>
                    <a:pt x="1" y="51"/>
                    <a:pt x="0" y="50"/>
                  </a:cubicBezTo>
                </a:path>
              </a:pathLst>
            </a:custGeom>
            <a:noFill/>
            <a:ln w="9525">
              <a:solidFill>
                <a:srgbClr val="000000"/>
              </a:solidFill>
              <a:round/>
              <a:headEnd/>
              <a:tailEnd type="stealth" w="sm" len="med"/>
            </a:ln>
          </xdr:spPr>
        </xdr:sp>
      </xdr:grpSp>
    </xdr:grpSp>
    <xdr:clientData/>
  </xdr:twoCellAnchor>
  <xdr:twoCellAnchor>
    <xdr:from>
      <xdr:col>18</xdr:col>
      <xdr:colOff>152400</xdr:colOff>
      <xdr:row>4</xdr:row>
      <xdr:rowOff>104775</xdr:rowOff>
    </xdr:from>
    <xdr:to>
      <xdr:col>24</xdr:col>
      <xdr:colOff>457200</xdr:colOff>
      <xdr:row>18</xdr:row>
      <xdr:rowOff>47625</xdr:rowOff>
    </xdr:to>
    <xdr:grpSp>
      <xdr:nvGrpSpPr>
        <xdr:cNvPr id="2705582" name="Group 569">
          <a:extLst>
            <a:ext uri="{FF2B5EF4-FFF2-40B4-BE49-F238E27FC236}">
              <a16:creationId xmlns:a16="http://schemas.microsoft.com/office/drawing/2014/main" id="{00000000-0008-0000-0200-0000AE482900}"/>
            </a:ext>
          </a:extLst>
        </xdr:cNvPr>
        <xdr:cNvGrpSpPr>
          <a:grpSpLocks/>
        </xdr:cNvGrpSpPr>
      </xdr:nvGrpSpPr>
      <xdr:grpSpPr bwMode="auto">
        <a:xfrm>
          <a:off x="12620625" y="771525"/>
          <a:ext cx="3962400" cy="2209800"/>
          <a:chOff x="1296" y="81"/>
          <a:chExt cx="416" cy="232"/>
        </a:xfrm>
      </xdr:grpSpPr>
      <xdr:grpSp>
        <xdr:nvGrpSpPr>
          <xdr:cNvPr id="2705640" name="Group 570">
            <a:extLst>
              <a:ext uri="{FF2B5EF4-FFF2-40B4-BE49-F238E27FC236}">
                <a16:creationId xmlns:a16="http://schemas.microsoft.com/office/drawing/2014/main" id="{00000000-0008-0000-0200-0000E8482900}"/>
              </a:ext>
            </a:extLst>
          </xdr:cNvPr>
          <xdr:cNvGrpSpPr>
            <a:grpSpLocks/>
          </xdr:cNvGrpSpPr>
        </xdr:nvGrpSpPr>
        <xdr:grpSpPr bwMode="auto">
          <a:xfrm>
            <a:off x="1296" y="81"/>
            <a:ext cx="416" cy="232"/>
            <a:chOff x="1296" y="81"/>
            <a:chExt cx="416" cy="232"/>
          </a:xfrm>
        </xdr:grpSpPr>
        <xdr:sp macro="" textlink="">
          <xdr:nvSpPr>
            <xdr:cNvPr id="2705642" name="Line 571">
              <a:extLst>
                <a:ext uri="{FF2B5EF4-FFF2-40B4-BE49-F238E27FC236}">
                  <a16:creationId xmlns:a16="http://schemas.microsoft.com/office/drawing/2014/main" id="{00000000-0008-0000-0200-0000EA482900}"/>
                </a:ext>
              </a:extLst>
            </xdr:cNvPr>
            <xdr:cNvSpPr>
              <a:spLocks noChangeShapeType="1"/>
            </xdr:cNvSpPr>
          </xdr:nvSpPr>
          <xdr:spPr bwMode="auto">
            <a:xfrm rot="451304" flipV="1">
              <a:off x="1337" y="182"/>
              <a:ext cx="362" cy="131"/>
            </a:xfrm>
            <a:prstGeom prst="line">
              <a:avLst/>
            </a:prstGeom>
            <a:noFill/>
            <a:ln w="9525">
              <a:solidFill>
                <a:srgbClr val="FF6600"/>
              </a:solidFill>
              <a:round/>
              <a:headEnd/>
              <a:tailEnd/>
            </a:ln>
          </xdr:spPr>
        </xdr:sp>
        <xdr:grpSp>
          <xdr:nvGrpSpPr>
            <xdr:cNvPr id="2705643" name="Group 572">
              <a:extLst>
                <a:ext uri="{FF2B5EF4-FFF2-40B4-BE49-F238E27FC236}">
                  <a16:creationId xmlns:a16="http://schemas.microsoft.com/office/drawing/2014/main" id="{00000000-0008-0000-0200-0000EB482900}"/>
                </a:ext>
              </a:extLst>
            </xdr:cNvPr>
            <xdr:cNvGrpSpPr>
              <a:grpSpLocks/>
            </xdr:cNvGrpSpPr>
          </xdr:nvGrpSpPr>
          <xdr:grpSpPr bwMode="auto">
            <a:xfrm>
              <a:off x="1296" y="81"/>
              <a:ext cx="416" cy="214"/>
              <a:chOff x="1296" y="81"/>
              <a:chExt cx="416" cy="214"/>
            </a:xfrm>
          </xdr:grpSpPr>
          <xdr:sp macro="" textlink="">
            <xdr:nvSpPr>
              <xdr:cNvPr id="4669" name="Text Box 573">
                <a:extLst>
                  <a:ext uri="{FF2B5EF4-FFF2-40B4-BE49-F238E27FC236}">
                    <a16:creationId xmlns:a16="http://schemas.microsoft.com/office/drawing/2014/main" id="{00000000-0008-0000-0200-00003D120000}"/>
                  </a:ext>
                </a:extLst>
              </xdr:cNvPr>
              <xdr:cNvSpPr txBox="1">
                <a:spLocks noChangeArrowheads="1"/>
              </xdr:cNvSpPr>
            </xdr:nvSpPr>
            <xdr:spPr bwMode="auto">
              <a:xfrm>
                <a:off x="1387" y="112"/>
                <a:ext cx="90"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H</a:t>
                </a:r>
                <a:r>
                  <a:rPr lang="en-US" sz="1000" b="0" i="0" strike="noStrike">
                    <a:solidFill>
                      <a:srgbClr val="000000"/>
                    </a:solidFill>
                    <a:latin typeface="Arial"/>
                    <a:cs typeface="Arial"/>
                  </a:rPr>
                  <a:t>/2 contour</a:t>
                </a:r>
              </a:p>
            </xdr:txBody>
          </xdr:sp>
          <xdr:sp macro="" textlink="">
            <xdr:nvSpPr>
              <xdr:cNvPr id="2705647" name="Freeform 574">
                <a:extLst>
                  <a:ext uri="{FF2B5EF4-FFF2-40B4-BE49-F238E27FC236}">
                    <a16:creationId xmlns:a16="http://schemas.microsoft.com/office/drawing/2014/main" id="{00000000-0008-0000-0200-0000EF482900}"/>
                  </a:ext>
                </a:extLst>
              </xdr:cNvPr>
              <xdr:cNvSpPr>
                <a:spLocks/>
              </xdr:cNvSpPr>
            </xdr:nvSpPr>
            <xdr:spPr bwMode="auto">
              <a:xfrm>
                <a:off x="1329" y="133"/>
                <a:ext cx="370" cy="135"/>
              </a:xfrm>
              <a:custGeom>
                <a:avLst/>
                <a:gdLst>
                  <a:gd name="T0" fmla="*/ 77 w 370"/>
                  <a:gd name="T1" fmla="*/ 43 h 135"/>
                  <a:gd name="T2" fmla="*/ 138 w 370"/>
                  <a:gd name="T3" fmla="*/ 22 h 135"/>
                  <a:gd name="T4" fmla="*/ 203 w 370"/>
                  <a:gd name="T5" fmla="*/ 8 h 135"/>
                  <a:gd name="T6" fmla="*/ 264 w 370"/>
                  <a:gd name="T7" fmla="*/ 1 h 135"/>
                  <a:gd name="T8" fmla="*/ 312 w 370"/>
                  <a:gd name="T9" fmla="*/ 4 h 135"/>
                  <a:gd name="T10" fmla="*/ 349 w 370"/>
                  <a:gd name="T11" fmla="*/ 25 h 135"/>
                  <a:gd name="T12" fmla="*/ 369 w 370"/>
                  <a:gd name="T13" fmla="*/ 48 h 135"/>
                  <a:gd name="T14" fmla="*/ 356 w 370"/>
                  <a:gd name="T15" fmla="*/ 65 h 135"/>
                  <a:gd name="T16" fmla="*/ 297 w 370"/>
                  <a:gd name="T17" fmla="*/ 90 h 135"/>
                  <a:gd name="T18" fmla="*/ 221 w 370"/>
                  <a:gd name="T19" fmla="*/ 108 h 135"/>
                  <a:gd name="T20" fmla="*/ 145 w 370"/>
                  <a:gd name="T21" fmla="*/ 123 h 135"/>
                  <a:gd name="T22" fmla="*/ 74 w 370"/>
                  <a:gd name="T23" fmla="*/ 134 h 135"/>
                  <a:gd name="T24" fmla="*/ 29 w 370"/>
                  <a:gd name="T25" fmla="*/ 131 h 135"/>
                  <a:gd name="T26" fmla="*/ 6 w 370"/>
                  <a:gd name="T27" fmla="*/ 115 h 135"/>
                  <a:gd name="T28" fmla="*/ 1 w 370"/>
                  <a:gd name="T29" fmla="*/ 91 h 135"/>
                  <a:gd name="T30" fmla="*/ 6 w 370"/>
                  <a:gd name="T31" fmla="*/ 74 h 135"/>
                  <a:gd name="T32" fmla="*/ 35 w 370"/>
                  <a:gd name="T33" fmla="*/ 59 h 135"/>
                  <a:gd name="T34" fmla="*/ 77 w 370"/>
                  <a:gd name="T35" fmla="*/ 43 h 135"/>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70"/>
                  <a:gd name="T55" fmla="*/ 0 h 135"/>
                  <a:gd name="T56" fmla="*/ 370 w 370"/>
                  <a:gd name="T57" fmla="*/ 135 h 135"/>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70" h="135">
                    <a:moveTo>
                      <a:pt x="77" y="43"/>
                    </a:moveTo>
                    <a:cubicBezTo>
                      <a:pt x="94" y="37"/>
                      <a:pt x="117" y="28"/>
                      <a:pt x="138" y="22"/>
                    </a:cubicBezTo>
                    <a:cubicBezTo>
                      <a:pt x="159" y="16"/>
                      <a:pt x="182" y="12"/>
                      <a:pt x="203" y="8"/>
                    </a:cubicBezTo>
                    <a:cubicBezTo>
                      <a:pt x="224" y="4"/>
                      <a:pt x="246" y="2"/>
                      <a:pt x="264" y="1"/>
                    </a:cubicBezTo>
                    <a:cubicBezTo>
                      <a:pt x="282" y="0"/>
                      <a:pt x="298" y="0"/>
                      <a:pt x="312" y="4"/>
                    </a:cubicBezTo>
                    <a:cubicBezTo>
                      <a:pt x="326" y="8"/>
                      <a:pt x="340" y="18"/>
                      <a:pt x="349" y="25"/>
                    </a:cubicBezTo>
                    <a:cubicBezTo>
                      <a:pt x="358" y="32"/>
                      <a:pt x="368" y="41"/>
                      <a:pt x="369" y="48"/>
                    </a:cubicBezTo>
                    <a:cubicBezTo>
                      <a:pt x="370" y="55"/>
                      <a:pt x="368" y="58"/>
                      <a:pt x="356" y="65"/>
                    </a:cubicBezTo>
                    <a:cubicBezTo>
                      <a:pt x="344" y="72"/>
                      <a:pt x="319" y="83"/>
                      <a:pt x="297" y="90"/>
                    </a:cubicBezTo>
                    <a:cubicBezTo>
                      <a:pt x="275" y="97"/>
                      <a:pt x="246" y="103"/>
                      <a:pt x="221" y="108"/>
                    </a:cubicBezTo>
                    <a:cubicBezTo>
                      <a:pt x="196" y="113"/>
                      <a:pt x="169" y="119"/>
                      <a:pt x="145" y="123"/>
                    </a:cubicBezTo>
                    <a:cubicBezTo>
                      <a:pt x="121" y="127"/>
                      <a:pt x="93" y="133"/>
                      <a:pt x="74" y="134"/>
                    </a:cubicBezTo>
                    <a:cubicBezTo>
                      <a:pt x="55" y="135"/>
                      <a:pt x="40" y="134"/>
                      <a:pt x="29" y="131"/>
                    </a:cubicBezTo>
                    <a:cubicBezTo>
                      <a:pt x="18" y="128"/>
                      <a:pt x="11" y="122"/>
                      <a:pt x="6" y="115"/>
                    </a:cubicBezTo>
                    <a:cubicBezTo>
                      <a:pt x="1" y="108"/>
                      <a:pt x="1" y="98"/>
                      <a:pt x="1" y="91"/>
                    </a:cubicBezTo>
                    <a:cubicBezTo>
                      <a:pt x="1" y="84"/>
                      <a:pt x="0" y="79"/>
                      <a:pt x="6" y="74"/>
                    </a:cubicBezTo>
                    <a:cubicBezTo>
                      <a:pt x="12" y="69"/>
                      <a:pt x="23" y="64"/>
                      <a:pt x="35" y="59"/>
                    </a:cubicBezTo>
                    <a:cubicBezTo>
                      <a:pt x="47" y="54"/>
                      <a:pt x="60" y="49"/>
                      <a:pt x="77" y="43"/>
                    </a:cubicBezTo>
                    <a:close/>
                  </a:path>
                </a:pathLst>
              </a:custGeom>
              <a:solidFill>
                <a:srgbClr val="339966"/>
              </a:solidFill>
              <a:ln w="9525">
                <a:solidFill>
                  <a:srgbClr val="000000"/>
                </a:solidFill>
                <a:round/>
                <a:headEnd/>
                <a:tailEnd/>
              </a:ln>
            </xdr:spPr>
          </xdr:sp>
          <xdr:sp macro="" textlink="">
            <xdr:nvSpPr>
              <xdr:cNvPr id="4671" name="Text Box 575">
                <a:extLst>
                  <a:ext uri="{FF2B5EF4-FFF2-40B4-BE49-F238E27FC236}">
                    <a16:creationId xmlns:a16="http://schemas.microsoft.com/office/drawing/2014/main" id="{00000000-0008-0000-0200-00003F120000}"/>
                  </a:ext>
                </a:extLst>
              </xdr:cNvPr>
              <xdr:cNvSpPr txBox="1">
                <a:spLocks noChangeArrowheads="1"/>
              </xdr:cNvSpPr>
            </xdr:nvSpPr>
            <xdr:spPr bwMode="auto">
              <a:xfrm>
                <a:off x="1664" y="164"/>
                <a:ext cx="13" cy="20"/>
              </a:xfrm>
              <a:prstGeom prst="rect">
                <a:avLst/>
              </a:prstGeom>
              <a:solidFill>
                <a:srgbClr val="CCFFCC"/>
              </a:solidFill>
              <a:ln w="9525">
                <a:noFill/>
                <a:prstDash val="lgDashDot"/>
                <a:miter lim="800000"/>
                <a:headEnd/>
                <a:tailEnd/>
              </a:ln>
              <a:effectLst/>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x</a:t>
                </a:r>
              </a:p>
            </xdr:txBody>
          </xdr:sp>
          <xdr:sp macro="" textlink="">
            <xdr:nvSpPr>
              <xdr:cNvPr id="4672" name="Text Box 576">
                <a:extLst>
                  <a:ext uri="{FF2B5EF4-FFF2-40B4-BE49-F238E27FC236}">
                    <a16:creationId xmlns:a16="http://schemas.microsoft.com/office/drawing/2014/main" id="{00000000-0008-0000-0200-000040120000}"/>
                  </a:ext>
                </a:extLst>
              </xdr:cNvPr>
              <xdr:cNvSpPr txBox="1">
                <a:spLocks noChangeArrowheads="1"/>
              </xdr:cNvSpPr>
            </xdr:nvSpPr>
            <xdr:spPr bwMode="auto">
              <a:xfrm>
                <a:off x="1529" y="186"/>
                <a:ext cx="12" cy="17"/>
              </a:xfrm>
              <a:prstGeom prst="rect">
                <a:avLst/>
              </a:prstGeom>
              <a:solidFill>
                <a:srgbClr val="339966"/>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4673" name="Text Box 577">
                <a:extLst>
                  <a:ext uri="{FF2B5EF4-FFF2-40B4-BE49-F238E27FC236}">
                    <a16:creationId xmlns:a16="http://schemas.microsoft.com/office/drawing/2014/main" id="{00000000-0008-0000-0200-000041120000}"/>
                  </a:ext>
                </a:extLst>
              </xdr:cNvPr>
              <xdr:cNvSpPr txBox="1">
                <a:spLocks noChangeArrowheads="1"/>
              </xdr:cNvSpPr>
            </xdr:nvSpPr>
            <xdr:spPr bwMode="auto">
              <a:xfrm>
                <a:off x="1408" y="138"/>
                <a:ext cx="33" cy="22"/>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W</a:t>
                </a:r>
                <a:r>
                  <a:rPr lang="en-US" sz="1000" b="0" i="0" strike="noStrike" baseline="-25000">
                    <a:solidFill>
                      <a:srgbClr val="FF0000"/>
                    </a:solidFill>
                    <a:latin typeface="Arial"/>
                    <a:cs typeface="Arial"/>
                  </a:rPr>
                  <a:t>02</a:t>
                </a:r>
              </a:p>
            </xdr:txBody>
          </xdr:sp>
          <xdr:sp macro="" textlink="">
            <xdr:nvSpPr>
              <xdr:cNvPr id="4674" name="Text Box 578">
                <a:extLst>
                  <a:ext uri="{FF2B5EF4-FFF2-40B4-BE49-F238E27FC236}">
                    <a16:creationId xmlns:a16="http://schemas.microsoft.com/office/drawing/2014/main" id="{00000000-0008-0000-0200-000042120000}"/>
                  </a:ext>
                </a:extLst>
              </xdr:cNvPr>
              <xdr:cNvSpPr txBox="1">
                <a:spLocks noChangeArrowheads="1"/>
              </xdr:cNvSpPr>
            </xdr:nvSpPr>
            <xdr:spPr bwMode="auto">
              <a:xfrm>
                <a:off x="1568" y="103"/>
                <a:ext cx="34" cy="22"/>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W</a:t>
                </a:r>
                <a:r>
                  <a:rPr lang="en-US" sz="1000" b="0" i="0" strike="noStrike" baseline="-25000">
                    <a:solidFill>
                      <a:srgbClr val="FF0000"/>
                    </a:solidFill>
                    <a:latin typeface="Arial"/>
                    <a:cs typeface="Arial"/>
                  </a:rPr>
                  <a:t>01</a:t>
                </a:r>
              </a:p>
            </xdr:txBody>
          </xdr:sp>
          <xdr:sp macro="" textlink="">
            <xdr:nvSpPr>
              <xdr:cNvPr id="4675" name="Text Box 579">
                <a:extLst>
                  <a:ext uri="{FF2B5EF4-FFF2-40B4-BE49-F238E27FC236}">
                    <a16:creationId xmlns:a16="http://schemas.microsoft.com/office/drawing/2014/main" id="{00000000-0008-0000-0200-000043120000}"/>
                  </a:ext>
                </a:extLst>
              </xdr:cNvPr>
              <xdr:cNvSpPr txBox="1">
                <a:spLocks noChangeArrowheads="1"/>
              </xdr:cNvSpPr>
            </xdr:nvSpPr>
            <xdr:spPr bwMode="auto">
              <a:xfrm>
                <a:off x="1303" y="258"/>
                <a:ext cx="26" cy="21"/>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L</a:t>
                </a:r>
                <a:r>
                  <a:rPr lang="en-US" sz="1000" b="0" i="0" strike="noStrike" baseline="-25000">
                    <a:solidFill>
                      <a:srgbClr val="FF0000"/>
                    </a:solidFill>
                    <a:latin typeface="Arial"/>
                    <a:cs typeface="Arial"/>
                  </a:rPr>
                  <a:t>01</a:t>
                </a:r>
              </a:p>
            </xdr:txBody>
          </xdr:sp>
          <xdr:sp macro="" textlink="">
            <xdr:nvSpPr>
              <xdr:cNvPr id="4676" name="Text Box 580">
                <a:extLst>
                  <a:ext uri="{FF2B5EF4-FFF2-40B4-BE49-F238E27FC236}">
                    <a16:creationId xmlns:a16="http://schemas.microsoft.com/office/drawing/2014/main" id="{00000000-0008-0000-0200-000044120000}"/>
                  </a:ext>
                </a:extLst>
              </xdr:cNvPr>
              <xdr:cNvSpPr txBox="1">
                <a:spLocks noChangeArrowheads="1"/>
              </xdr:cNvSpPr>
            </xdr:nvSpPr>
            <xdr:spPr bwMode="auto">
              <a:xfrm>
                <a:off x="1296" y="209"/>
                <a:ext cx="25" cy="21"/>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L</a:t>
                </a:r>
                <a:r>
                  <a:rPr lang="en-US" sz="1000" b="0" i="0" strike="noStrike" baseline="-25000">
                    <a:solidFill>
                      <a:srgbClr val="FF0000"/>
                    </a:solidFill>
                    <a:latin typeface="Arial"/>
                    <a:cs typeface="Arial"/>
                  </a:rPr>
                  <a:t>02</a:t>
                </a:r>
              </a:p>
            </xdr:txBody>
          </xdr:sp>
          <xdr:sp macro="" textlink="">
            <xdr:nvSpPr>
              <xdr:cNvPr id="4677" name="Text Box 581">
                <a:extLst>
                  <a:ext uri="{FF2B5EF4-FFF2-40B4-BE49-F238E27FC236}">
                    <a16:creationId xmlns:a16="http://schemas.microsoft.com/office/drawing/2014/main" id="{00000000-0008-0000-0200-000045120000}"/>
                  </a:ext>
                </a:extLst>
              </xdr:cNvPr>
              <xdr:cNvSpPr txBox="1">
                <a:spLocks noChangeArrowheads="1"/>
              </xdr:cNvSpPr>
            </xdr:nvSpPr>
            <xdr:spPr bwMode="auto">
              <a:xfrm>
                <a:off x="1457" y="271"/>
                <a:ext cx="234" cy="24"/>
              </a:xfrm>
              <a:prstGeom prst="rect">
                <a:avLst/>
              </a:prstGeom>
              <a:solidFill>
                <a:srgbClr val="CCFFCC"/>
              </a:solidFill>
              <a:ln w="9525">
                <a:noFill/>
                <a:prstDash val="lgDashDot"/>
                <a:miter lim="800000"/>
                <a:headEnd/>
                <a:tailEnd/>
              </a:ln>
              <a:effectLst/>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a:t>
                </a: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site</a:t>
                </a:r>
                <a:r>
                  <a:rPr lang="en-US" sz="1000" b="0" i="0" strike="noStrike">
                    <a:solidFill>
                      <a:srgbClr val="000000"/>
                    </a:solidFill>
                    <a:latin typeface="Arial"/>
                    <a:cs typeface="Arial"/>
                  </a:rPr>
                  <a:t>, </a:t>
                </a:r>
                <a:r>
                  <a:rPr lang="en-US" sz="1000" b="0" i="1" strike="noStrike">
                    <a:solidFill>
                      <a:srgbClr val="000000"/>
                    </a:solidFill>
                    <a:latin typeface="Arial"/>
                    <a:cs typeface="Arial"/>
                  </a:rPr>
                  <a:t>y</a:t>
                </a:r>
                <a:r>
                  <a:rPr lang="en-US" sz="1000" b="0" i="0" strike="noStrike" baseline="-25000">
                    <a:solidFill>
                      <a:srgbClr val="000000"/>
                    </a:solidFill>
                    <a:latin typeface="Arial"/>
                    <a:cs typeface="Arial"/>
                  </a:rPr>
                  <a:t>site</a:t>
                </a:r>
                <a:r>
                  <a:rPr lang="en-US" sz="1000" b="0" i="0" strike="noStrike">
                    <a:solidFill>
                      <a:srgbClr val="000000"/>
                    </a:solidFill>
                    <a:latin typeface="Arial"/>
                    <a:cs typeface="Arial"/>
                  </a:rPr>
                  <a:t>) relative to </a:t>
                </a:r>
                <a:r>
                  <a:rPr lang="en-US" sz="1000" b="0" i="1" strike="noStrike">
                    <a:solidFill>
                      <a:srgbClr val="000000"/>
                    </a:solidFill>
                    <a:latin typeface="Arial"/>
                    <a:cs typeface="Arial"/>
                  </a:rPr>
                  <a:t>x</a:t>
                </a:r>
                <a:r>
                  <a:rPr lang="en-US" sz="1000" b="0" i="0" strike="noStrike">
                    <a:solidFill>
                      <a:srgbClr val="000000"/>
                    </a:solidFill>
                    <a:latin typeface="Arial"/>
                    <a:cs typeface="Arial"/>
                  </a:rPr>
                  <a:t>0</a:t>
                </a:r>
                <a:r>
                  <a:rPr lang="en-US" sz="1000" b="0" i="1" strike="noStrike">
                    <a:solidFill>
                      <a:srgbClr val="000000"/>
                    </a:solidFill>
                    <a:latin typeface="Arial"/>
                    <a:cs typeface="Arial"/>
                  </a:rPr>
                  <a:t>y </a:t>
                </a:r>
                <a:r>
                  <a:rPr lang="en-US" sz="1000" b="0" i="0" strike="noStrike">
                    <a:solidFill>
                      <a:srgbClr val="000000"/>
                    </a:solidFill>
                    <a:latin typeface="Arial"/>
                    <a:cs typeface="Arial"/>
                  </a:rPr>
                  <a:t>axis system</a:t>
                </a:r>
              </a:p>
            </xdr:txBody>
          </xdr:sp>
          <xdr:sp macro="" textlink="">
            <xdr:nvSpPr>
              <xdr:cNvPr id="4678" name="Text Box 582">
                <a:extLst>
                  <a:ext uri="{FF2B5EF4-FFF2-40B4-BE49-F238E27FC236}">
                    <a16:creationId xmlns:a16="http://schemas.microsoft.com/office/drawing/2014/main" id="{00000000-0008-0000-0200-000046120000}"/>
                  </a:ext>
                </a:extLst>
              </xdr:cNvPr>
              <xdr:cNvSpPr txBox="1">
                <a:spLocks noChangeArrowheads="1"/>
              </xdr:cNvSpPr>
            </xdr:nvSpPr>
            <xdr:spPr bwMode="auto">
              <a:xfrm>
                <a:off x="1486" y="81"/>
                <a:ext cx="13" cy="18"/>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y</a:t>
                </a:r>
              </a:p>
            </xdr:txBody>
          </xdr:sp>
          <xdr:sp macro="" textlink="">
            <xdr:nvSpPr>
              <xdr:cNvPr id="2705656" name="Line 583">
                <a:extLst>
                  <a:ext uri="{FF2B5EF4-FFF2-40B4-BE49-F238E27FC236}">
                    <a16:creationId xmlns:a16="http://schemas.microsoft.com/office/drawing/2014/main" id="{00000000-0008-0000-0200-0000F8482900}"/>
                  </a:ext>
                </a:extLst>
              </xdr:cNvPr>
              <xdr:cNvSpPr>
                <a:spLocks noChangeShapeType="1"/>
              </xdr:cNvSpPr>
            </xdr:nvSpPr>
            <xdr:spPr bwMode="auto">
              <a:xfrm rot="512411">
                <a:off x="1316" y="186"/>
                <a:ext cx="22" cy="59"/>
              </a:xfrm>
              <a:prstGeom prst="line">
                <a:avLst/>
              </a:prstGeom>
              <a:noFill/>
              <a:ln w="9525">
                <a:solidFill>
                  <a:srgbClr val="FF6600"/>
                </a:solidFill>
                <a:round/>
                <a:headEnd type="stealth" w="sm" len="med"/>
                <a:tailEnd type="stealth" w="sm" len="med"/>
              </a:ln>
            </xdr:spPr>
          </xdr:sp>
          <xdr:sp macro="" textlink="">
            <xdr:nvSpPr>
              <xdr:cNvPr id="2705657" name="Line 584">
                <a:extLst>
                  <a:ext uri="{FF2B5EF4-FFF2-40B4-BE49-F238E27FC236}">
                    <a16:creationId xmlns:a16="http://schemas.microsoft.com/office/drawing/2014/main" id="{00000000-0008-0000-0200-0000F9482900}"/>
                  </a:ext>
                </a:extLst>
              </xdr:cNvPr>
              <xdr:cNvSpPr>
                <a:spLocks noChangeShapeType="1"/>
              </xdr:cNvSpPr>
            </xdr:nvSpPr>
            <xdr:spPr bwMode="auto">
              <a:xfrm rot="451304" flipV="1">
                <a:off x="1323" y="132"/>
                <a:ext cx="185" cy="67"/>
              </a:xfrm>
              <a:prstGeom prst="line">
                <a:avLst/>
              </a:prstGeom>
              <a:noFill/>
              <a:ln w="9525">
                <a:solidFill>
                  <a:srgbClr val="FF6600"/>
                </a:solidFill>
                <a:round/>
                <a:headEnd type="stealth" w="sm" len="med"/>
                <a:tailEnd type="stealth" w="sm" len="med"/>
              </a:ln>
            </xdr:spPr>
          </xdr:sp>
          <xdr:sp macro="" textlink="">
            <xdr:nvSpPr>
              <xdr:cNvPr id="2705658" name="Line 585">
                <a:extLst>
                  <a:ext uri="{FF2B5EF4-FFF2-40B4-BE49-F238E27FC236}">
                    <a16:creationId xmlns:a16="http://schemas.microsoft.com/office/drawing/2014/main" id="{00000000-0008-0000-0200-0000FA482900}"/>
                  </a:ext>
                </a:extLst>
              </xdr:cNvPr>
              <xdr:cNvSpPr>
                <a:spLocks noChangeShapeType="1"/>
              </xdr:cNvSpPr>
            </xdr:nvSpPr>
            <xdr:spPr bwMode="auto">
              <a:xfrm rot="312244">
                <a:off x="1671" y="98"/>
                <a:ext cx="41" cy="118"/>
              </a:xfrm>
              <a:prstGeom prst="line">
                <a:avLst/>
              </a:prstGeom>
              <a:noFill/>
              <a:ln w="9525">
                <a:solidFill>
                  <a:srgbClr val="FF6600"/>
                </a:solidFill>
                <a:round/>
                <a:headEnd/>
                <a:tailEnd/>
              </a:ln>
            </xdr:spPr>
          </xdr:sp>
          <xdr:sp macro="" textlink="">
            <xdr:nvSpPr>
              <xdr:cNvPr id="2705659" name="Line 586">
                <a:extLst>
                  <a:ext uri="{FF2B5EF4-FFF2-40B4-BE49-F238E27FC236}">
                    <a16:creationId xmlns:a16="http://schemas.microsoft.com/office/drawing/2014/main" id="{00000000-0008-0000-0200-0000FB482900}"/>
                  </a:ext>
                </a:extLst>
              </xdr:cNvPr>
              <xdr:cNvSpPr>
                <a:spLocks noChangeShapeType="1"/>
              </xdr:cNvSpPr>
            </xdr:nvSpPr>
            <xdr:spPr bwMode="auto">
              <a:xfrm rot="451304" flipV="1">
                <a:off x="1517" y="97"/>
                <a:ext cx="157" cy="57"/>
              </a:xfrm>
              <a:prstGeom prst="line">
                <a:avLst/>
              </a:prstGeom>
              <a:noFill/>
              <a:ln w="9525">
                <a:solidFill>
                  <a:srgbClr val="FF6600"/>
                </a:solidFill>
                <a:round/>
                <a:headEnd type="stealth" w="sm" len="med"/>
                <a:tailEnd type="stealth" w="sm" len="med"/>
              </a:ln>
            </xdr:spPr>
          </xdr:sp>
          <xdr:sp macro="" textlink="">
            <xdr:nvSpPr>
              <xdr:cNvPr id="2705660" name="Line 587">
                <a:extLst>
                  <a:ext uri="{FF2B5EF4-FFF2-40B4-BE49-F238E27FC236}">
                    <a16:creationId xmlns:a16="http://schemas.microsoft.com/office/drawing/2014/main" id="{00000000-0008-0000-0200-0000FC482900}"/>
                  </a:ext>
                </a:extLst>
              </xdr:cNvPr>
              <xdr:cNvSpPr>
                <a:spLocks noChangeShapeType="1"/>
              </xdr:cNvSpPr>
            </xdr:nvSpPr>
            <xdr:spPr bwMode="auto">
              <a:xfrm rot="512411">
                <a:off x="1329" y="244"/>
                <a:ext cx="16" cy="40"/>
              </a:xfrm>
              <a:prstGeom prst="line">
                <a:avLst/>
              </a:prstGeom>
              <a:noFill/>
              <a:ln w="9525">
                <a:solidFill>
                  <a:srgbClr val="FF6600"/>
                </a:solidFill>
                <a:round/>
                <a:headEnd type="stealth" w="sm" len="med"/>
                <a:tailEnd type="stealth" w="sm" len="med"/>
              </a:ln>
            </xdr:spPr>
          </xdr:sp>
          <xdr:sp macro="" textlink="">
            <xdr:nvSpPr>
              <xdr:cNvPr id="2705661" name="Line 588">
                <a:extLst>
                  <a:ext uri="{FF2B5EF4-FFF2-40B4-BE49-F238E27FC236}">
                    <a16:creationId xmlns:a16="http://schemas.microsoft.com/office/drawing/2014/main" id="{00000000-0008-0000-0200-0000FD482900}"/>
                  </a:ext>
                </a:extLst>
              </xdr:cNvPr>
              <xdr:cNvSpPr>
                <a:spLocks noChangeShapeType="1"/>
              </xdr:cNvSpPr>
            </xdr:nvSpPr>
            <xdr:spPr bwMode="auto">
              <a:xfrm>
                <a:off x="1413" y="192"/>
                <a:ext cx="13" cy="66"/>
              </a:xfrm>
              <a:prstGeom prst="line">
                <a:avLst/>
              </a:prstGeom>
              <a:noFill/>
              <a:ln w="9525">
                <a:solidFill>
                  <a:srgbClr val="000000"/>
                </a:solidFill>
                <a:prstDash val="lgDashDot"/>
                <a:round/>
                <a:headEnd/>
                <a:tailEnd/>
              </a:ln>
            </xdr:spPr>
          </xdr:sp>
          <xdr:sp macro="" textlink="">
            <xdr:nvSpPr>
              <xdr:cNvPr id="2705662" name="Line 589">
                <a:extLst>
                  <a:ext uri="{FF2B5EF4-FFF2-40B4-BE49-F238E27FC236}">
                    <a16:creationId xmlns:a16="http://schemas.microsoft.com/office/drawing/2014/main" id="{00000000-0008-0000-0200-0000FE482900}"/>
                  </a:ext>
                </a:extLst>
              </xdr:cNvPr>
              <xdr:cNvSpPr>
                <a:spLocks noChangeShapeType="1"/>
              </xdr:cNvSpPr>
            </xdr:nvSpPr>
            <xdr:spPr bwMode="auto">
              <a:xfrm rot="451304" flipV="1">
                <a:off x="1375" y="218"/>
                <a:ext cx="117" cy="44"/>
              </a:xfrm>
              <a:prstGeom prst="line">
                <a:avLst/>
              </a:prstGeom>
              <a:noFill/>
              <a:ln w="9525">
                <a:solidFill>
                  <a:srgbClr val="000000"/>
                </a:solidFill>
                <a:prstDash val="lgDashDot"/>
                <a:round/>
                <a:headEnd/>
                <a:tailEnd/>
              </a:ln>
            </xdr:spPr>
          </xdr:sp>
          <xdr:sp macro="" textlink="">
            <xdr:nvSpPr>
              <xdr:cNvPr id="2705663" name="Line 590">
                <a:extLst>
                  <a:ext uri="{FF2B5EF4-FFF2-40B4-BE49-F238E27FC236}">
                    <a16:creationId xmlns:a16="http://schemas.microsoft.com/office/drawing/2014/main" id="{00000000-0008-0000-0200-0000FF482900}"/>
                  </a:ext>
                </a:extLst>
              </xdr:cNvPr>
              <xdr:cNvSpPr>
                <a:spLocks noChangeShapeType="1"/>
              </xdr:cNvSpPr>
            </xdr:nvSpPr>
            <xdr:spPr bwMode="auto">
              <a:xfrm>
                <a:off x="1501" y="89"/>
                <a:ext cx="41" cy="184"/>
              </a:xfrm>
              <a:prstGeom prst="line">
                <a:avLst/>
              </a:prstGeom>
              <a:noFill/>
              <a:ln w="6350">
                <a:solidFill>
                  <a:srgbClr val="FF0000"/>
                </a:solidFill>
                <a:prstDash val="lgDashDot"/>
                <a:round/>
                <a:headEnd type="stealth" w="sm" len="med"/>
                <a:tailEnd/>
              </a:ln>
            </xdr:spPr>
          </xdr:sp>
          <xdr:sp macro="" textlink="">
            <xdr:nvSpPr>
              <xdr:cNvPr id="4687" name="AutoShape 591">
                <a:extLst>
                  <a:ext uri="{FF2B5EF4-FFF2-40B4-BE49-F238E27FC236}">
                    <a16:creationId xmlns:a16="http://schemas.microsoft.com/office/drawing/2014/main" id="{00000000-0008-0000-0200-00004F120000}"/>
                  </a:ext>
                </a:extLst>
              </xdr:cNvPr>
              <xdr:cNvSpPr>
                <a:spLocks noChangeArrowheads="1"/>
              </xdr:cNvSpPr>
            </xdr:nvSpPr>
            <xdr:spPr bwMode="auto">
              <a:xfrm>
                <a:off x="1522" y="196"/>
                <a:ext cx="9" cy="10"/>
              </a:xfrm>
              <a:prstGeom prst="triangle">
                <a:avLst>
                  <a:gd name="adj" fmla="val 50000"/>
                </a:avLst>
              </a:prstGeom>
              <a:solidFill>
                <a:srgbClr val="000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xdr:txBody>
          </xdr:sp>
        </xdr:grpSp>
        <xdr:sp macro="" textlink="">
          <xdr:nvSpPr>
            <xdr:cNvPr id="2705644" name="Line 592">
              <a:extLst>
                <a:ext uri="{FF2B5EF4-FFF2-40B4-BE49-F238E27FC236}">
                  <a16:creationId xmlns:a16="http://schemas.microsoft.com/office/drawing/2014/main" id="{00000000-0008-0000-0200-0000EC482900}"/>
                </a:ext>
              </a:extLst>
            </xdr:cNvPr>
            <xdr:cNvSpPr>
              <a:spLocks noChangeShapeType="1"/>
            </xdr:cNvSpPr>
          </xdr:nvSpPr>
          <xdr:spPr bwMode="auto">
            <a:xfrm flipH="1" flipV="1">
              <a:off x="1425" y="244"/>
              <a:ext cx="33" cy="31"/>
            </a:xfrm>
            <a:prstGeom prst="line">
              <a:avLst/>
            </a:prstGeom>
            <a:noFill/>
            <a:ln w="9525">
              <a:solidFill>
                <a:srgbClr val="000000"/>
              </a:solidFill>
              <a:round/>
              <a:headEnd/>
              <a:tailEnd type="stealth" w="sm" len="med"/>
            </a:ln>
          </xdr:spPr>
        </xdr:sp>
        <xdr:sp macro="" textlink="">
          <xdr:nvSpPr>
            <xdr:cNvPr id="2705645" name="Line 593">
              <a:extLst>
                <a:ext uri="{FF2B5EF4-FFF2-40B4-BE49-F238E27FC236}">
                  <a16:creationId xmlns:a16="http://schemas.microsoft.com/office/drawing/2014/main" id="{00000000-0008-0000-0200-0000ED482900}"/>
                </a:ext>
              </a:extLst>
            </xdr:cNvPr>
            <xdr:cNvSpPr>
              <a:spLocks noChangeShapeType="1"/>
            </xdr:cNvSpPr>
          </xdr:nvSpPr>
          <xdr:spPr bwMode="auto">
            <a:xfrm rot="451304" flipV="1">
              <a:off x="1304" y="150"/>
              <a:ext cx="352" cy="125"/>
            </a:xfrm>
            <a:prstGeom prst="line">
              <a:avLst/>
            </a:prstGeom>
            <a:noFill/>
            <a:ln w="9525">
              <a:solidFill>
                <a:srgbClr val="FF6600"/>
              </a:solidFill>
              <a:prstDash val="lgDashDot"/>
              <a:round/>
              <a:headEnd type="none" w="sm" len="med"/>
              <a:tailEnd type="stealth" w="med" len="med"/>
            </a:ln>
          </xdr:spPr>
        </xdr:sp>
      </xdr:grpSp>
      <xdr:sp macro="" textlink="">
        <xdr:nvSpPr>
          <xdr:cNvPr id="2705641" name="AutoShape 594">
            <a:extLst>
              <a:ext uri="{FF2B5EF4-FFF2-40B4-BE49-F238E27FC236}">
                <a16:creationId xmlns:a16="http://schemas.microsoft.com/office/drawing/2014/main" id="{00000000-0008-0000-0200-0000E9482900}"/>
              </a:ext>
            </a:extLst>
          </xdr:cNvPr>
          <xdr:cNvSpPr>
            <a:spLocks noChangeArrowheads="1"/>
          </xdr:cNvSpPr>
        </xdr:nvSpPr>
        <xdr:spPr bwMode="auto">
          <a:xfrm>
            <a:off x="1419" y="238"/>
            <a:ext cx="8" cy="8"/>
          </a:xfrm>
          <a:prstGeom prst="diamond">
            <a:avLst/>
          </a:prstGeom>
          <a:solidFill>
            <a:srgbClr val="000000"/>
          </a:solidFill>
          <a:ln w="9525">
            <a:solidFill>
              <a:srgbClr val="000000"/>
            </a:solidFill>
            <a:miter lim="800000"/>
            <a:headEnd/>
            <a:tailEnd/>
          </a:ln>
        </xdr:spPr>
      </xdr:sp>
    </xdr:grpSp>
    <xdr:clientData/>
  </xdr:twoCellAnchor>
  <xdr:twoCellAnchor>
    <xdr:from>
      <xdr:col>6</xdr:col>
      <xdr:colOff>371475</xdr:colOff>
      <xdr:row>3</xdr:row>
      <xdr:rowOff>19050</xdr:rowOff>
    </xdr:from>
    <xdr:to>
      <xdr:col>25</xdr:col>
      <xdr:colOff>142875</xdr:colOff>
      <xdr:row>18</xdr:row>
      <xdr:rowOff>142875</xdr:rowOff>
    </xdr:to>
    <xdr:grpSp>
      <xdr:nvGrpSpPr>
        <xdr:cNvPr id="2705583" name="Group 598">
          <a:extLst>
            <a:ext uri="{FF2B5EF4-FFF2-40B4-BE49-F238E27FC236}">
              <a16:creationId xmlns:a16="http://schemas.microsoft.com/office/drawing/2014/main" id="{00000000-0008-0000-0200-0000AF482900}"/>
            </a:ext>
          </a:extLst>
        </xdr:cNvPr>
        <xdr:cNvGrpSpPr>
          <a:grpSpLocks/>
        </xdr:cNvGrpSpPr>
      </xdr:nvGrpSpPr>
      <xdr:grpSpPr bwMode="auto">
        <a:xfrm>
          <a:off x="5524500" y="514350"/>
          <a:ext cx="11353800" cy="2562225"/>
          <a:chOff x="551" y="54"/>
          <a:chExt cx="1192" cy="269"/>
        </a:xfrm>
      </xdr:grpSpPr>
      <xdr:grpSp>
        <xdr:nvGrpSpPr>
          <xdr:cNvPr id="2705605" name="Group 519">
            <a:extLst>
              <a:ext uri="{FF2B5EF4-FFF2-40B4-BE49-F238E27FC236}">
                <a16:creationId xmlns:a16="http://schemas.microsoft.com/office/drawing/2014/main" id="{00000000-0008-0000-0200-0000C5482900}"/>
              </a:ext>
            </a:extLst>
          </xdr:cNvPr>
          <xdr:cNvGrpSpPr>
            <a:grpSpLocks/>
          </xdr:cNvGrpSpPr>
        </xdr:nvGrpSpPr>
        <xdr:grpSpPr bwMode="auto">
          <a:xfrm>
            <a:off x="551" y="54"/>
            <a:ext cx="1192" cy="269"/>
            <a:chOff x="563" y="50"/>
            <a:chExt cx="1192" cy="269"/>
          </a:xfrm>
        </xdr:grpSpPr>
        <xdr:grpSp>
          <xdr:nvGrpSpPr>
            <xdr:cNvPr id="2705607" name="Group 520">
              <a:extLst>
                <a:ext uri="{FF2B5EF4-FFF2-40B4-BE49-F238E27FC236}">
                  <a16:creationId xmlns:a16="http://schemas.microsoft.com/office/drawing/2014/main" id="{00000000-0008-0000-0200-0000C7482900}"/>
                </a:ext>
              </a:extLst>
            </xdr:cNvPr>
            <xdr:cNvGrpSpPr>
              <a:grpSpLocks/>
            </xdr:cNvGrpSpPr>
          </xdr:nvGrpSpPr>
          <xdr:grpSpPr bwMode="auto">
            <a:xfrm>
              <a:off x="563" y="50"/>
              <a:ext cx="1192" cy="269"/>
              <a:chOff x="563" y="50"/>
              <a:chExt cx="1192" cy="269"/>
            </a:xfrm>
          </xdr:grpSpPr>
          <xdr:sp macro="" textlink="">
            <xdr:nvSpPr>
              <xdr:cNvPr id="2705613" name="Rectangle 521">
                <a:extLst>
                  <a:ext uri="{FF2B5EF4-FFF2-40B4-BE49-F238E27FC236}">
                    <a16:creationId xmlns:a16="http://schemas.microsoft.com/office/drawing/2014/main" id="{00000000-0008-0000-0200-0000CD482900}"/>
                  </a:ext>
                </a:extLst>
              </xdr:cNvPr>
              <xdr:cNvSpPr>
                <a:spLocks noChangeArrowheads="1"/>
              </xdr:cNvSpPr>
            </xdr:nvSpPr>
            <xdr:spPr bwMode="auto">
              <a:xfrm>
                <a:off x="563" y="50"/>
                <a:ext cx="1192" cy="269"/>
              </a:xfrm>
              <a:prstGeom prst="rect">
                <a:avLst/>
              </a:prstGeom>
              <a:solidFill>
                <a:srgbClr val="CCFFCC"/>
              </a:solidFill>
              <a:ln w="9525">
                <a:solidFill>
                  <a:srgbClr val="000000"/>
                </a:solidFill>
                <a:miter lim="800000"/>
                <a:headEnd/>
                <a:tailEnd/>
              </a:ln>
            </xdr:spPr>
          </xdr:sp>
          <xdr:grpSp>
            <xdr:nvGrpSpPr>
              <xdr:cNvPr id="2705614" name="Group 522">
                <a:extLst>
                  <a:ext uri="{FF2B5EF4-FFF2-40B4-BE49-F238E27FC236}">
                    <a16:creationId xmlns:a16="http://schemas.microsoft.com/office/drawing/2014/main" id="{00000000-0008-0000-0200-0000CE482900}"/>
                  </a:ext>
                </a:extLst>
              </xdr:cNvPr>
              <xdr:cNvGrpSpPr>
                <a:grpSpLocks/>
              </xdr:cNvGrpSpPr>
            </xdr:nvGrpSpPr>
            <xdr:grpSpPr bwMode="auto">
              <a:xfrm>
                <a:off x="624" y="71"/>
                <a:ext cx="468" cy="220"/>
                <a:chOff x="558" y="75"/>
                <a:chExt cx="468" cy="219"/>
              </a:xfrm>
            </xdr:grpSpPr>
            <xdr:grpSp>
              <xdr:nvGrpSpPr>
                <xdr:cNvPr id="2705634" name="Group 523">
                  <a:extLst>
                    <a:ext uri="{FF2B5EF4-FFF2-40B4-BE49-F238E27FC236}">
                      <a16:creationId xmlns:a16="http://schemas.microsoft.com/office/drawing/2014/main" id="{00000000-0008-0000-0200-0000E2482900}"/>
                    </a:ext>
                  </a:extLst>
                </xdr:cNvPr>
                <xdr:cNvGrpSpPr>
                  <a:grpSpLocks/>
                </xdr:cNvGrpSpPr>
              </xdr:nvGrpSpPr>
              <xdr:grpSpPr bwMode="auto">
                <a:xfrm>
                  <a:off x="589" y="95"/>
                  <a:ext cx="427" cy="178"/>
                  <a:chOff x="589" y="95"/>
                  <a:chExt cx="427" cy="178"/>
                </a:xfrm>
              </xdr:grpSpPr>
              <xdr:sp macro="" textlink="">
                <xdr:nvSpPr>
                  <xdr:cNvPr id="2705636" name="Freeform 524">
                    <a:extLst>
                      <a:ext uri="{FF2B5EF4-FFF2-40B4-BE49-F238E27FC236}">
                        <a16:creationId xmlns:a16="http://schemas.microsoft.com/office/drawing/2014/main" id="{00000000-0008-0000-0200-0000E4482900}"/>
                      </a:ext>
                    </a:extLst>
                  </xdr:cNvPr>
                  <xdr:cNvSpPr>
                    <a:spLocks/>
                  </xdr:cNvSpPr>
                </xdr:nvSpPr>
                <xdr:spPr bwMode="auto">
                  <a:xfrm>
                    <a:off x="589" y="95"/>
                    <a:ext cx="427" cy="178"/>
                  </a:xfrm>
                  <a:custGeom>
                    <a:avLst/>
                    <a:gdLst>
                      <a:gd name="T0" fmla="*/ 107 w 427"/>
                      <a:gd name="T1" fmla="*/ 41 h 178"/>
                      <a:gd name="T2" fmla="*/ 200 w 427"/>
                      <a:gd name="T3" fmla="*/ 16 h 178"/>
                      <a:gd name="T4" fmla="*/ 279 w 427"/>
                      <a:gd name="T5" fmla="*/ 3 h 178"/>
                      <a:gd name="T6" fmla="*/ 342 w 427"/>
                      <a:gd name="T7" fmla="*/ 5 h 178"/>
                      <a:gd name="T8" fmla="*/ 391 w 427"/>
                      <a:gd name="T9" fmla="*/ 33 h 178"/>
                      <a:gd name="T10" fmla="*/ 415 w 427"/>
                      <a:gd name="T11" fmla="*/ 61 h 178"/>
                      <a:gd name="T12" fmla="*/ 423 w 427"/>
                      <a:gd name="T13" fmla="*/ 81 h 178"/>
                      <a:gd name="T14" fmla="*/ 388 w 427"/>
                      <a:gd name="T15" fmla="*/ 103 h 178"/>
                      <a:gd name="T16" fmla="*/ 306 w 427"/>
                      <a:gd name="T17" fmla="*/ 133 h 178"/>
                      <a:gd name="T18" fmla="*/ 249 w 427"/>
                      <a:gd name="T19" fmla="*/ 146 h 178"/>
                      <a:gd name="T20" fmla="*/ 184 w 427"/>
                      <a:gd name="T21" fmla="*/ 162 h 178"/>
                      <a:gd name="T22" fmla="*/ 115 w 427"/>
                      <a:gd name="T23" fmla="*/ 176 h 178"/>
                      <a:gd name="T24" fmla="*/ 57 w 427"/>
                      <a:gd name="T25" fmla="*/ 173 h 178"/>
                      <a:gd name="T26" fmla="*/ 15 w 427"/>
                      <a:gd name="T27" fmla="*/ 160 h 178"/>
                      <a:gd name="T28" fmla="*/ 2 w 427"/>
                      <a:gd name="T29" fmla="*/ 138 h 178"/>
                      <a:gd name="T30" fmla="*/ 4 w 427"/>
                      <a:gd name="T31" fmla="*/ 102 h 178"/>
                      <a:gd name="T32" fmla="*/ 27 w 427"/>
                      <a:gd name="T33" fmla="*/ 75 h 178"/>
                      <a:gd name="T34" fmla="*/ 107 w 427"/>
                      <a:gd name="T35" fmla="*/ 41 h 17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27"/>
                      <a:gd name="T55" fmla="*/ 0 h 178"/>
                      <a:gd name="T56" fmla="*/ 427 w 427"/>
                      <a:gd name="T57" fmla="*/ 178 h 17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27" h="178">
                        <a:moveTo>
                          <a:pt x="107" y="41"/>
                        </a:moveTo>
                        <a:cubicBezTo>
                          <a:pt x="136" y="31"/>
                          <a:pt x="171" y="22"/>
                          <a:pt x="200" y="16"/>
                        </a:cubicBezTo>
                        <a:cubicBezTo>
                          <a:pt x="229" y="10"/>
                          <a:pt x="255" y="5"/>
                          <a:pt x="279" y="3"/>
                        </a:cubicBezTo>
                        <a:cubicBezTo>
                          <a:pt x="303" y="1"/>
                          <a:pt x="323" y="0"/>
                          <a:pt x="342" y="5"/>
                        </a:cubicBezTo>
                        <a:cubicBezTo>
                          <a:pt x="361" y="10"/>
                          <a:pt x="379" y="24"/>
                          <a:pt x="391" y="33"/>
                        </a:cubicBezTo>
                        <a:cubicBezTo>
                          <a:pt x="403" y="42"/>
                          <a:pt x="410" y="53"/>
                          <a:pt x="415" y="61"/>
                        </a:cubicBezTo>
                        <a:cubicBezTo>
                          <a:pt x="420" y="69"/>
                          <a:pt x="427" y="74"/>
                          <a:pt x="423" y="81"/>
                        </a:cubicBezTo>
                        <a:cubicBezTo>
                          <a:pt x="419" y="88"/>
                          <a:pt x="407" y="94"/>
                          <a:pt x="388" y="103"/>
                        </a:cubicBezTo>
                        <a:cubicBezTo>
                          <a:pt x="369" y="112"/>
                          <a:pt x="329" y="126"/>
                          <a:pt x="306" y="133"/>
                        </a:cubicBezTo>
                        <a:cubicBezTo>
                          <a:pt x="283" y="140"/>
                          <a:pt x="269" y="141"/>
                          <a:pt x="249" y="146"/>
                        </a:cubicBezTo>
                        <a:cubicBezTo>
                          <a:pt x="229" y="151"/>
                          <a:pt x="206" y="157"/>
                          <a:pt x="184" y="162"/>
                        </a:cubicBezTo>
                        <a:cubicBezTo>
                          <a:pt x="162" y="167"/>
                          <a:pt x="136" y="174"/>
                          <a:pt x="115" y="176"/>
                        </a:cubicBezTo>
                        <a:cubicBezTo>
                          <a:pt x="94" y="178"/>
                          <a:pt x="74" y="176"/>
                          <a:pt x="57" y="173"/>
                        </a:cubicBezTo>
                        <a:cubicBezTo>
                          <a:pt x="40" y="170"/>
                          <a:pt x="24" y="166"/>
                          <a:pt x="15" y="160"/>
                        </a:cubicBezTo>
                        <a:cubicBezTo>
                          <a:pt x="6" y="154"/>
                          <a:pt x="4" y="148"/>
                          <a:pt x="2" y="138"/>
                        </a:cubicBezTo>
                        <a:cubicBezTo>
                          <a:pt x="0" y="128"/>
                          <a:pt x="0" y="112"/>
                          <a:pt x="4" y="102"/>
                        </a:cubicBezTo>
                        <a:cubicBezTo>
                          <a:pt x="8" y="92"/>
                          <a:pt x="10" y="85"/>
                          <a:pt x="27" y="75"/>
                        </a:cubicBezTo>
                        <a:cubicBezTo>
                          <a:pt x="44" y="65"/>
                          <a:pt x="78" y="51"/>
                          <a:pt x="107" y="41"/>
                        </a:cubicBezTo>
                        <a:close/>
                      </a:path>
                    </a:pathLst>
                  </a:custGeom>
                  <a:solidFill>
                    <a:srgbClr val="99CC00"/>
                  </a:solidFill>
                  <a:ln w="9525">
                    <a:solidFill>
                      <a:srgbClr val="000000"/>
                    </a:solidFill>
                    <a:round/>
                    <a:headEnd/>
                    <a:tailEnd/>
                  </a:ln>
                </xdr:spPr>
              </xdr:sp>
              <xdr:sp macro="" textlink="">
                <xdr:nvSpPr>
                  <xdr:cNvPr id="2705637" name="Freeform 525">
                    <a:extLst>
                      <a:ext uri="{FF2B5EF4-FFF2-40B4-BE49-F238E27FC236}">
                        <a16:creationId xmlns:a16="http://schemas.microsoft.com/office/drawing/2014/main" id="{00000000-0008-0000-0200-0000E5482900}"/>
                      </a:ext>
                    </a:extLst>
                  </xdr:cNvPr>
                  <xdr:cNvSpPr>
                    <a:spLocks/>
                  </xdr:cNvSpPr>
                </xdr:nvSpPr>
                <xdr:spPr bwMode="auto">
                  <a:xfrm>
                    <a:off x="623" y="114"/>
                    <a:ext cx="370" cy="135"/>
                  </a:xfrm>
                  <a:custGeom>
                    <a:avLst/>
                    <a:gdLst>
                      <a:gd name="T0" fmla="*/ 77 w 370"/>
                      <a:gd name="T1" fmla="*/ 43 h 135"/>
                      <a:gd name="T2" fmla="*/ 138 w 370"/>
                      <a:gd name="T3" fmla="*/ 22 h 135"/>
                      <a:gd name="T4" fmla="*/ 203 w 370"/>
                      <a:gd name="T5" fmla="*/ 8 h 135"/>
                      <a:gd name="T6" fmla="*/ 264 w 370"/>
                      <a:gd name="T7" fmla="*/ 1 h 135"/>
                      <a:gd name="T8" fmla="*/ 312 w 370"/>
                      <a:gd name="T9" fmla="*/ 4 h 135"/>
                      <a:gd name="T10" fmla="*/ 349 w 370"/>
                      <a:gd name="T11" fmla="*/ 25 h 135"/>
                      <a:gd name="T12" fmla="*/ 369 w 370"/>
                      <a:gd name="T13" fmla="*/ 48 h 135"/>
                      <a:gd name="T14" fmla="*/ 356 w 370"/>
                      <a:gd name="T15" fmla="*/ 65 h 135"/>
                      <a:gd name="T16" fmla="*/ 297 w 370"/>
                      <a:gd name="T17" fmla="*/ 90 h 135"/>
                      <a:gd name="T18" fmla="*/ 221 w 370"/>
                      <a:gd name="T19" fmla="*/ 108 h 135"/>
                      <a:gd name="T20" fmla="*/ 145 w 370"/>
                      <a:gd name="T21" fmla="*/ 123 h 135"/>
                      <a:gd name="T22" fmla="*/ 74 w 370"/>
                      <a:gd name="T23" fmla="*/ 134 h 135"/>
                      <a:gd name="T24" fmla="*/ 29 w 370"/>
                      <a:gd name="T25" fmla="*/ 131 h 135"/>
                      <a:gd name="T26" fmla="*/ 6 w 370"/>
                      <a:gd name="T27" fmla="*/ 115 h 135"/>
                      <a:gd name="T28" fmla="*/ 1 w 370"/>
                      <a:gd name="T29" fmla="*/ 91 h 135"/>
                      <a:gd name="T30" fmla="*/ 6 w 370"/>
                      <a:gd name="T31" fmla="*/ 74 h 135"/>
                      <a:gd name="T32" fmla="*/ 35 w 370"/>
                      <a:gd name="T33" fmla="*/ 59 h 135"/>
                      <a:gd name="T34" fmla="*/ 77 w 370"/>
                      <a:gd name="T35" fmla="*/ 43 h 135"/>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70"/>
                      <a:gd name="T55" fmla="*/ 0 h 135"/>
                      <a:gd name="T56" fmla="*/ 370 w 370"/>
                      <a:gd name="T57" fmla="*/ 135 h 135"/>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70" h="135">
                        <a:moveTo>
                          <a:pt x="77" y="43"/>
                        </a:moveTo>
                        <a:cubicBezTo>
                          <a:pt x="94" y="37"/>
                          <a:pt x="117" y="28"/>
                          <a:pt x="138" y="22"/>
                        </a:cubicBezTo>
                        <a:cubicBezTo>
                          <a:pt x="159" y="16"/>
                          <a:pt x="182" y="12"/>
                          <a:pt x="203" y="8"/>
                        </a:cubicBezTo>
                        <a:cubicBezTo>
                          <a:pt x="224" y="4"/>
                          <a:pt x="246" y="2"/>
                          <a:pt x="264" y="1"/>
                        </a:cubicBezTo>
                        <a:cubicBezTo>
                          <a:pt x="282" y="0"/>
                          <a:pt x="298" y="0"/>
                          <a:pt x="312" y="4"/>
                        </a:cubicBezTo>
                        <a:cubicBezTo>
                          <a:pt x="326" y="8"/>
                          <a:pt x="340" y="18"/>
                          <a:pt x="349" y="25"/>
                        </a:cubicBezTo>
                        <a:cubicBezTo>
                          <a:pt x="358" y="32"/>
                          <a:pt x="368" y="41"/>
                          <a:pt x="369" y="48"/>
                        </a:cubicBezTo>
                        <a:cubicBezTo>
                          <a:pt x="370" y="55"/>
                          <a:pt x="368" y="58"/>
                          <a:pt x="356" y="65"/>
                        </a:cubicBezTo>
                        <a:cubicBezTo>
                          <a:pt x="344" y="72"/>
                          <a:pt x="319" y="83"/>
                          <a:pt x="297" y="90"/>
                        </a:cubicBezTo>
                        <a:cubicBezTo>
                          <a:pt x="275" y="97"/>
                          <a:pt x="246" y="103"/>
                          <a:pt x="221" y="108"/>
                        </a:cubicBezTo>
                        <a:cubicBezTo>
                          <a:pt x="196" y="113"/>
                          <a:pt x="169" y="119"/>
                          <a:pt x="145" y="123"/>
                        </a:cubicBezTo>
                        <a:cubicBezTo>
                          <a:pt x="121" y="127"/>
                          <a:pt x="93" y="133"/>
                          <a:pt x="74" y="134"/>
                        </a:cubicBezTo>
                        <a:cubicBezTo>
                          <a:pt x="55" y="135"/>
                          <a:pt x="40" y="134"/>
                          <a:pt x="29" y="131"/>
                        </a:cubicBezTo>
                        <a:cubicBezTo>
                          <a:pt x="18" y="128"/>
                          <a:pt x="11" y="122"/>
                          <a:pt x="6" y="115"/>
                        </a:cubicBezTo>
                        <a:cubicBezTo>
                          <a:pt x="1" y="108"/>
                          <a:pt x="1" y="98"/>
                          <a:pt x="1" y="91"/>
                        </a:cubicBezTo>
                        <a:cubicBezTo>
                          <a:pt x="1" y="84"/>
                          <a:pt x="0" y="79"/>
                          <a:pt x="6" y="74"/>
                        </a:cubicBezTo>
                        <a:cubicBezTo>
                          <a:pt x="12" y="69"/>
                          <a:pt x="23" y="64"/>
                          <a:pt x="35" y="59"/>
                        </a:cubicBezTo>
                        <a:cubicBezTo>
                          <a:pt x="47" y="54"/>
                          <a:pt x="60" y="49"/>
                          <a:pt x="77" y="43"/>
                        </a:cubicBezTo>
                        <a:close/>
                      </a:path>
                    </a:pathLst>
                  </a:custGeom>
                  <a:solidFill>
                    <a:srgbClr val="339966"/>
                  </a:solidFill>
                  <a:ln w="9525">
                    <a:solidFill>
                      <a:srgbClr val="000000"/>
                    </a:solidFill>
                    <a:round/>
                    <a:headEnd/>
                    <a:tailEnd/>
                  </a:ln>
                </xdr:spPr>
              </xdr:sp>
              <xdr:sp macro="" textlink="">
                <xdr:nvSpPr>
                  <xdr:cNvPr id="2705638" name="Freeform 526">
                    <a:extLst>
                      <a:ext uri="{FF2B5EF4-FFF2-40B4-BE49-F238E27FC236}">
                        <a16:creationId xmlns:a16="http://schemas.microsoft.com/office/drawing/2014/main" id="{00000000-0008-0000-0200-0000E6482900}"/>
                      </a:ext>
                    </a:extLst>
                  </xdr:cNvPr>
                  <xdr:cNvSpPr>
                    <a:spLocks/>
                  </xdr:cNvSpPr>
                </xdr:nvSpPr>
                <xdr:spPr bwMode="auto">
                  <a:xfrm>
                    <a:off x="653" y="136"/>
                    <a:ext cx="324" cy="96"/>
                  </a:xfrm>
                  <a:custGeom>
                    <a:avLst/>
                    <a:gdLst>
                      <a:gd name="T0" fmla="*/ 51 w 324"/>
                      <a:gd name="T1" fmla="*/ 41 h 96"/>
                      <a:gd name="T2" fmla="*/ 129 w 324"/>
                      <a:gd name="T3" fmla="*/ 20 h 96"/>
                      <a:gd name="T4" fmla="*/ 192 w 324"/>
                      <a:gd name="T5" fmla="*/ 5 h 96"/>
                      <a:gd name="T6" fmla="*/ 240 w 324"/>
                      <a:gd name="T7" fmla="*/ 0 h 96"/>
                      <a:gd name="T8" fmla="*/ 288 w 324"/>
                      <a:gd name="T9" fmla="*/ 4 h 96"/>
                      <a:gd name="T10" fmla="*/ 317 w 324"/>
                      <a:gd name="T11" fmla="*/ 15 h 96"/>
                      <a:gd name="T12" fmla="*/ 322 w 324"/>
                      <a:gd name="T13" fmla="*/ 31 h 96"/>
                      <a:gd name="T14" fmla="*/ 305 w 324"/>
                      <a:gd name="T15" fmla="*/ 46 h 96"/>
                      <a:gd name="T16" fmla="*/ 263 w 324"/>
                      <a:gd name="T17" fmla="*/ 59 h 96"/>
                      <a:gd name="T18" fmla="*/ 196 w 324"/>
                      <a:gd name="T19" fmla="*/ 71 h 96"/>
                      <a:gd name="T20" fmla="*/ 132 w 324"/>
                      <a:gd name="T21" fmla="*/ 85 h 96"/>
                      <a:gd name="T22" fmla="*/ 77 w 324"/>
                      <a:gd name="T23" fmla="*/ 94 h 96"/>
                      <a:gd name="T24" fmla="*/ 45 w 324"/>
                      <a:gd name="T25" fmla="*/ 96 h 96"/>
                      <a:gd name="T26" fmla="*/ 13 w 324"/>
                      <a:gd name="T27" fmla="*/ 91 h 96"/>
                      <a:gd name="T28" fmla="*/ 0 w 324"/>
                      <a:gd name="T29" fmla="*/ 76 h 96"/>
                      <a:gd name="T30" fmla="*/ 13 w 324"/>
                      <a:gd name="T31" fmla="*/ 55 h 96"/>
                      <a:gd name="T32" fmla="*/ 51 w 324"/>
                      <a:gd name="T33" fmla="*/ 41 h 9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24"/>
                      <a:gd name="T52" fmla="*/ 0 h 96"/>
                      <a:gd name="T53" fmla="*/ 324 w 324"/>
                      <a:gd name="T54" fmla="*/ 96 h 9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24" h="96">
                        <a:moveTo>
                          <a:pt x="51" y="41"/>
                        </a:moveTo>
                        <a:cubicBezTo>
                          <a:pt x="70" y="35"/>
                          <a:pt x="106" y="26"/>
                          <a:pt x="129" y="20"/>
                        </a:cubicBezTo>
                        <a:cubicBezTo>
                          <a:pt x="152" y="14"/>
                          <a:pt x="173" y="8"/>
                          <a:pt x="192" y="5"/>
                        </a:cubicBezTo>
                        <a:cubicBezTo>
                          <a:pt x="211" y="2"/>
                          <a:pt x="224" y="0"/>
                          <a:pt x="240" y="0"/>
                        </a:cubicBezTo>
                        <a:cubicBezTo>
                          <a:pt x="256" y="0"/>
                          <a:pt x="275" y="2"/>
                          <a:pt x="288" y="4"/>
                        </a:cubicBezTo>
                        <a:cubicBezTo>
                          <a:pt x="301" y="6"/>
                          <a:pt x="311" y="10"/>
                          <a:pt x="317" y="15"/>
                        </a:cubicBezTo>
                        <a:cubicBezTo>
                          <a:pt x="323" y="20"/>
                          <a:pt x="324" y="26"/>
                          <a:pt x="322" y="31"/>
                        </a:cubicBezTo>
                        <a:cubicBezTo>
                          <a:pt x="320" y="36"/>
                          <a:pt x="315" y="41"/>
                          <a:pt x="305" y="46"/>
                        </a:cubicBezTo>
                        <a:cubicBezTo>
                          <a:pt x="295" y="51"/>
                          <a:pt x="281" y="55"/>
                          <a:pt x="263" y="59"/>
                        </a:cubicBezTo>
                        <a:cubicBezTo>
                          <a:pt x="245" y="63"/>
                          <a:pt x="218" y="67"/>
                          <a:pt x="196" y="71"/>
                        </a:cubicBezTo>
                        <a:cubicBezTo>
                          <a:pt x="174" y="75"/>
                          <a:pt x="152" y="81"/>
                          <a:pt x="132" y="85"/>
                        </a:cubicBezTo>
                        <a:cubicBezTo>
                          <a:pt x="112" y="89"/>
                          <a:pt x="91" y="92"/>
                          <a:pt x="77" y="94"/>
                        </a:cubicBezTo>
                        <a:cubicBezTo>
                          <a:pt x="63" y="96"/>
                          <a:pt x="56" y="96"/>
                          <a:pt x="45" y="96"/>
                        </a:cubicBezTo>
                        <a:cubicBezTo>
                          <a:pt x="34" y="96"/>
                          <a:pt x="20" y="94"/>
                          <a:pt x="13" y="91"/>
                        </a:cubicBezTo>
                        <a:cubicBezTo>
                          <a:pt x="6" y="88"/>
                          <a:pt x="0" y="82"/>
                          <a:pt x="0" y="76"/>
                        </a:cubicBezTo>
                        <a:cubicBezTo>
                          <a:pt x="0" y="70"/>
                          <a:pt x="5" y="61"/>
                          <a:pt x="13" y="55"/>
                        </a:cubicBezTo>
                        <a:cubicBezTo>
                          <a:pt x="21" y="49"/>
                          <a:pt x="32" y="47"/>
                          <a:pt x="51" y="41"/>
                        </a:cubicBezTo>
                        <a:close/>
                      </a:path>
                    </a:pathLst>
                  </a:custGeom>
                  <a:solidFill>
                    <a:srgbClr val="008000"/>
                  </a:solidFill>
                  <a:ln w="9525">
                    <a:solidFill>
                      <a:srgbClr val="000000"/>
                    </a:solidFill>
                    <a:round/>
                    <a:headEnd/>
                    <a:tailEnd/>
                  </a:ln>
                </xdr:spPr>
              </xdr:sp>
              <xdr:sp macro="" textlink="">
                <xdr:nvSpPr>
                  <xdr:cNvPr id="2705639" name="Freeform 527">
                    <a:extLst>
                      <a:ext uri="{FF2B5EF4-FFF2-40B4-BE49-F238E27FC236}">
                        <a16:creationId xmlns:a16="http://schemas.microsoft.com/office/drawing/2014/main" id="{00000000-0008-0000-0200-0000E7482900}"/>
                      </a:ext>
                    </a:extLst>
                  </xdr:cNvPr>
                  <xdr:cNvSpPr>
                    <a:spLocks/>
                  </xdr:cNvSpPr>
                </xdr:nvSpPr>
                <xdr:spPr bwMode="auto">
                  <a:xfrm>
                    <a:off x="675" y="148"/>
                    <a:ext cx="287" cy="70"/>
                  </a:xfrm>
                  <a:custGeom>
                    <a:avLst/>
                    <a:gdLst>
                      <a:gd name="T0" fmla="*/ 32 w 287"/>
                      <a:gd name="T1" fmla="*/ 45 h 70"/>
                      <a:gd name="T2" fmla="*/ 93 w 287"/>
                      <a:gd name="T3" fmla="*/ 29 h 70"/>
                      <a:gd name="T4" fmla="*/ 134 w 287"/>
                      <a:gd name="T5" fmla="*/ 18 h 70"/>
                      <a:gd name="T6" fmla="*/ 178 w 287"/>
                      <a:gd name="T7" fmla="*/ 8 h 70"/>
                      <a:gd name="T8" fmla="*/ 230 w 287"/>
                      <a:gd name="T9" fmla="*/ 1 h 70"/>
                      <a:gd name="T10" fmla="*/ 266 w 287"/>
                      <a:gd name="T11" fmla="*/ 3 h 70"/>
                      <a:gd name="T12" fmla="*/ 285 w 287"/>
                      <a:gd name="T13" fmla="*/ 15 h 70"/>
                      <a:gd name="T14" fmla="*/ 276 w 287"/>
                      <a:gd name="T15" fmla="*/ 25 h 70"/>
                      <a:gd name="T16" fmla="*/ 226 w 287"/>
                      <a:gd name="T17" fmla="*/ 36 h 70"/>
                      <a:gd name="T18" fmla="*/ 160 w 287"/>
                      <a:gd name="T19" fmla="*/ 48 h 70"/>
                      <a:gd name="T20" fmla="*/ 102 w 287"/>
                      <a:gd name="T21" fmla="*/ 61 h 70"/>
                      <a:gd name="T22" fmla="*/ 50 w 287"/>
                      <a:gd name="T23" fmla="*/ 67 h 70"/>
                      <a:gd name="T24" fmla="*/ 25 w 287"/>
                      <a:gd name="T25" fmla="*/ 70 h 70"/>
                      <a:gd name="T26" fmla="*/ 5 w 287"/>
                      <a:gd name="T27" fmla="*/ 68 h 70"/>
                      <a:gd name="T28" fmla="*/ 5 w 287"/>
                      <a:gd name="T29" fmla="*/ 55 h 70"/>
                      <a:gd name="T30" fmla="*/ 32 w 287"/>
                      <a:gd name="T31" fmla="*/ 45 h 70"/>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287"/>
                      <a:gd name="T49" fmla="*/ 0 h 70"/>
                      <a:gd name="T50" fmla="*/ 287 w 287"/>
                      <a:gd name="T51" fmla="*/ 70 h 70"/>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287" h="70">
                        <a:moveTo>
                          <a:pt x="32" y="45"/>
                        </a:moveTo>
                        <a:cubicBezTo>
                          <a:pt x="47" y="41"/>
                          <a:pt x="76" y="33"/>
                          <a:pt x="93" y="29"/>
                        </a:cubicBezTo>
                        <a:cubicBezTo>
                          <a:pt x="110" y="25"/>
                          <a:pt x="120" y="21"/>
                          <a:pt x="134" y="18"/>
                        </a:cubicBezTo>
                        <a:cubicBezTo>
                          <a:pt x="148" y="15"/>
                          <a:pt x="162" y="11"/>
                          <a:pt x="178" y="8"/>
                        </a:cubicBezTo>
                        <a:cubicBezTo>
                          <a:pt x="194" y="5"/>
                          <a:pt x="215" y="2"/>
                          <a:pt x="230" y="1"/>
                        </a:cubicBezTo>
                        <a:cubicBezTo>
                          <a:pt x="245" y="0"/>
                          <a:pt x="257" y="1"/>
                          <a:pt x="266" y="3"/>
                        </a:cubicBezTo>
                        <a:cubicBezTo>
                          <a:pt x="275" y="5"/>
                          <a:pt x="283" y="11"/>
                          <a:pt x="285" y="15"/>
                        </a:cubicBezTo>
                        <a:cubicBezTo>
                          <a:pt x="287" y="19"/>
                          <a:pt x="286" y="22"/>
                          <a:pt x="276" y="25"/>
                        </a:cubicBezTo>
                        <a:cubicBezTo>
                          <a:pt x="266" y="28"/>
                          <a:pt x="245" y="32"/>
                          <a:pt x="226" y="36"/>
                        </a:cubicBezTo>
                        <a:cubicBezTo>
                          <a:pt x="207" y="40"/>
                          <a:pt x="181" y="44"/>
                          <a:pt x="160" y="48"/>
                        </a:cubicBezTo>
                        <a:cubicBezTo>
                          <a:pt x="139" y="52"/>
                          <a:pt x="120" y="58"/>
                          <a:pt x="102" y="61"/>
                        </a:cubicBezTo>
                        <a:cubicBezTo>
                          <a:pt x="84" y="64"/>
                          <a:pt x="63" y="66"/>
                          <a:pt x="50" y="67"/>
                        </a:cubicBezTo>
                        <a:cubicBezTo>
                          <a:pt x="37" y="68"/>
                          <a:pt x="32" y="70"/>
                          <a:pt x="25" y="70"/>
                        </a:cubicBezTo>
                        <a:cubicBezTo>
                          <a:pt x="18" y="70"/>
                          <a:pt x="8" y="70"/>
                          <a:pt x="5" y="68"/>
                        </a:cubicBezTo>
                        <a:cubicBezTo>
                          <a:pt x="2" y="66"/>
                          <a:pt x="0" y="59"/>
                          <a:pt x="5" y="55"/>
                        </a:cubicBezTo>
                        <a:cubicBezTo>
                          <a:pt x="10" y="51"/>
                          <a:pt x="17" y="49"/>
                          <a:pt x="32" y="45"/>
                        </a:cubicBezTo>
                        <a:close/>
                      </a:path>
                    </a:pathLst>
                  </a:custGeom>
                  <a:solidFill>
                    <a:srgbClr val="008080"/>
                  </a:solidFill>
                  <a:ln w="9525">
                    <a:solidFill>
                      <a:srgbClr val="000000"/>
                    </a:solidFill>
                    <a:round/>
                    <a:headEnd/>
                    <a:tailEnd/>
                  </a:ln>
                </xdr:spPr>
              </xdr:sp>
            </xdr:grpSp>
            <xdr:sp macro="" textlink="">
              <xdr:nvSpPr>
                <xdr:cNvPr id="2705635" name="Freeform 528">
                  <a:extLst>
                    <a:ext uri="{FF2B5EF4-FFF2-40B4-BE49-F238E27FC236}">
                      <a16:creationId xmlns:a16="http://schemas.microsoft.com/office/drawing/2014/main" id="{00000000-0008-0000-0200-0000E3482900}"/>
                    </a:ext>
                  </a:extLst>
                </xdr:cNvPr>
                <xdr:cNvSpPr>
                  <a:spLocks/>
                </xdr:cNvSpPr>
              </xdr:nvSpPr>
              <xdr:spPr bwMode="auto">
                <a:xfrm>
                  <a:off x="558" y="75"/>
                  <a:ext cx="468" cy="219"/>
                </a:xfrm>
                <a:custGeom>
                  <a:avLst/>
                  <a:gdLst>
                    <a:gd name="T0" fmla="*/ 21 w 468"/>
                    <a:gd name="T1" fmla="*/ 89 h 219"/>
                    <a:gd name="T2" fmla="*/ 92 w 468"/>
                    <a:gd name="T3" fmla="*/ 52 h 219"/>
                    <a:gd name="T4" fmla="*/ 209 w 468"/>
                    <a:gd name="T5" fmla="*/ 16 h 219"/>
                    <a:gd name="T6" fmla="*/ 281 w 468"/>
                    <a:gd name="T7" fmla="*/ 3 h 219"/>
                    <a:gd name="T8" fmla="*/ 365 w 468"/>
                    <a:gd name="T9" fmla="*/ 5 h 219"/>
                    <a:gd name="T10" fmla="*/ 431 w 468"/>
                    <a:gd name="T11" fmla="*/ 36 h 219"/>
                    <a:gd name="T12" fmla="*/ 458 w 468"/>
                    <a:gd name="T13" fmla="*/ 72 h 219"/>
                    <a:gd name="T14" fmla="*/ 467 w 468"/>
                    <a:gd name="T15" fmla="*/ 100 h 219"/>
                    <a:gd name="T16" fmla="*/ 449 w 468"/>
                    <a:gd name="T17" fmla="*/ 130 h 219"/>
                    <a:gd name="T18" fmla="*/ 351 w 468"/>
                    <a:gd name="T19" fmla="*/ 163 h 219"/>
                    <a:gd name="T20" fmla="*/ 259 w 468"/>
                    <a:gd name="T21" fmla="*/ 187 h 219"/>
                    <a:gd name="T22" fmla="*/ 183 w 468"/>
                    <a:gd name="T23" fmla="*/ 201 h 219"/>
                    <a:gd name="T24" fmla="*/ 109 w 468"/>
                    <a:gd name="T25" fmla="*/ 217 h 219"/>
                    <a:gd name="T26" fmla="*/ 49 w 468"/>
                    <a:gd name="T27" fmla="*/ 212 h 219"/>
                    <a:gd name="T28" fmla="*/ 8 w 468"/>
                    <a:gd name="T29" fmla="*/ 187 h 219"/>
                    <a:gd name="T30" fmla="*/ 1 w 468"/>
                    <a:gd name="T31" fmla="*/ 142 h 219"/>
                    <a:gd name="T32" fmla="*/ 9 w 468"/>
                    <a:gd name="T33" fmla="*/ 101 h 219"/>
                    <a:gd name="T34" fmla="*/ 36 w 468"/>
                    <a:gd name="T35" fmla="*/ 79 h 21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68"/>
                    <a:gd name="T55" fmla="*/ 0 h 219"/>
                    <a:gd name="T56" fmla="*/ 468 w 468"/>
                    <a:gd name="T57" fmla="*/ 219 h 21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68" h="219">
                      <a:moveTo>
                        <a:pt x="21" y="89"/>
                      </a:moveTo>
                      <a:cubicBezTo>
                        <a:pt x="41" y="76"/>
                        <a:pt x="61" y="64"/>
                        <a:pt x="92" y="52"/>
                      </a:cubicBezTo>
                      <a:cubicBezTo>
                        <a:pt x="123" y="40"/>
                        <a:pt x="178" y="24"/>
                        <a:pt x="209" y="16"/>
                      </a:cubicBezTo>
                      <a:cubicBezTo>
                        <a:pt x="240" y="8"/>
                        <a:pt x="255" y="5"/>
                        <a:pt x="281" y="3"/>
                      </a:cubicBezTo>
                      <a:cubicBezTo>
                        <a:pt x="307" y="1"/>
                        <a:pt x="340" y="0"/>
                        <a:pt x="365" y="5"/>
                      </a:cubicBezTo>
                      <a:cubicBezTo>
                        <a:pt x="390" y="10"/>
                        <a:pt x="416" y="25"/>
                        <a:pt x="431" y="36"/>
                      </a:cubicBezTo>
                      <a:cubicBezTo>
                        <a:pt x="446" y="47"/>
                        <a:pt x="452" y="61"/>
                        <a:pt x="458" y="72"/>
                      </a:cubicBezTo>
                      <a:cubicBezTo>
                        <a:pt x="464" y="83"/>
                        <a:pt x="468" y="90"/>
                        <a:pt x="467" y="100"/>
                      </a:cubicBezTo>
                      <a:cubicBezTo>
                        <a:pt x="466" y="110"/>
                        <a:pt x="468" y="120"/>
                        <a:pt x="449" y="130"/>
                      </a:cubicBezTo>
                      <a:cubicBezTo>
                        <a:pt x="430" y="140"/>
                        <a:pt x="383" y="153"/>
                        <a:pt x="351" y="163"/>
                      </a:cubicBezTo>
                      <a:cubicBezTo>
                        <a:pt x="319" y="173"/>
                        <a:pt x="287" y="181"/>
                        <a:pt x="259" y="187"/>
                      </a:cubicBezTo>
                      <a:cubicBezTo>
                        <a:pt x="231" y="193"/>
                        <a:pt x="208" y="196"/>
                        <a:pt x="183" y="201"/>
                      </a:cubicBezTo>
                      <a:cubicBezTo>
                        <a:pt x="158" y="206"/>
                        <a:pt x="131" y="215"/>
                        <a:pt x="109" y="217"/>
                      </a:cubicBezTo>
                      <a:cubicBezTo>
                        <a:pt x="87" y="219"/>
                        <a:pt x="66" y="217"/>
                        <a:pt x="49" y="212"/>
                      </a:cubicBezTo>
                      <a:cubicBezTo>
                        <a:pt x="32" y="207"/>
                        <a:pt x="16" y="199"/>
                        <a:pt x="8" y="187"/>
                      </a:cubicBezTo>
                      <a:cubicBezTo>
                        <a:pt x="0" y="175"/>
                        <a:pt x="1" y="156"/>
                        <a:pt x="1" y="142"/>
                      </a:cubicBezTo>
                      <a:cubicBezTo>
                        <a:pt x="1" y="128"/>
                        <a:pt x="3" y="111"/>
                        <a:pt x="9" y="101"/>
                      </a:cubicBezTo>
                      <a:cubicBezTo>
                        <a:pt x="15" y="91"/>
                        <a:pt x="25" y="85"/>
                        <a:pt x="36" y="79"/>
                      </a:cubicBezTo>
                    </a:path>
                  </a:pathLst>
                </a:custGeom>
                <a:noFill/>
                <a:ln w="9525">
                  <a:solidFill>
                    <a:srgbClr val="000000"/>
                  </a:solidFill>
                  <a:round/>
                  <a:headEnd/>
                  <a:tailEnd/>
                </a:ln>
              </xdr:spPr>
            </xdr:sp>
          </xdr:grpSp>
          <xdr:sp macro="" textlink="">
            <xdr:nvSpPr>
              <xdr:cNvPr id="4625" name="Text Box 529">
                <a:extLst>
                  <a:ext uri="{FF2B5EF4-FFF2-40B4-BE49-F238E27FC236}">
                    <a16:creationId xmlns:a16="http://schemas.microsoft.com/office/drawing/2014/main" id="{00000000-0008-0000-0200-000011120000}"/>
                  </a:ext>
                </a:extLst>
              </xdr:cNvPr>
              <xdr:cNvSpPr txBox="1">
                <a:spLocks noChangeArrowheads="1"/>
              </xdr:cNvSpPr>
            </xdr:nvSpPr>
            <xdr:spPr bwMode="auto">
              <a:xfrm>
                <a:off x="914" y="283"/>
                <a:ext cx="37" cy="17"/>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Symbol"/>
                  </a:rPr>
                  <a:t>y </a:t>
                </a:r>
                <a:r>
                  <a:rPr lang="en-US" sz="1000" b="0" i="0" strike="noStrike">
                    <a:solidFill>
                      <a:srgbClr val="000000"/>
                    </a:solidFill>
                    <a:latin typeface="Arial"/>
                    <a:cs typeface="Arial"/>
                  </a:rPr>
                  <a:t>= 0</a:t>
                </a:r>
              </a:p>
            </xdr:txBody>
          </xdr:sp>
          <xdr:sp macro="" textlink="">
            <xdr:nvSpPr>
              <xdr:cNvPr id="2705616" name="Line 530">
                <a:extLst>
                  <a:ext uri="{FF2B5EF4-FFF2-40B4-BE49-F238E27FC236}">
                    <a16:creationId xmlns:a16="http://schemas.microsoft.com/office/drawing/2014/main" id="{00000000-0008-0000-0200-0000D0482900}"/>
                  </a:ext>
                </a:extLst>
              </xdr:cNvPr>
              <xdr:cNvSpPr>
                <a:spLocks noChangeShapeType="1"/>
              </xdr:cNvSpPr>
            </xdr:nvSpPr>
            <xdr:spPr bwMode="auto">
              <a:xfrm flipV="1">
                <a:off x="984" y="240"/>
                <a:ext cx="38" cy="47"/>
              </a:xfrm>
              <a:prstGeom prst="line">
                <a:avLst/>
              </a:prstGeom>
              <a:noFill/>
              <a:ln w="9525">
                <a:solidFill>
                  <a:srgbClr val="000000"/>
                </a:solidFill>
                <a:round/>
                <a:headEnd/>
                <a:tailEnd type="stealth" w="med" len="med"/>
              </a:ln>
            </xdr:spPr>
          </xdr:sp>
          <xdr:sp macro="" textlink="">
            <xdr:nvSpPr>
              <xdr:cNvPr id="2705617" name="Line 531">
                <a:extLst>
                  <a:ext uri="{FF2B5EF4-FFF2-40B4-BE49-F238E27FC236}">
                    <a16:creationId xmlns:a16="http://schemas.microsoft.com/office/drawing/2014/main" id="{00000000-0008-0000-0200-0000D1482900}"/>
                  </a:ext>
                </a:extLst>
              </xdr:cNvPr>
              <xdr:cNvSpPr>
                <a:spLocks noChangeShapeType="1"/>
              </xdr:cNvSpPr>
            </xdr:nvSpPr>
            <xdr:spPr bwMode="auto">
              <a:xfrm flipH="1" flipV="1">
                <a:off x="906" y="269"/>
                <a:ext cx="10" cy="43"/>
              </a:xfrm>
              <a:prstGeom prst="line">
                <a:avLst/>
              </a:prstGeom>
              <a:noFill/>
              <a:ln w="9525">
                <a:solidFill>
                  <a:srgbClr val="000000"/>
                </a:solidFill>
                <a:round/>
                <a:headEnd/>
                <a:tailEnd type="stealth" w="sm" len="med"/>
              </a:ln>
            </xdr:spPr>
          </xdr:sp>
          <xdr:sp macro="" textlink="">
            <xdr:nvSpPr>
              <xdr:cNvPr id="4628" name="Text Box 532">
                <a:extLst>
                  <a:ext uri="{FF2B5EF4-FFF2-40B4-BE49-F238E27FC236}">
                    <a16:creationId xmlns:a16="http://schemas.microsoft.com/office/drawing/2014/main" id="{00000000-0008-0000-0200-000014120000}"/>
                  </a:ext>
                </a:extLst>
              </xdr:cNvPr>
              <xdr:cNvSpPr txBox="1">
                <a:spLocks noChangeArrowheads="1"/>
              </xdr:cNvSpPr>
            </xdr:nvSpPr>
            <xdr:spPr bwMode="auto">
              <a:xfrm>
                <a:off x="591" y="251"/>
                <a:ext cx="16" cy="15"/>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a:t>
                </a:r>
              </a:p>
            </xdr:txBody>
          </xdr:sp>
          <xdr:sp macro="" textlink="">
            <xdr:nvSpPr>
              <xdr:cNvPr id="4629" name="Text Box 533">
                <a:extLst>
                  <a:ext uri="{FF2B5EF4-FFF2-40B4-BE49-F238E27FC236}">
                    <a16:creationId xmlns:a16="http://schemas.microsoft.com/office/drawing/2014/main" id="{00000000-0008-0000-0200-000015120000}"/>
                  </a:ext>
                </a:extLst>
              </xdr:cNvPr>
              <xdr:cNvSpPr txBox="1">
                <a:spLocks noChangeArrowheads="1"/>
              </xdr:cNvSpPr>
            </xdr:nvSpPr>
            <xdr:spPr bwMode="auto">
              <a:xfrm>
                <a:off x="790" y="287"/>
                <a:ext cx="16"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a:t>
                </a:r>
              </a:p>
            </xdr:txBody>
          </xdr:sp>
          <xdr:sp macro="" textlink="">
            <xdr:nvSpPr>
              <xdr:cNvPr id="4630" name="Text Box 534">
                <a:extLst>
                  <a:ext uri="{FF2B5EF4-FFF2-40B4-BE49-F238E27FC236}">
                    <a16:creationId xmlns:a16="http://schemas.microsoft.com/office/drawing/2014/main" id="{00000000-0008-0000-0200-000016120000}"/>
                  </a:ext>
                </a:extLst>
              </xdr:cNvPr>
              <xdr:cNvSpPr txBox="1">
                <a:spLocks noChangeArrowheads="1"/>
              </xdr:cNvSpPr>
            </xdr:nvSpPr>
            <xdr:spPr bwMode="auto">
              <a:xfrm>
                <a:off x="745" y="78"/>
                <a:ext cx="16"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a:t>
                </a:r>
              </a:p>
            </xdr:txBody>
          </xdr:sp>
          <xdr:sp macro="" textlink="">
            <xdr:nvSpPr>
              <xdr:cNvPr id="4631" name="Text Box 535">
                <a:extLst>
                  <a:ext uri="{FF2B5EF4-FFF2-40B4-BE49-F238E27FC236}">
                    <a16:creationId xmlns:a16="http://schemas.microsoft.com/office/drawing/2014/main" id="{00000000-0008-0000-0200-000017120000}"/>
                  </a:ext>
                </a:extLst>
              </xdr:cNvPr>
              <xdr:cNvSpPr txBox="1">
                <a:spLocks noChangeArrowheads="1"/>
              </xdr:cNvSpPr>
            </xdr:nvSpPr>
            <xdr:spPr bwMode="auto">
              <a:xfrm>
                <a:off x="564" y="302"/>
                <a:ext cx="340" cy="15"/>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Sections AB and CD are normal to, and parallel to, the local ridge line.</a:t>
                </a:r>
              </a:p>
            </xdr:txBody>
          </xdr:sp>
          <xdr:sp macro="" textlink="">
            <xdr:nvSpPr>
              <xdr:cNvPr id="4632" name="Text Box 536">
                <a:extLst>
                  <a:ext uri="{FF2B5EF4-FFF2-40B4-BE49-F238E27FC236}">
                    <a16:creationId xmlns:a16="http://schemas.microsoft.com/office/drawing/2014/main" id="{00000000-0008-0000-0200-000018120000}"/>
                  </a:ext>
                </a:extLst>
              </xdr:cNvPr>
              <xdr:cNvSpPr txBox="1">
                <a:spLocks noChangeArrowheads="1"/>
              </xdr:cNvSpPr>
            </xdr:nvSpPr>
            <xdr:spPr bwMode="auto">
              <a:xfrm>
                <a:off x="1010" y="258"/>
                <a:ext cx="15"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4633" name="Text Box 537">
                <a:extLst>
                  <a:ext uri="{FF2B5EF4-FFF2-40B4-BE49-F238E27FC236}">
                    <a16:creationId xmlns:a16="http://schemas.microsoft.com/office/drawing/2014/main" id="{00000000-0008-0000-0200-000019120000}"/>
                  </a:ext>
                </a:extLst>
              </xdr:cNvPr>
              <xdr:cNvSpPr txBox="1">
                <a:spLocks noChangeArrowheads="1"/>
              </xdr:cNvSpPr>
            </xdr:nvSpPr>
            <xdr:spPr bwMode="auto">
              <a:xfrm>
                <a:off x="991" y="302"/>
                <a:ext cx="294" cy="1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Axes 0</a:t>
                </a:r>
                <a:r>
                  <a:rPr lang="en-US" sz="800" b="0" i="1" strike="noStrike">
                    <a:solidFill>
                      <a:srgbClr val="000000"/>
                    </a:solidFill>
                    <a:latin typeface="Arial"/>
                    <a:cs typeface="Arial"/>
                  </a:rPr>
                  <a:t>x</a:t>
                </a:r>
                <a:r>
                  <a:rPr lang="en-US" sz="800" b="0" i="0" strike="noStrike">
                    <a:solidFill>
                      <a:srgbClr val="000000"/>
                    </a:solidFill>
                    <a:latin typeface="Arial"/>
                    <a:cs typeface="Arial"/>
                  </a:rPr>
                  <a:t> and 0</a:t>
                </a:r>
                <a:r>
                  <a:rPr lang="en-US" sz="800" b="0" i="1" strike="noStrike">
                    <a:solidFill>
                      <a:srgbClr val="000000"/>
                    </a:solidFill>
                    <a:latin typeface="Arial"/>
                    <a:cs typeface="Arial"/>
                  </a:rPr>
                  <a:t>y</a:t>
                </a:r>
                <a:r>
                  <a:rPr lang="en-US" sz="800" b="0" i="0" strike="noStrike">
                    <a:solidFill>
                      <a:srgbClr val="000000"/>
                    </a:solidFill>
                    <a:latin typeface="Arial"/>
                    <a:cs typeface="Arial"/>
                  </a:rPr>
                  <a:t> are parallel to CD and AB respectively.</a:t>
                </a:r>
              </a:p>
            </xdr:txBody>
          </xdr:sp>
          <xdr:grpSp>
            <xdr:nvGrpSpPr>
              <xdr:cNvPr id="2705624" name="Group 538">
                <a:extLst>
                  <a:ext uri="{FF2B5EF4-FFF2-40B4-BE49-F238E27FC236}">
                    <a16:creationId xmlns:a16="http://schemas.microsoft.com/office/drawing/2014/main" id="{00000000-0008-0000-0200-0000D8482900}"/>
                  </a:ext>
                </a:extLst>
              </xdr:cNvPr>
              <xdr:cNvGrpSpPr>
                <a:grpSpLocks/>
              </xdr:cNvGrpSpPr>
            </xdr:nvGrpSpPr>
            <xdr:grpSpPr bwMode="auto">
              <a:xfrm>
                <a:off x="777" y="162"/>
                <a:ext cx="126" cy="64"/>
                <a:chOff x="711" y="166"/>
                <a:chExt cx="126" cy="63"/>
              </a:xfrm>
            </xdr:grpSpPr>
            <xdr:sp macro="" textlink="">
              <xdr:nvSpPr>
                <xdr:cNvPr id="2705629" name="AutoShape 539">
                  <a:extLst>
                    <a:ext uri="{FF2B5EF4-FFF2-40B4-BE49-F238E27FC236}">
                      <a16:creationId xmlns:a16="http://schemas.microsoft.com/office/drawing/2014/main" id="{00000000-0008-0000-0200-0000DD482900}"/>
                    </a:ext>
                  </a:extLst>
                </xdr:cNvPr>
                <xdr:cNvSpPr>
                  <a:spLocks noChangeArrowheads="1"/>
                </xdr:cNvSpPr>
              </xdr:nvSpPr>
              <xdr:spPr bwMode="auto">
                <a:xfrm>
                  <a:off x="711" y="218"/>
                  <a:ext cx="8" cy="8"/>
                </a:xfrm>
                <a:prstGeom prst="diamond">
                  <a:avLst/>
                </a:prstGeom>
                <a:solidFill>
                  <a:srgbClr val="000000"/>
                </a:solidFill>
                <a:ln w="9525">
                  <a:solidFill>
                    <a:srgbClr val="000000"/>
                  </a:solidFill>
                  <a:miter lim="800000"/>
                  <a:headEnd/>
                  <a:tailEnd/>
                </a:ln>
              </xdr:spPr>
            </xdr:sp>
            <xdr:sp macro="" textlink="">
              <xdr:nvSpPr>
                <xdr:cNvPr id="2705630" name="AutoShape 540">
                  <a:extLst>
                    <a:ext uri="{FF2B5EF4-FFF2-40B4-BE49-F238E27FC236}">
                      <a16:creationId xmlns:a16="http://schemas.microsoft.com/office/drawing/2014/main" id="{00000000-0008-0000-0200-0000DE482900}"/>
                    </a:ext>
                  </a:extLst>
                </xdr:cNvPr>
                <xdr:cNvSpPr>
                  <a:spLocks noChangeArrowheads="1"/>
                </xdr:cNvSpPr>
              </xdr:nvSpPr>
              <xdr:spPr bwMode="auto">
                <a:xfrm>
                  <a:off x="814" y="176"/>
                  <a:ext cx="9" cy="10"/>
                </a:xfrm>
                <a:prstGeom prst="triangle">
                  <a:avLst>
                    <a:gd name="adj" fmla="val 50000"/>
                  </a:avLst>
                </a:prstGeom>
                <a:solidFill>
                  <a:srgbClr val="000000"/>
                </a:solidFill>
                <a:ln w="9525">
                  <a:solidFill>
                    <a:srgbClr val="000000"/>
                  </a:solidFill>
                  <a:miter lim="800000"/>
                  <a:headEnd/>
                  <a:tailEnd/>
                </a:ln>
              </xdr:spPr>
            </xdr:sp>
            <xdr:sp macro="" textlink="">
              <xdr:nvSpPr>
                <xdr:cNvPr id="4637" name="Text Box 541">
                  <a:extLst>
                    <a:ext uri="{FF2B5EF4-FFF2-40B4-BE49-F238E27FC236}">
                      <a16:creationId xmlns:a16="http://schemas.microsoft.com/office/drawing/2014/main" id="{00000000-0008-0000-0200-00001D120000}"/>
                    </a:ext>
                  </a:extLst>
                </xdr:cNvPr>
                <xdr:cNvSpPr txBox="1">
                  <a:spLocks noChangeArrowheads="1"/>
                </xdr:cNvSpPr>
              </xdr:nvSpPr>
              <xdr:spPr bwMode="auto">
                <a:xfrm>
                  <a:off x="823" y="166"/>
                  <a:ext cx="14" cy="17"/>
                </a:xfrm>
                <a:prstGeom prst="rect">
                  <a:avLst/>
                </a:prstGeom>
                <a:solidFill>
                  <a:srgbClr val="008080"/>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4638" name="Text Box 542">
                  <a:extLst>
                    <a:ext uri="{FF2B5EF4-FFF2-40B4-BE49-F238E27FC236}">
                      <a16:creationId xmlns:a16="http://schemas.microsoft.com/office/drawing/2014/main" id="{00000000-0008-0000-0200-00001E120000}"/>
                    </a:ext>
                  </a:extLst>
                </xdr:cNvPr>
                <xdr:cNvSpPr txBox="1">
                  <a:spLocks noChangeArrowheads="1"/>
                </xdr:cNvSpPr>
              </xdr:nvSpPr>
              <xdr:spPr bwMode="auto">
                <a:xfrm>
                  <a:off x="719" y="216"/>
                  <a:ext cx="25" cy="13"/>
                </a:xfrm>
                <a:prstGeom prst="rect">
                  <a:avLst/>
                </a:prstGeom>
                <a:solidFill>
                  <a:srgbClr val="008000"/>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Site</a:t>
                  </a:r>
                </a:p>
              </xdr:txBody>
            </xdr:sp>
            <xdr:sp macro="" textlink="">
              <xdr:nvSpPr>
                <xdr:cNvPr id="4639" name="Text Box 543">
                  <a:extLst>
                    <a:ext uri="{FF2B5EF4-FFF2-40B4-BE49-F238E27FC236}">
                      <a16:creationId xmlns:a16="http://schemas.microsoft.com/office/drawing/2014/main" id="{00000000-0008-0000-0200-00001F120000}"/>
                    </a:ext>
                  </a:extLst>
                </xdr:cNvPr>
                <xdr:cNvSpPr txBox="1">
                  <a:spLocks noChangeArrowheads="1"/>
                </xdr:cNvSpPr>
              </xdr:nvSpPr>
              <xdr:spPr bwMode="auto">
                <a:xfrm>
                  <a:off x="775" y="174"/>
                  <a:ext cx="40" cy="15"/>
                </a:xfrm>
                <a:prstGeom prst="rect">
                  <a:avLst/>
                </a:prstGeom>
                <a:solidFill>
                  <a:srgbClr val="008080"/>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Summit</a:t>
                  </a:r>
                </a:p>
              </xdr:txBody>
            </xdr:sp>
          </xdr:grpSp>
          <xdr:sp macro="" textlink="">
            <xdr:nvSpPr>
              <xdr:cNvPr id="2705625" name="Line 544">
                <a:extLst>
                  <a:ext uri="{FF2B5EF4-FFF2-40B4-BE49-F238E27FC236}">
                    <a16:creationId xmlns:a16="http://schemas.microsoft.com/office/drawing/2014/main" id="{00000000-0008-0000-0200-0000D9482900}"/>
                  </a:ext>
                </a:extLst>
              </xdr:cNvPr>
              <xdr:cNvSpPr>
                <a:spLocks noChangeShapeType="1"/>
              </xdr:cNvSpPr>
            </xdr:nvSpPr>
            <xdr:spPr bwMode="auto">
              <a:xfrm rot="451304" flipV="1">
                <a:off x="615" y="101"/>
                <a:ext cx="471" cy="172"/>
              </a:xfrm>
              <a:prstGeom prst="line">
                <a:avLst/>
              </a:prstGeom>
              <a:noFill/>
              <a:ln w="9525">
                <a:solidFill>
                  <a:srgbClr val="FF6600"/>
                </a:solidFill>
                <a:prstDash val="lgDashDot"/>
                <a:round/>
                <a:headEnd type="none" w="sm" len="med"/>
                <a:tailEnd type="stealth" w="sm" len="med"/>
              </a:ln>
            </xdr:spPr>
          </xdr:sp>
          <xdr:sp macro="" textlink="">
            <xdr:nvSpPr>
              <xdr:cNvPr id="2705626" name="Line 545">
                <a:extLst>
                  <a:ext uri="{FF2B5EF4-FFF2-40B4-BE49-F238E27FC236}">
                    <a16:creationId xmlns:a16="http://schemas.microsoft.com/office/drawing/2014/main" id="{00000000-0008-0000-0200-0000DA482900}"/>
                  </a:ext>
                </a:extLst>
              </xdr:cNvPr>
              <xdr:cNvSpPr>
                <a:spLocks noChangeShapeType="1"/>
              </xdr:cNvSpPr>
            </xdr:nvSpPr>
            <xdr:spPr bwMode="auto">
              <a:xfrm>
                <a:off x="755" y="98"/>
                <a:ext cx="42" cy="205"/>
              </a:xfrm>
              <a:prstGeom prst="line">
                <a:avLst/>
              </a:prstGeom>
              <a:noFill/>
              <a:ln w="9525">
                <a:solidFill>
                  <a:srgbClr val="000000"/>
                </a:solidFill>
                <a:prstDash val="lgDashDot"/>
                <a:round/>
                <a:headEnd/>
                <a:tailEnd/>
              </a:ln>
            </xdr:spPr>
          </xdr:sp>
          <xdr:sp macro="" textlink="">
            <xdr:nvSpPr>
              <xdr:cNvPr id="2705627" name="Line 546">
                <a:extLst>
                  <a:ext uri="{FF2B5EF4-FFF2-40B4-BE49-F238E27FC236}">
                    <a16:creationId xmlns:a16="http://schemas.microsoft.com/office/drawing/2014/main" id="{00000000-0008-0000-0200-0000DB482900}"/>
                  </a:ext>
                </a:extLst>
              </xdr:cNvPr>
              <xdr:cNvSpPr>
                <a:spLocks noChangeShapeType="1"/>
              </xdr:cNvSpPr>
            </xdr:nvSpPr>
            <xdr:spPr bwMode="auto">
              <a:xfrm rot="451304" flipV="1">
                <a:off x="610" y="113"/>
                <a:ext cx="491" cy="178"/>
              </a:xfrm>
              <a:prstGeom prst="line">
                <a:avLst/>
              </a:prstGeom>
              <a:noFill/>
              <a:ln w="9525">
                <a:solidFill>
                  <a:srgbClr val="000000"/>
                </a:solidFill>
                <a:prstDash val="lgDashDot"/>
                <a:round/>
                <a:headEnd/>
                <a:tailEnd/>
              </a:ln>
            </xdr:spPr>
          </xdr:sp>
          <xdr:sp macro="" textlink="">
            <xdr:nvSpPr>
              <xdr:cNvPr id="4643" name="Text 243">
                <a:extLst>
                  <a:ext uri="{FF2B5EF4-FFF2-40B4-BE49-F238E27FC236}">
                    <a16:creationId xmlns:a16="http://schemas.microsoft.com/office/drawing/2014/main" id="{00000000-0008-0000-0200-000023120000}"/>
                  </a:ext>
                </a:extLst>
              </xdr:cNvPr>
              <xdr:cNvSpPr txBox="1">
                <a:spLocks noChangeArrowheads="1"/>
              </xdr:cNvSpPr>
            </xdr:nvSpPr>
            <xdr:spPr bwMode="auto">
              <a:xfrm>
                <a:off x="1103" y="138"/>
                <a:ext cx="14" cy="18"/>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0" strike="noStrike">
                    <a:solidFill>
                      <a:srgbClr val="FF0000"/>
                    </a:solidFill>
                    <a:latin typeface="Arial"/>
                    <a:cs typeface="Arial"/>
                  </a:rPr>
                  <a:t>D</a:t>
                </a:r>
              </a:p>
            </xdr:txBody>
          </xdr:sp>
        </xdr:grpSp>
        <xdr:sp macro="" textlink="">
          <xdr:nvSpPr>
            <xdr:cNvPr id="4644" name="Text Box 548">
              <a:extLst>
                <a:ext uri="{FF2B5EF4-FFF2-40B4-BE49-F238E27FC236}">
                  <a16:creationId xmlns:a16="http://schemas.microsoft.com/office/drawing/2014/main" id="{00000000-0008-0000-0200-000024120000}"/>
                </a:ext>
              </a:extLst>
            </xdr:cNvPr>
            <xdr:cNvSpPr txBox="1">
              <a:spLocks noChangeArrowheads="1"/>
            </xdr:cNvSpPr>
          </xdr:nvSpPr>
          <xdr:spPr bwMode="auto">
            <a:xfrm>
              <a:off x="844" y="59"/>
              <a:ext cx="15" cy="19"/>
            </a:xfrm>
            <a:prstGeom prst="rect">
              <a:avLst/>
            </a:prstGeom>
            <a:solidFill>
              <a:srgbClr val="CCFFCC"/>
            </a:solidFill>
            <a:ln w="9525">
              <a:no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p>
          </xdr:txBody>
        </xdr:sp>
        <xdr:sp macro="" textlink="">
          <xdr:nvSpPr>
            <xdr:cNvPr id="2705609" name="Line 549">
              <a:extLst>
                <a:ext uri="{FF2B5EF4-FFF2-40B4-BE49-F238E27FC236}">
                  <a16:creationId xmlns:a16="http://schemas.microsoft.com/office/drawing/2014/main" id="{00000000-0008-0000-0200-0000C9482900}"/>
                </a:ext>
              </a:extLst>
            </xdr:cNvPr>
            <xdr:cNvSpPr>
              <a:spLocks noChangeShapeType="1"/>
            </xdr:cNvSpPr>
          </xdr:nvSpPr>
          <xdr:spPr bwMode="auto">
            <a:xfrm>
              <a:off x="859" y="65"/>
              <a:ext cx="41" cy="185"/>
            </a:xfrm>
            <a:prstGeom prst="line">
              <a:avLst/>
            </a:prstGeom>
            <a:noFill/>
            <a:ln w="6350">
              <a:solidFill>
                <a:srgbClr val="FF0000"/>
              </a:solidFill>
              <a:prstDash val="lgDashDot"/>
              <a:round/>
              <a:headEnd type="stealth" w="sm" len="med"/>
              <a:tailEnd/>
            </a:ln>
          </xdr:spPr>
        </xdr:sp>
        <xdr:grpSp>
          <xdr:nvGrpSpPr>
            <xdr:cNvPr id="2705610" name="Group 550">
              <a:extLst>
                <a:ext uri="{FF2B5EF4-FFF2-40B4-BE49-F238E27FC236}">
                  <a16:creationId xmlns:a16="http://schemas.microsoft.com/office/drawing/2014/main" id="{00000000-0008-0000-0200-0000CA482900}"/>
                </a:ext>
              </a:extLst>
            </xdr:cNvPr>
            <xdr:cNvGrpSpPr>
              <a:grpSpLocks/>
            </xdr:cNvGrpSpPr>
          </xdr:nvGrpSpPr>
          <xdr:grpSpPr bwMode="auto">
            <a:xfrm>
              <a:off x="621" y="83"/>
              <a:ext cx="118" cy="79"/>
              <a:chOff x="555" y="87"/>
              <a:chExt cx="118" cy="79"/>
            </a:xfrm>
          </xdr:grpSpPr>
          <xdr:sp macro="" textlink="">
            <xdr:nvSpPr>
              <xdr:cNvPr id="4647" name="Text Box 551">
                <a:extLst>
                  <a:ext uri="{FF2B5EF4-FFF2-40B4-BE49-F238E27FC236}">
                    <a16:creationId xmlns:a16="http://schemas.microsoft.com/office/drawing/2014/main" id="{00000000-0008-0000-0200-000027120000}"/>
                  </a:ext>
                </a:extLst>
              </xdr:cNvPr>
              <xdr:cNvSpPr txBox="1">
                <a:spLocks noChangeArrowheads="1"/>
              </xdr:cNvSpPr>
            </xdr:nvSpPr>
            <xdr:spPr bwMode="auto">
              <a:xfrm>
                <a:off x="555" y="87"/>
                <a:ext cx="74" cy="17"/>
              </a:xfrm>
              <a:prstGeom prst="rect">
                <a:avLst/>
              </a:prstGeom>
              <a:solidFill>
                <a:srgbClr val="CCFFCC"/>
              </a:solidFill>
              <a:ln w="9525">
                <a:solidFill>
                  <a:srgbClr val="CC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H</a:t>
                </a:r>
                <a:r>
                  <a:rPr lang="en-US" sz="1000" b="0" i="0" strike="noStrike">
                    <a:solidFill>
                      <a:srgbClr val="000000"/>
                    </a:solidFill>
                    <a:latin typeface="Arial"/>
                    <a:cs typeface="Arial"/>
                  </a:rPr>
                  <a:t>/2 contour</a:t>
                </a:r>
              </a:p>
            </xdr:txBody>
          </xdr:sp>
          <xdr:sp macro="" textlink="">
            <xdr:nvSpPr>
              <xdr:cNvPr id="2705612" name="Line 552">
                <a:extLst>
                  <a:ext uri="{FF2B5EF4-FFF2-40B4-BE49-F238E27FC236}">
                    <a16:creationId xmlns:a16="http://schemas.microsoft.com/office/drawing/2014/main" id="{00000000-0008-0000-0200-0000CC482900}"/>
                  </a:ext>
                </a:extLst>
              </xdr:cNvPr>
              <xdr:cNvSpPr>
                <a:spLocks noChangeShapeType="1"/>
              </xdr:cNvSpPr>
            </xdr:nvSpPr>
            <xdr:spPr bwMode="auto">
              <a:xfrm>
                <a:off x="623" y="105"/>
                <a:ext cx="50" cy="61"/>
              </a:xfrm>
              <a:prstGeom prst="line">
                <a:avLst/>
              </a:prstGeom>
              <a:noFill/>
              <a:ln w="9525">
                <a:solidFill>
                  <a:srgbClr val="000000"/>
                </a:solidFill>
                <a:round/>
                <a:headEnd/>
                <a:tailEnd type="stealth" w="sm" len="med"/>
              </a:ln>
            </xdr:spPr>
          </xdr:sp>
        </xdr:grpSp>
      </xdr:grpSp>
      <xdr:sp macro="" textlink="">
        <xdr:nvSpPr>
          <xdr:cNvPr id="4693" name="Text Box 597">
            <a:extLst>
              <a:ext uri="{FF2B5EF4-FFF2-40B4-BE49-F238E27FC236}">
                <a16:creationId xmlns:a16="http://schemas.microsoft.com/office/drawing/2014/main" id="{00000000-0008-0000-0200-000055120000}"/>
              </a:ext>
            </a:extLst>
          </xdr:cNvPr>
          <xdr:cNvSpPr txBox="1">
            <a:spLocks noChangeArrowheads="1"/>
          </xdr:cNvSpPr>
        </xdr:nvSpPr>
        <xdr:spPr bwMode="auto">
          <a:xfrm>
            <a:off x="1088" y="126"/>
            <a:ext cx="10" cy="19"/>
          </a:xfrm>
          <a:prstGeom prst="rect">
            <a:avLst/>
          </a:prstGeom>
          <a:noFill/>
          <a:ln w="9525">
            <a:noFill/>
            <a:miter lim="800000"/>
            <a:headEnd/>
            <a:tailEnd/>
          </a:ln>
          <a:effectLst>
            <a:outerShdw dist="35921" dir="2700000" algn="ctr" rotWithShape="0">
              <a:srgbClr val="000000"/>
            </a:outerShdw>
          </a:effectLst>
        </xdr:spPr>
        <xdr:txBody>
          <a:bodyPr wrap="none" lIns="18288" tIns="22860" rIns="0" bIns="0" anchor="t" upright="1">
            <a:spAutoFit/>
          </a:bodyPr>
          <a:lstStyle/>
          <a:p>
            <a:pPr algn="l" rtl="0">
              <a:defRPr sz="1000"/>
            </a:pPr>
            <a:r>
              <a:rPr lang="en-US" sz="1000" b="0" i="1" strike="noStrike">
                <a:solidFill>
                  <a:srgbClr val="000000"/>
                </a:solidFill>
                <a:latin typeface="Arial"/>
                <a:cs typeface="Arial"/>
              </a:rPr>
              <a:t>x</a:t>
            </a:r>
          </a:p>
        </xdr:txBody>
      </xdr:sp>
    </xdr:grpSp>
    <xdr:clientData/>
  </xdr:twoCellAnchor>
  <xdr:twoCellAnchor>
    <xdr:from>
      <xdr:col>0</xdr:col>
      <xdr:colOff>485775</xdr:colOff>
      <xdr:row>9</xdr:row>
      <xdr:rowOff>76200</xdr:rowOff>
    </xdr:from>
    <xdr:to>
      <xdr:col>6</xdr:col>
      <xdr:colOff>209550</xdr:colOff>
      <xdr:row>18</xdr:row>
      <xdr:rowOff>142875</xdr:rowOff>
    </xdr:to>
    <xdr:grpSp>
      <xdr:nvGrpSpPr>
        <xdr:cNvPr id="2705584" name="Group 599">
          <a:extLst>
            <a:ext uri="{FF2B5EF4-FFF2-40B4-BE49-F238E27FC236}">
              <a16:creationId xmlns:a16="http://schemas.microsoft.com/office/drawing/2014/main" id="{00000000-0008-0000-0200-0000B0482900}"/>
            </a:ext>
          </a:extLst>
        </xdr:cNvPr>
        <xdr:cNvGrpSpPr>
          <a:grpSpLocks/>
        </xdr:cNvGrpSpPr>
      </xdr:nvGrpSpPr>
      <xdr:grpSpPr bwMode="auto">
        <a:xfrm>
          <a:off x="485775" y="1552575"/>
          <a:ext cx="4876800" cy="1524000"/>
          <a:chOff x="52" y="158"/>
          <a:chExt cx="483" cy="160"/>
        </a:xfrm>
      </xdr:grpSpPr>
      <xdr:sp macro="" textlink="">
        <xdr:nvSpPr>
          <xdr:cNvPr id="2705585" name="Rectangle 600">
            <a:extLst>
              <a:ext uri="{FF2B5EF4-FFF2-40B4-BE49-F238E27FC236}">
                <a16:creationId xmlns:a16="http://schemas.microsoft.com/office/drawing/2014/main" id="{00000000-0008-0000-0200-0000B1482900}"/>
              </a:ext>
            </a:extLst>
          </xdr:cNvPr>
          <xdr:cNvSpPr>
            <a:spLocks noChangeArrowheads="1"/>
          </xdr:cNvSpPr>
        </xdr:nvSpPr>
        <xdr:spPr bwMode="auto">
          <a:xfrm>
            <a:off x="52" y="158"/>
            <a:ext cx="483" cy="160"/>
          </a:xfrm>
          <a:prstGeom prst="rect">
            <a:avLst/>
          </a:prstGeom>
          <a:noFill/>
          <a:ln w="9525">
            <a:solidFill>
              <a:srgbClr val="000000"/>
            </a:solidFill>
            <a:miter lim="800000"/>
            <a:headEnd/>
            <a:tailEnd/>
          </a:ln>
        </xdr:spPr>
      </xdr:sp>
      <xdr:grpSp>
        <xdr:nvGrpSpPr>
          <xdr:cNvPr id="2705586" name="Group 601">
            <a:extLst>
              <a:ext uri="{FF2B5EF4-FFF2-40B4-BE49-F238E27FC236}">
                <a16:creationId xmlns:a16="http://schemas.microsoft.com/office/drawing/2014/main" id="{00000000-0008-0000-0200-0000B2482900}"/>
              </a:ext>
            </a:extLst>
          </xdr:cNvPr>
          <xdr:cNvGrpSpPr>
            <a:grpSpLocks/>
          </xdr:cNvGrpSpPr>
        </xdr:nvGrpSpPr>
        <xdr:grpSpPr bwMode="auto">
          <a:xfrm>
            <a:off x="56" y="164"/>
            <a:ext cx="477" cy="139"/>
            <a:chOff x="56" y="164"/>
            <a:chExt cx="477" cy="139"/>
          </a:xfrm>
        </xdr:grpSpPr>
        <xdr:sp macro="" textlink="">
          <xdr:nvSpPr>
            <xdr:cNvPr id="2705587" name="Line 602">
              <a:extLst>
                <a:ext uri="{FF2B5EF4-FFF2-40B4-BE49-F238E27FC236}">
                  <a16:creationId xmlns:a16="http://schemas.microsoft.com/office/drawing/2014/main" id="{00000000-0008-0000-0200-0000B3482900}"/>
                </a:ext>
              </a:extLst>
            </xdr:cNvPr>
            <xdr:cNvSpPr>
              <a:spLocks noChangeShapeType="1"/>
            </xdr:cNvSpPr>
          </xdr:nvSpPr>
          <xdr:spPr bwMode="auto">
            <a:xfrm flipH="1">
              <a:off x="56" y="274"/>
              <a:ext cx="200" cy="0"/>
            </a:xfrm>
            <a:prstGeom prst="line">
              <a:avLst/>
            </a:prstGeom>
            <a:noFill/>
            <a:ln w="9525">
              <a:solidFill>
                <a:srgbClr val="000000"/>
              </a:solidFill>
              <a:round/>
              <a:headEnd/>
              <a:tailEnd type="none" w="sm" len="med"/>
            </a:ln>
          </xdr:spPr>
        </xdr:sp>
        <xdr:grpSp>
          <xdr:nvGrpSpPr>
            <xdr:cNvPr id="2705588" name="Group 603">
              <a:extLst>
                <a:ext uri="{FF2B5EF4-FFF2-40B4-BE49-F238E27FC236}">
                  <a16:creationId xmlns:a16="http://schemas.microsoft.com/office/drawing/2014/main" id="{00000000-0008-0000-0200-0000B4482900}"/>
                </a:ext>
              </a:extLst>
            </xdr:cNvPr>
            <xdr:cNvGrpSpPr>
              <a:grpSpLocks/>
            </xdr:cNvGrpSpPr>
          </xdr:nvGrpSpPr>
          <xdr:grpSpPr bwMode="auto">
            <a:xfrm>
              <a:off x="58" y="164"/>
              <a:ext cx="475" cy="139"/>
              <a:chOff x="59" y="164"/>
              <a:chExt cx="475" cy="139"/>
            </a:xfrm>
          </xdr:grpSpPr>
          <xdr:sp macro="" textlink="">
            <xdr:nvSpPr>
              <xdr:cNvPr id="4700" name="Text 289">
                <a:extLst>
                  <a:ext uri="{FF2B5EF4-FFF2-40B4-BE49-F238E27FC236}">
                    <a16:creationId xmlns:a16="http://schemas.microsoft.com/office/drawing/2014/main" id="{00000000-0008-0000-0200-00005C120000}"/>
                  </a:ext>
                </a:extLst>
              </xdr:cNvPr>
              <xdr:cNvSpPr txBox="1">
                <a:spLocks noChangeArrowheads="1"/>
              </xdr:cNvSpPr>
            </xdr:nvSpPr>
            <xdr:spPr bwMode="auto">
              <a:xfrm>
                <a:off x="176" y="181"/>
                <a:ext cx="75" cy="23"/>
              </a:xfrm>
              <a:prstGeom prst="rect">
                <a:avLst/>
              </a:prstGeom>
              <a:solidFill>
                <a:srgbClr val="CCFFFF"/>
              </a:solidFill>
              <a:ln w="9525">
                <a:no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AB</a:t>
                </a:r>
                <a:r>
                  <a:rPr lang="en-US" sz="1000" b="0" i="0" strike="noStrike">
                    <a:solidFill>
                      <a:srgbClr val="000000"/>
                    </a:solidFill>
                    <a:latin typeface="Arial"/>
                    <a:cs typeface="Arial"/>
                  </a:rPr>
                  <a:t> or </a:t>
                </a: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CD</a:t>
                </a:r>
                <a:r>
                  <a:rPr lang="en-US" sz="1000" b="0" i="0" strike="noStrike">
                    <a:solidFill>
                      <a:srgbClr val="000000"/>
                    </a:solidFill>
                    <a:latin typeface="Arial"/>
                    <a:cs typeface="Arial"/>
                  </a:rPr>
                  <a:t> </a:t>
                </a:r>
              </a:p>
            </xdr:txBody>
          </xdr:sp>
          <xdr:sp macro="" textlink="">
            <xdr:nvSpPr>
              <xdr:cNvPr id="4701" name="Text Box 605">
                <a:extLst>
                  <a:ext uri="{FF2B5EF4-FFF2-40B4-BE49-F238E27FC236}">
                    <a16:creationId xmlns:a16="http://schemas.microsoft.com/office/drawing/2014/main" id="{00000000-0008-0000-0200-00005D120000}"/>
                  </a:ext>
                </a:extLst>
              </xdr:cNvPr>
              <xdr:cNvSpPr txBox="1">
                <a:spLocks noChangeArrowheads="1"/>
              </xdr:cNvSpPr>
            </xdr:nvSpPr>
            <xdr:spPr bwMode="auto">
              <a:xfrm>
                <a:off x="59" y="276"/>
                <a:ext cx="20" cy="19"/>
              </a:xfrm>
              <a:prstGeom prst="rect">
                <a:avLst/>
              </a:prstGeom>
              <a:solidFill>
                <a:srgbClr val="CCFFFF"/>
              </a:solidFill>
              <a:ln w="9525">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a:t>
                </a:r>
              </a:p>
            </xdr:txBody>
          </xdr:sp>
          <xdr:sp macro="" textlink="">
            <xdr:nvSpPr>
              <xdr:cNvPr id="4702" name="Text 293">
                <a:extLst>
                  <a:ext uri="{FF2B5EF4-FFF2-40B4-BE49-F238E27FC236}">
                    <a16:creationId xmlns:a16="http://schemas.microsoft.com/office/drawing/2014/main" id="{00000000-0008-0000-0200-00005E120000}"/>
                  </a:ext>
                </a:extLst>
              </xdr:cNvPr>
              <xdr:cNvSpPr txBox="1">
                <a:spLocks noChangeArrowheads="1"/>
              </xdr:cNvSpPr>
            </xdr:nvSpPr>
            <xdr:spPr bwMode="auto">
              <a:xfrm>
                <a:off x="420" y="276"/>
                <a:ext cx="23" cy="18"/>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 </a:t>
                </a:r>
              </a:p>
            </xdr:txBody>
          </xdr:sp>
          <xdr:sp macro="" textlink="">
            <xdr:nvSpPr>
              <xdr:cNvPr id="4703" name="Text 292">
                <a:extLst>
                  <a:ext uri="{FF2B5EF4-FFF2-40B4-BE49-F238E27FC236}">
                    <a16:creationId xmlns:a16="http://schemas.microsoft.com/office/drawing/2014/main" id="{00000000-0008-0000-0200-00005F120000}"/>
                  </a:ext>
                </a:extLst>
              </xdr:cNvPr>
              <xdr:cNvSpPr txBox="1">
                <a:spLocks noChangeArrowheads="1"/>
              </xdr:cNvSpPr>
            </xdr:nvSpPr>
            <xdr:spPr bwMode="auto">
              <a:xfrm>
                <a:off x="95" y="277"/>
                <a:ext cx="25" cy="17"/>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 </a:t>
                </a:r>
              </a:p>
            </xdr:txBody>
          </xdr:sp>
          <xdr:sp macro="" textlink="">
            <xdr:nvSpPr>
              <xdr:cNvPr id="4704" name="Text Box 608">
                <a:extLst>
                  <a:ext uri="{FF2B5EF4-FFF2-40B4-BE49-F238E27FC236}">
                    <a16:creationId xmlns:a16="http://schemas.microsoft.com/office/drawing/2014/main" id="{00000000-0008-0000-0200-000060120000}"/>
                  </a:ext>
                </a:extLst>
              </xdr:cNvPr>
              <xdr:cNvSpPr txBox="1">
                <a:spLocks noChangeArrowheads="1"/>
              </xdr:cNvSpPr>
            </xdr:nvSpPr>
            <xdr:spPr bwMode="auto">
              <a:xfrm>
                <a:off x="515" y="276"/>
                <a:ext cx="19" cy="20"/>
              </a:xfrm>
              <a:prstGeom prst="rect">
                <a:avLst/>
              </a:prstGeom>
              <a:solidFill>
                <a:srgbClr val="CCFFFF"/>
              </a:solidFill>
              <a:ln w="9525">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a:t>
                </a:r>
              </a:p>
            </xdr:txBody>
          </xdr:sp>
          <xdr:sp macro="" textlink="">
            <xdr:nvSpPr>
              <xdr:cNvPr id="4705" name="Text 290">
                <a:extLst>
                  <a:ext uri="{FF2B5EF4-FFF2-40B4-BE49-F238E27FC236}">
                    <a16:creationId xmlns:a16="http://schemas.microsoft.com/office/drawing/2014/main" id="{00000000-0008-0000-0200-000061120000}"/>
                  </a:ext>
                </a:extLst>
              </xdr:cNvPr>
              <xdr:cNvSpPr txBox="1">
                <a:spLocks noChangeArrowheads="1"/>
              </xdr:cNvSpPr>
            </xdr:nvSpPr>
            <xdr:spPr bwMode="auto">
              <a:xfrm>
                <a:off x="322" y="283"/>
                <a:ext cx="66" cy="20"/>
              </a:xfrm>
              <a:prstGeom prst="rect">
                <a:avLst/>
              </a:prstGeom>
              <a:solidFill>
                <a:srgbClr val="CCFFFF"/>
              </a:solidFill>
              <a:ln w="9525">
                <a:solidFill>
                  <a:srgbClr val="CCFFFF"/>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r>
                  <a:rPr lang="en-US" sz="1000" b="0" i="0" strike="noStrike" baseline="-25000">
                    <a:solidFill>
                      <a:srgbClr val="000000"/>
                    </a:solidFill>
                    <a:latin typeface="Arial"/>
                    <a:cs typeface="Arial"/>
                  </a:rPr>
                  <a:t>AB </a:t>
                </a:r>
                <a:r>
                  <a:rPr lang="en-US" sz="1000" b="0" i="0" strike="noStrike">
                    <a:solidFill>
                      <a:srgbClr val="000000"/>
                    </a:solidFill>
                    <a:latin typeface="Arial"/>
                    <a:cs typeface="Arial"/>
                  </a:rPr>
                  <a:t>or </a:t>
                </a: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CD</a:t>
                </a:r>
                <a:r>
                  <a:rPr lang="en-US" sz="1000" b="0" i="0" strike="noStrike">
                    <a:solidFill>
                      <a:srgbClr val="000000"/>
                    </a:solidFill>
                    <a:latin typeface="Arial"/>
                    <a:cs typeface="Arial"/>
                  </a:rPr>
                  <a:t> </a:t>
                </a:r>
              </a:p>
            </xdr:txBody>
          </xdr:sp>
          <xdr:sp macro="" textlink="">
            <xdr:nvSpPr>
              <xdr:cNvPr id="2705598" name="Drawing 285">
                <a:extLst>
                  <a:ext uri="{FF2B5EF4-FFF2-40B4-BE49-F238E27FC236}">
                    <a16:creationId xmlns:a16="http://schemas.microsoft.com/office/drawing/2014/main" id="{00000000-0008-0000-0200-0000BE482900}"/>
                  </a:ext>
                </a:extLst>
              </xdr:cNvPr>
              <xdr:cNvSpPr>
                <a:spLocks/>
              </xdr:cNvSpPr>
            </xdr:nvSpPr>
            <xdr:spPr bwMode="auto">
              <a:xfrm>
                <a:off x="70" y="201"/>
                <a:ext cx="456" cy="72"/>
              </a:xfrm>
              <a:custGeom>
                <a:avLst/>
                <a:gdLst>
                  <a:gd name="T0" fmla="*/ 0 w 16384"/>
                  <a:gd name="T1" fmla="*/ 0 h 16384"/>
                  <a:gd name="T2" fmla="*/ 0 w 16384"/>
                  <a:gd name="T3" fmla="*/ 0 h 16384"/>
                  <a:gd name="T4" fmla="*/ 0 w 16384"/>
                  <a:gd name="T5" fmla="*/ 0 h 16384"/>
                  <a:gd name="T6" fmla="*/ 0 w 16384"/>
                  <a:gd name="T7" fmla="*/ 0 h 16384"/>
                  <a:gd name="T8" fmla="*/ 0 w 16384"/>
                  <a:gd name="T9" fmla="*/ 0 h 16384"/>
                  <a:gd name="T10" fmla="*/ 0 w 16384"/>
                  <a:gd name="T11" fmla="*/ 0 h 16384"/>
                  <a:gd name="T12" fmla="*/ 0 w 16384"/>
                  <a:gd name="T13" fmla="*/ 0 h 16384"/>
                  <a:gd name="T14" fmla="*/ 0 w 16384"/>
                  <a:gd name="T15" fmla="*/ 0 h 16384"/>
                  <a:gd name="T16" fmla="*/ 0 w 16384"/>
                  <a:gd name="T17" fmla="*/ 0 h 16384"/>
                  <a:gd name="T18" fmla="*/ 0 w 16384"/>
                  <a:gd name="T19" fmla="*/ 0 h 16384"/>
                  <a:gd name="T20" fmla="*/ 0 w 16384"/>
                  <a:gd name="T21" fmla="*/ 0 h 16384"/>
                  <a:gd name="T22" fmla="*/ 0 w 16384"/>
                  <a:gd name="T23" fmla="*/ 0 h 16384"/>
                  <a:gd name="T24" fmla="*/ 0 w 16384"/>
                  <a:gd name="T25" fmla="*/ 0 h 16384"/>
                  <a:gd name="T26" fmla="*/ 0 w 16384"/>
                  <a:gd name="T27" fmla="*/ 0 h 16384"/>
                  <a:gd name="T28" fmla="*/ 0 w 16384"/>
                  <a:gd name="T29" fmla="*/ 0 h 16384"/>
                  <a:gd name="T30" fmla="*/ 0 w 16384"/>
                  <a:gd name="T31" fmla="*/ 0 h 16384"/>
                  <a:gd name="T32" fmla="*/ 0 w 16384"/>
                  <a:gd name="T33" fmla="*/ 0 h 16384"/>
                  <a:gd name="T34" fmla="*/ 0 w 16384"/>
                  <a:gd name="T35" fmla="*/ 0 h 16384"/>
                  <a:gd name="T36" fmla="*/ 0 w 16384"/>
                  <a:gd name="T37" fmla="*/ 0 h 16384"/>
                  <a:gd name="T38" fmla="*/ 0 w 16384"/>
                  <a:gd name="T39" fmla="*/ 0 h 16384"/>
                  <a:gd name="T40" fmla="*/ 0 w 16384"/>
                  <a:gd name="T41" fmla="*/ 0 h 16384"/>
                  <a:gd name="T42" fmla="*/ 0 w 16384"/>
                  <a:gd name="T43" fmla="*/ 0 h 16384"/>
                  <a:gd name="T44" fmla="*/ 0 w 16384"/>
                  <a:gd name="T45" fmla="*/ 0 h 16384"/>
                  <a:gd name="T46" fmla="*/ 0 w 16384"/>
                  <a:gd name="T47" fmla="*/ 0 h 16384"/>
                  <a:gd name="T48" fmla="*/ 0 w 16384"/>
                  <a:gd name="T49" fmla="*/ 0 h 16384"/>
                  <a:gd name="T50" fmla="*/ 0 w 16384"/>
                  <a:gd name="T51" fmla="*/ 0 h 16384"/>
                  <a:gd name="T52" fmla="*/ 0 w 16384"/>
                  <a:gd name="T53" fmla="*/ 0 h 16384"/>
                  <a:gd name="T54" fmla="*/ 0 w 16384"/>
                  <a:gd name="T55" fmla="*/ 0 h 16384"/>
                  <a:gd name="T56" fmla="*/ 0 w 16384"/>
                  <a:gd name="T57" fmla="*/ 0 h 16384"/>
                  <a:gd name="T58" fmla="*/ 0 w 16384"/>
                  <a:gd name="T59" fmla="*/ 0 h 16384"/>
                  <a:gd name="T60" fmla="*/ 0 w 16384"/>
                  <a:gd name="T61" fmla="*/ 0 h 16384"/>
                  <a:gd name="T62" fmla="*/ 0 w 16384"/>
                  <a:gd name="T63" fmla="*/ 0 h 16384"/>
                  <a:gd name="T64" fmla="*/ 0 w 16384"/>
                  <a:gd name="T65" fmla="*/ 0 h 16384"/>
                  <a:gd name="T66" fmla="*/ 0 w 16384"/>
                  <a:gd name="T67" fmla="*/ 0 h 16384"/>
                  <a:gd name="T68" fmla="*/ 0 w 16384"/>
                  <a:gd name="T69" fmla="*/ 0 h 16384"/>
                  <a:gd name="T70" fmla="*/ 0 w 16384"/>
                  <a:gd name="T71" fmla="*/ 0 h 16384"/>
                  <a:gd name="T72" fmla="*/ 0 w 16384"/>
                  <a:gd name="T73" fmla="*/ 0 h 16384"/>
                  <a:gd name="T74" fmla="*/ 0 w 16384"/>
                  <a:gd name="T75" fmla="*/ 0 h 16384"/>
                  <a:gd name="T76" fmla="*/ 0 w 16384"/>
                  <a:gd name="T77" fmla="*/ 0 h 16384"/>
                  <a:gd name="T78" fmla="*/ 0 w 16384"/>
                  <a:gd name="T79" fmla="*/ 0 h 16384"/>
                  <a:gd name="T80" fmla="*/ 0 w 16384"/>
                  <a:gd name="T81" fmla="*/ 0 h 16384"/>
                  <a:gd name="T82" fmla="*/ 0 w 16384"/>
                  <a:gd name="T83" fmla="*/ 0 h 16384"/>
                  <a:gd name="T84" fmla="*/ 0 w 16384"/>
                  <a:gd name="T85" fmla="*/ 0 h 1638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6384"/>
                  <a:gd name="T130" fmla="*/ 0 h 16384"/>
                  <a:gd name="T131" fmla="*/ 16384 w 16384"/>
                  <a:gd name="T132" fmla="*/ 16384 h 1638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6384" h="16384">
                    <a:moveTo>
                      <a:pt x="0" y="16384"/>
                    </a:moveTo>
                    <a:lnTo>
                      <a:pt x="339" y="16384"/>
                    </a:lnTo>
                    <a:lnTo>
                      <a:pt x="484" y="16384"/>
                    </a:lnTo>
                    <a:lnTo>
                      <a:pt x="630" y="16384"/>
                    </a:lnTo>
                    <a:lnTo>
                      <a:pt x="824" y="16156"/>
                    </a:lnTo>
                    <a:lnTo>
                      <a:pt x="1018" y="15929"/>
                    </a:lnTo>
                    <a:lnTo>
                      <a:pt x="1163" y="15701"/>
                    </a:lnTo>
                    <a:lnTo>
                      <a:pt x="1406" y="15473"/>
                    </a:lnTo>
                    <a:lnTo>
                      <a:pt x="1648" y="15018"/>
                    </a:lnTo>
                    <a:lnTo>
                      <a:pt x="1891" y="14563"/>
                    </a:lnTo>
                    <a:lnTo>
                      <a:pt x="2133" y="14109"/>
                    </a:lnTo>
                    <a:lnTo>
                      <a:pt x="2424" y="13425"/>
                    </a:lnTo>
                    <a:lnTo>
                      <a:pt x="2715" y="12971"/>
                    </a:lnTo>
                    <a:lnTo>
                      <a:pt x="3005" y="12060"/>
                    </a:lnTo>
                    <a:lnTo>
                      <a:pt x="3296" y="11378"/>
                    </a:lnTo>
                    <a:lnTo>
                      <a:pt x="3587" y="10467"/>
                    </a:lnTo>
                    <a:lnTo>
                      <a:pt x="3732" y="10012"/>
                    </a:lnTo>
                    <a:lnTo>
                      <a:pt x="3877" y="9557"/>
                    </a:lnTo>
                    <a:lnTo>
                      <a:pt x="4023" y="9103"/>
                    </a:lnTo>
                    <a:lnTo>
                      <a:pt x="4217" y="8647"/>
                    </a:lnTo>
                    <a:lnTo>
                      <a:pt x="4508" y="7510"/>
                    </a:lnTo>
                    <a:lnTo>
                      <a:pt x="4847" y="6372"/>
                    </a:lnTo>
                    <a:lnTo>
                      <a:pt x="5186" y="5234"/>
                    </a:lnTo>
                    <a:lnTo>
                      <a:pt x="5332" y="4779"/>
                    </a:lnTo>
                    <a:lnTo>
                      <a:pt x="5477" y="4097"/>
                    </a:lnTo>
                    <a:lnTo>
                      <a:pt x="5672" y="3641"/>
                    </a:lnTo>
                    <a:lnTo>
                      <a:pt x="5768" y="3186"/>
                    </a:lnTo>
                    <a:lnTo>
                      <a:pt x="5913" y="2731"/>
                    </a:lnTo>
                    <a:lnTo>
                      <a:pt x="6059" y="2504"/>
                    </a:lnTo>
                    <a:lnTo>
                      <a:pt x="6156" y="2048"/>
                    </a:lnTo>
                    <a:lnTo>
                      <a:pt x="6253" y="1821"/>
                    </a:lnTo>
                    <a:lnTo>
                      <a:pt x="6350" y="1593"/>
                    </a:lnTo>
                    <a:lnTo>
                      <a:pt x="6447" y="1366"/>
                    </a:lnTo>
                    <a:lnTo>
                      <a:pt x="6592" y="911"/>
                    </a:lnTo>
                    <a:lnTo>
                      <a:pt x="6738" y="683"/>
                    </a:lnTo>
                    <a:lnTo>
                      <a:pt x="6883" y="455"/>
                    </a:lnTo>
                    <a:lnTo>
                      <a:pt x="6980" y="228"/>
                    </a:lnTo>
                    <a:lnTo>
                      <a:pt x="7174" y="0"/>
                    </a:lnTo>
                    <a:lnTo>
                      <a:pt x="7319" y="0"/>
                    </a:lnTo>
                    <a:lnTo>
                      <a:pt x="7562" y="0"/>
                    </a:lnTo>
                    <a:lnTo>
                      <a:pt x="7756" y="0"/>
                    </a:lnTo>
                    <a:lnTo>
                      <a:pt x="7949" y="0"/>
                    </a:lnTo>
                    <a:lnTo>
                      <a:pt x="8192" y="0"/>
                    </a:lnTo>
                    <a:lnTo>
                      <a:pt x="8386" y="228"/>
                    </a:lnTo>
                    <a:lnTo>
                      <a:pt x="8628" y="683"/>
                    </a:lnTo>
                    <a:lnTo>
                      <a:pt x="8774" y="911"/>
                    </a:lnTo>
                    <a:lnTo>
                      <a:pt x="8870" y="1138"/>
                    </a:lnTo>
                    <a:lnTo>
                      <a:pt x="9015" y="1366"/>
                    </a:lnTo>
                    <a:lnTo>
                      <a:pt x="9113" y="1593"/>
                    </a:lnTo>
                    <a:lnTo>
                      <a:pt x="9258" y="1821"/>
                    </a:lnTo>
                    <a:lnTo>
                      <a:pt x="9404" y="2275"/>
                    </a:lnTo>
                    <a:lnTo>
                      <a:pt x="9597" y="2731"/>
                    </a:lnTo>
                    <a:lnTo>
                      <a:pt x="9743" y="3186"/>
                    </a:lnTo>
                    <a:lnTo>
                      <a:pt x="9937" y="3868"/>
                    </a:lnTo>
                    <a:lnTo>
                      <a:pt x="10131" y="4324"/>
                    </a:lnTo>
                    <a:lnTo>
                      <a:pt x="10470" y="5689"/>
                    </a:lnTo>
                    <a:lnTo>
                      <a:pt x="10858" y="6827"/>
                    </a:lnTo>
                    <a:lnTo>
                      <a:pt x="11003" y="7510"/>
                    </a:lnTo>
                    <a:lnTo>
                      <a:pt x="11197" y="8192"/>
                    </a:lnTo>
                    <a:lnTo>
                      <a:pt x="11342" y="8647"/>
                    </a:lnTo>
                    <a:lnTo>
                      <a:pt x="11537" y="9103"/>
                    </a:lnTo>
                    <a:lnTo>
                      <a:pt x="11682" y="9785"/>
                    </a:lnTo>
                    <a:lnTo>
                      <a:pt x="11828" y="10012"/>
                    </a:lnTo>
                    <a:lnTo>
                      <a:pt x="11924" y="10467"/>
                    </a:lnTo>
                    <a:lnTo>
                      <a:pt x="12021" y="10695"/>
                    </a:lnTo>
                    <a:lnTo>
                      <a:pt x="12119" y="11150"/>
                    </a:lnTo>
                    <a:lnTo>
                      <a:pt x="12215" y="11378"/>
                    </a:lnTo>
                    <a:lnTo>
                      <a:pt x="12312" y="11605"/>
                    </a:lnTo>
                    <a:lnTo>
                      <a:pt x="12360" y="11832"/>
                    </a:lnTo>
                    <a:lnTo>
                      <a:pt x="12555" y="12060"/>
                    </a:lnTo>
                    <a:lnTo>
                      <a:pt x="12651" y="12287"/>
                    </a:lnTo>
                    <a:lnTo>
                      <a:pt x="12796" y="12743"/>
                    </a:lnTo>
                    <a:lnTo>
                      <a:pt x="12894" y="12971"/>
                    </a:lnTo>
                    <a:lnTo>
                      <a:pt x="13039" y="13198"/>
                    </a:lnTo>
                    <a:lnTo>
                      <a:pt x="13185" y="13653"/>
                    </a:lnTo>
                    <a:lnTo>
                      <a:pt x="13330" y="13880"/>
                    </a:lnTo>
                    <a:lnTo>
                      <a:pt x="13475" y="14109"/>
                    </a:lnTo>
                    <a:lnTo>
                      <a:pt x="13621" y="14336"/>
                    </a:lnTo>
                    <a:lnTo>
                      <a:pt x="13912" y="14791"/>
                    </a:lnTo>
                    <a:lnTo>
                      <a:pt x="14203" y="15018"/>
                    </a:lnTo>
                    <a:lnTo>
                      <a:pt x="14348" y="15246"/>
                    </a:lnTo>
                    <a:lnTo>
                      <a:pt x="14493" y="15246"/>
                    </a:lnTo>
                    <a:lnTo>
                      <a:pt x="14735" y="15473"/>
                    </a:lnTo>
                    <a:lnTo>
                      <a:pt x="15026" y="15701"/>
                    </a:lnTo>
                    <a:lnTo>
                      <a:pt x="15269" y="15701"/>
                    </a:lnTo>
                    <a:lnTo>
                      <a:pt x="15802" y="16156"/>
                    </a:lnTo>
                    <a:lnTo>
                      <a:pt x="16384" y="16384"/>
                    </a:lnTo>
                  </a:path>
                </a:pathLst>
              </a:custGeom>
              <a:solidFill>
                <a:srgbClr val="CCFFCC"/>
              </a:solidFill>
              <a:ln w="9525">
                <a:solidFill>
                  <a:srgbClr val="000000"/>
                </a:solidFill>
                <a:prstDash val="lgDashDot"/>
                <a:round/>
                <a:headEnd/>
                <a:tailEnd/>
              </a:ln>
            </xdr:spPr>
          </xdr:sp>
          <xdr:sp macro="" textlink="">
            <xdr:nvSpPr>
              <xdr:cNvPr id="2705599" name="Drawing 285">
                <a:extLst>
                  <a:ext uri="{FF2B5EF4-FFF2-40B4-BE49-F238E27FC236}">
                    <a16:creationId xmlns:a16="http://schemas.microsoft.com/office/drawing/2014/main" id="{00000000-0008-0000-0200-0000BF482900}"/>
                  </a:ext>
                </a:extLst>
              </xdr:cNvPr>
              <xdr:cNvSpPr>
                <a:spLocks/>
              </xdr:cNvSpPr>
            </xdr:nvSpPr>
            <xdr:spPr bwMode="auto">
              <a:xfrm>
                <a:off x="102" y="212"/>
                <a:ext cx="323" cy="61"/>
              </a:xfrm>
              <a:custGeom>
                <a:avLst/>
                <a:gdLst>
                  <a:gd name="T0" fmla="*/ 0 w 16384"/>
                  <a:gd name="T1" fmla="*/ 0 h 16384"/>
                  <a:gd name="T2" fmla="*/ 0 w 16384"/>
                  <a:gd name="T3" fmla="*/ 0 h 16384"/>
                  <a:gd name="T4" fmla="*/ 0 w 16384"/>
                  <a:gd name="T5" fmla="*/ 0 h 16384"/>
                  <a:gd name="T6" fmla="*/ 0 w 16384"/>
                  <a:gd name="T7" fmla="*/ 0 h 16384"/>
                  <a:gd name="T8" fmla="*/ 0 w 16384"/>
                  <a:gd name="T9" fmla="*/ 0 h 16384"/>
                  <a:gd name="T10" fmla="*/ 0 w 16384"/>
                  <a:gd name="T11" fmla="*/ 0 h 16384"/>
                  <a:gd name="T12" fmla="*/ 0 w 16384"/>
                  <a:gd name="T13" fmla="*/ 0 h 16384"/>
                  <a:gd name="T14" fmla="*/ 0 w 16384"/>
                  <a:gd name="T15" fmla="*/ 0 h 16384"/>
                  <a:gd name="T16" fmla="*/ 0 w 16384"/>
                  <a:gd name="T17" fmla="*/ 0 h 16384"/>
                  <a:gd name="T18" fmla="*/ 0 w 16384"/>
                  <a:gd name="T19" fmla="*/ 0 h 16384"/>
                  <a:gd name="T20" fmla="*/ 0 w 16384"/>
                  <a:gd name="T21" fmla="*/ 0 h 16384"/>
                  <a:gd name="T22" fmla="*/ 0 w 16384"/>
                  <a:gd name="T23" fmla="*/ 0 h 16384"/>
                  <a:gd name="T24" fmla="*/ 0 w 16384"/>
                  <a:gd name="T25" fmla="*/ 0 h 16384"/>
                  <a:gd name="T26" fmla="*/ 0 w 16384"/>
                  <a:gd name="T27" fmla="*/ 0 h 16384"/>
                  <a:gd name="T28" fmla="*/ 0 w 16384"/>
                  <a:gd name="T29" fmla="*/ 0 h 16384"/>
                  <a:gd name="T30" fmla="*/ 0 w 16384"/>
                  <a:gd name="T31" fmla="*/ 0 h 16384"/>
                  <a:gd name="T32" fmla="*/ 0 w 16384"/>
                  <a:gd name="T33" fmla="*/ 0 h 16384"/>
                  <a:gd name="T34" fmla="*/ 0 w 16384"/>
                  <a:gd name="T35" fmla="*/ 0 h 16384"/>
                  <a:gd name="T36" fmla="*/ 0 w 16384"/>
                  <a:gd name="T37" fmla="*/ 0 h 16384"/>
                  <a:gd name="T38" fmla="*/ 0 w 16384"/>
                  <a:gd name="T39" fmla="*/ 0 h 16384"/>
                  <a:gd name="T40" fmla="*/ 0 w 16384"/>
                  <a:gd name="T41" fmla="*/ 0 h 16384"/>
                  <a:gd name="T42" fmla="*/ 0 w 16384"/>
                  <a:gd name="T43" fmla="*/ 0 h 16384"/>
                  <a:gd name="T44" fmla="*/ 0 w 16384"/>
                  <a:gd name="T45" fmla="*/ 0 h 16384"/>
                  <a:gd name="T46" fmla="*/ 0 w 16384"/>
                  <a:gd name="T47" fmla="*/ 0 h 16384"/>
                  <a:gd name="T48" fmla="*/ 0 w 16384"/>
                  <a:gd name="T49" fmla="*/ 0 h 16384"/>
                  <a:gd name="T50" fmla="*/ 0 w 16384"/>
                  <a:gd name="T51" fmla="*/ 0 h 16384"/>
                  <a:gd name="T52" fmla="*/ 0 w 16384"/>
                  <a:gd name="T53" fmla="*/ 0 h 16384"/>
                  <a:gd name="T54" fmla="*/ 0 w 16384"/>
                  <a:gd name="T55" fmla="*/ 0 h 16384"/>
                  <a:gd name="T56" fmla="*/ 0 w 16384"/>
                  <a:gd name="T57" fmla="*/ 0 h 16384"/>
                  <a:gd name="T58" fmla="*/ 0 w 16384"/>
                  <a:gd name="T59" fmla="*/ 0 h 16384"/>
                  <a:gd name="T60" fmla="*/ 0 w 16384"/>
                  <a:gd name="T61" fmla="*/ 0 h 16384"/>
                  <a:gd name="T62" fmla="*/ 0 w 16384"/>
                  <a:gd name="T63" fmla="*/ 0 h 16384"/>
                  <a:gd name="T64" fmla="*/ 0 w 16384"/>
                  <a:gd name="T65" fmla="*/ 0 h 16384"/>
                  <a:gd name="T66" fmla="*/ 0 w 16384"/>
                  <a:gd name="T67" fmla="*/ 0 h 16384"/>
                  <a:gd name="T68" fmla="*/ 0 w 16384"/>
                  <a:gd name="T69" fmla="*/ 0 h 16384"/>
                  <a:gd name="T70" fmla="*/ 0 w 16384"/>
                  <a:gd name="T71" fmla="*/ 0 h 16384"/>
                  <a:gd name="T72" fmla="*/ 0 w 16384"/>
                  <a:gd name="T73" fmla="*/ 0 h 16384"/>
                  <a:gd name="T74" fmla="*/ 0 w 16384"/>
                  <a:gd name="T75" fmla="*/ 0 h 16384"/>
                  <a:gd name="T76" fmla="*/ 0 w 16384"/>
                  <a:gd name="T77" fmla="*/ 0 h 16384"/>
                  <a:gd name="T78" fmla="*/ 0 w 16384"/>
                  <a:gd name="T79" fmla="*/ 0 h 16384"/>
                  <a:gd name="T80" fmla="*/ 0 w 16384"/>
                  <a:gd name="T81" fmla="*/ 0 h 16384"/>
                  <a:gd name="T82" fmla="*/ 0 w 16384"/>
                  <a:gd name="T83" fmla="*/ 0 h 16384"/>
                  <a:gd name="T84" fmla="*/ 0 w 16384"/>
                  <a:gd name="T85" fmla="*/ 0 h 1638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6384"/>
                  <a:gd name="T130" fmla="*/ 0 h 16384"/>
                  <a:gd name="T131" fmla="*/ 16384 w 16384"/>
                  <a:gd name="T132" fmla="*/ 16384 h 1638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6384" h="16384">
                    <a:moveTo>
                      <a:pt x="0" y="16384"/>
                    </a:moveTo>
                    <a:lnTo>
                      <a:pt x="339" y="16384"/>
                    </a:lnTo>
                    <a:lnTo>
                      <a:pt x="484" y="16384"/>
                    </a:lnTo>
                    <a:lnTo>
                      <a:pt x="630" y="16384"/>
                    </a:lnTo>
                    <a:lnTo>
                      <a:pt x="824" y="16156"/>
                    </a:lnTo>
                    <a:lnTo>
                      <a:pt x="1018" y="15929"/>
                    </a:lnTo>
                    <a:lnTo>
                      <a:pt x="1163" y="15701"/>
                    </a:lnTo>
                    <a:lnTo>
                      <a:pt x="1406" y="15473"/>
                    </a:lnTo>
                    <a:lnTo>
                      <a:pt x="1648" y="15018"/>
                    </a:lnTo>
                    <a:lnTo>
                      <a:pt x="1891" y="14563"/>
                    </a:lnTo>
                    <a:lnTo>
                      <a:pt x="2133" y="14109"/>
                    </a:lnTo>
                    <a:lnTo>
                      <a:pt x="2424" y="13425"/>
                    </a:lnTo>
                    <a:lnTo>
                      <a:pt x="2715" y="12971"/>
                    </a:lnTo>
                    <a:lnTo>
                      <a:pt x="3005" y="12060"/>
                    </a:lnTo>
                    <a:lnTo>
                      <a:pt x="3296" y="11378"/>
                    </a:lnTo>
                    <a:lnTo>
                      <a:pt x="3587" y="10467"/>
                    </a:lnTo>
                    <a:lnTo>
                      <a:pt x="3732" y="10012"/>
                    </a:lnTo>
                    <a:lnTo>
                      <a:pt x="3877" y="9557"/>
                    </a:lnTo>
                    <a:lnTo>
                      <a:pt x="4023" y="9103"/>
                    </a:lnTo>
                    <a:lnTo>
                      <a:pt x="4217" y="8647"/>
                    </a:lnTo>
                    <a:lnTo>
                      <a:pt x="4508" y="7510"/>
                    </a:lnTo>
                    <a:lnTo>
                      <a:pt x="4847" y="6372"/>
                    </a:lnTo>
                    <a:lnTo>
                      <a:pt x="5186" y="5234"/>
                    </a:lnTo>
                    <a:lnTo>
                      <a:pt x="5332" y="4779"/>
                    </a:lnTo>
                    <a:lnTo>
                      <a:pt x="5477" y="4097"/>
                    </a:lnTo>
                    <a:lnTo>
                      <a:pt x="5672" y="3641"/>
                    </a:lnTo>
                    <a:lnTo>
                      <a:pt x="5768" y="3186"/>
                    </a:lnTo>
                    <a:lnTo>
                      <a:pt x="5913" y="2731"/>
                    </a:lnTo>
                    <a:lnTo>
                      <a:pt x="6059" y="2504"/>
                    </a:lnTo>
                    <a:lnTo>
                      <a:pt x="6156" y="2048"/>
                    </a:lnTo>
                    <a:lnTo>
                      <a:pt x="6253" y="1821"/>
                    </a:lnTo>
                    <a:lnTo>
                      <a:pt x="6350" y="1593"/>
                    </a:lnTo>
                    <a:lnTo>
                      <a:pt x="6447" y="1366"/>
                    </a:lnTo>
                    <a:lnTo>
                      <a:pt x="6592" y="911"/>
                    </a:lnTo>
                    <a:lnTo>
                      <a:pt x="6738" y="683"/>
                    </a:lnTo>
                    <a:lnTo>
                      <a:pt x="6883" y="455"/>
                    </a:lnTo>
                    <a:lnTo>
                      <a:pt x="6980" y="228"/>
                    </a:lnTo>
                    <a:lnTo>
                      <a:pt x="7174" y="0"/>
                    </a:lnTo>
                    <a:lnTo>
                      <a:pt x="7319" y="0"/>
                    </a:lnTo>
                    <a:lnTo>
                      <a:pt x="7562" y="0"/>
                    </a:lnTo>
                    <a:lnTo>
                      <a:pt x="7756" y="0"/>
                    </a:lnTo>
                    <a:lnTo>
                      <a:pt x="7949" y="0"/>
                    </a:lnTo>
                    <a:lnTo>
                      <a:pt x="8192" y="0"/>
                    </a:lnTo>
                    <a:lnTo>
                      <a:pt x="8386" y="228"/>
                    </a:lnTo>
                    <a:lnTo>
                      <a:pt x="8628" y="683"/>
                    </a:lnTo>
                    <a:lnTo>
                      <a:pt x="8774" y="911"/>
                    </a:lnTo>
                    <a:lnTo>
                      <a:pt x="8870" y="1138"/>
                    </a:lnTo>
                    <a:lnTo>
                      <a:pt x="9015" y="1366"/>
                    </a:lnTo>
                    <a:lnTo>
                      <a:pt x="9113" y="1593"/>
                    </a:lnTo>
                    <a:lnTo>
                      <a:pt x="9258" y="1821"/>
                    </a:lnTo>
                    <a:lnTo>
                      <a:pt x="9404" y="2275"/>
                    </a:lnTo>
                    <a:lnTo>
                      <a:pt x="9597" y="2731"/>
                    </a:lnTo>
                    <a:lnTo>
                      <a:pt x="9743" y="3186"/>
                    </a:lnTo>
                    <a:lnTo>
                      <a:pt x="9937" y="3868"/>
                    </a:lnTo>
                    <a:lnTo>
                      <a:pt x="10131" y="4324"/>
                    </a:lnTo>
                    <a:lnTo>
                      <a:pt x="10470" y="5689"/>
                    </a:lnTo>
                    <a:lnTo>
                      <a:pt x="10858" y="6827"/>
                    </a:lnTo>
                    <a:lnTo>
                      <a:pt x="11003" y="7510"/>
                    </a:lnTo>
                    <a:lnTo>
                      <a:pt x="11197" y="8192"/>
                    </a:lnTo>
                    <a:lnTo>
                      <a:pt x="11342" y="8647"/>
                    </a:lnTo>
                    <a:lnTo>
                      <a:pt x="11537" y="9103"/>
                    </a:lnTo>
                    <a:lnTo>
                      <a:pt x="11682" y="9785"/>
                    </a:lnTo>
                    <a:lnTo>
                      <a:pt x="11828" y="10012"/>
                    </a:lnTo>
                    <a:lnTo>
                      <a:pt x="11924" y="10467"/>
                    </a:lnTo>
                    <a:lnTo>
                      <a:pt x="12021" y="10695"/>
                    </a:lnTo>
                    <a:lnTo>
                      <a:pt x="12119" y="11150"/>
                    </a:lnTo>
                    <a:lnTo>
                      <a:pt x="12215" y="11378"/>
                    </a:lnTo>
                    <a:lnTo>
                      <a:pt x="12312" y="11605"/>
                    </a:lnTo>
                    <a:lnTo>
                      <a:pt x="12360" y="11832"/>
                    </a:lnTo>
                    <a:lnTo>
                      <a:pt x="12555" y="12060"/>
                    </a:lnTo>
                    <a:lnTo>
                      <a:pt x="12651" y="12287"/>
                    </a:lnTo>
                    <a:lnTo>
                      <a:pt x="12796" y="12743"/>
                    </a:lnTo>
                    <a:lnTo>
                      <a:pt x="12894" y="12971"/>
                    </a:lnTo>
                    <a:lnTo>
                      <a:pt x="13039" y="13198"/>
                    </a:lnTo>
                    <a:lnTo>
                      <a:pt x="13185" y="13653"/>
                    </a:lnTo>
                    <a:lnTo>
                      <a:pt x="13330" y="13880"/>
                    </a:lnTo>
                    <a:lnTo>
                      <a:pt x="13475" y="14109"/>
                    </a:lnTo>
                    <a:lnTo>
                      <a:pt x="13621" y="14336"/>
                    </a:lnTo>
                    <a:lnTo>
                      <a:pt x="13912" y="14791"/>
                    </a:lnTo>
                    <a:lnTo>
                      <a:pt x="14203" y="15018"/>
                    </a:lnTo>
                    <a:lnTo>
                      <a:pt x="14348" y="15246"/>
                    </a:lnTo>
                    <a:lnTo>
                      <a:pt x="14493" y="15246"/>
                    </a:lnTo>
                    <a:lnTo>
                      <a:pt x="14735" y="15473"/>
                    </a:lnTo>
                    <a:lnTo>
                      <a:pt x="15026" y="15701"/>
                    </a:lnTo>
                    <a:lnTo>
                      <a:pt x="15269" y="15701"/>
                    </a:lnTo>
                    <a:lnTo>
                      <a:pt x="15802" y="16156"/>
                    </a:lnTo>
                    <a:lnTo>
                      <a:pt x="16384" y="16384"/>
                    </a:lnTo>
                  </a:path>
                </a:pathLst>
              </a:custGeom>
              <a:solidFill>
                <a:srgbClr val="CCFFCC"/>
              </a:solidFill>
              <a:ln w="9525">
                <a:solidFill>
                  <a:srgbClr val="000000"/>
                </a:solidFill>
                <a:round/>
                <a:headEnd/>
                <a:tailEnd/>
              </a:ln>
            </xdr:spPr>
          </xdr:sp>
          <xdr:sp macro="" textlink="">
            <xdr:nvSpPr>
              <xdr:cNvPr id="4708" name="Text 291">
                <a:extLst>
                  <a:ext uri="{FF2B5EF4-FFF2-40B4-BE49-F238E27FC236}">
                    <a16:creationId xmlns:a16="http://schemas.microsoft.com/office/drawing/2014/main" id="{00000000-0008-0000-0200-000064120000}"/>
                  </a:ext>
                </a:extLst>
              </xdr:cNvPr>
              <xdr:cNvSpPr txBox="1">
                <a:spLocks noChangeArrowheads="1"/>
              </xdr:cNvSpPr>
            </xdr:nvSpPr>
            <xdr:spPr bwMode="auto">
              <a:xfrm>
                <a:off x="366" y="202"/>
                <a:ext cx="142" cy="20"/>
              </a:xfrm>
              <a:prstGeom prst="rect">
                <a:avLst/>
              </a:prstGeom>
              <a:solidFill>
                <a:srgbClr val="FFFFFF"/>
              </a:solidFill>
              <a:ln w="9525">
                <a:solidFill>
                  <a:srgbClr val="CCFFFF"/>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If valley, then </a:t>
                </a:r>
                <a:r>
                  <a:rPr lang="en-US" sz="800" b="0" i="1" strike="noStrike">
                    <a:solidFill>
                      <a:srgbClr val="000000"/>
                    </a:solidFill>
                    <a:latin typeface="Arial"/>
                    <a:cs typeface="Arial"/>
                  </a:rPr>
                  <a:t>z</a:t>
                </a:r>
                <a:r>
                  <a:rPr lang="en-US" sz="800" b="0" i="0" strike="noStrike">
                    <a:solidFill>
                      <a:srgbClr val="000000"/>
                    </a:solidFill>
                    <a:latin typeface="Arial"/>
                    <a:cs typeface="Arial"/>
                  </a:rPr>
                  <a:t> is negative</a:t>
                </a:r>
                <a:r>
                  <a:rPr lang="en-US" sz="1000" b="0" i="0" strike="noStrike">
                    <a:solidFill>
                      <a:srgbClr val="000000"/>
                    </a:solidFill>
                    <a:latin typeface="Arial"/>
                    <a:cs typeface="Arial"/>
                  </a:rPr>
                  <a:t>.</a:t>
                </a:r>
              </a:p>
            </xdr:txBody>
          </xdr:sp>
          <xdr:sp macro="" textlink="">
            <xdr:nvSpPr>
              <xdr:cNvPr id="4709" name="Text 294">
                <a:extLst>
                  <a:ext uri="{FF2B5EF4-FFF2-40B4-BE49-F238E27FC236}">
                    <a16:creationId xmlns:a16="http://schemas.microsoft.com/office/drawing/2014/main" id="{00000000-0008-0000-0200-000065120000}"/>
                  </a:ext>
                </a:extLst>
              </xdr:cNvPr>
              <xdr:cNvSpPr txBox="1">
                <a:spLocks noChangeArrowheads="1"/>
              </xdr:cNvSpPr>
            </xdr:nvSpPr>
            <xdr:spPr bwMode="auto">
              <a:xfrm>
                <a:off x="153" y="164"/>
                <a:ext cx="355" cy="2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Hill coordinates along sections AB, CD relative to Summit </a:t>
                </a:r>
              </a:p>
            </xdr:txBody>
          </xdr:sp>
          <xdr:sp macro="" textlink="">
            <xdr:nvSpPr>
              <xdr:cNvPr id="4710" name="Text Box 614">
                <a:extLst>
                  <a:ext uri="{FF2B5EF4-FFF2-40B4-BE49-F238E27FC236}">
                    <a16:creationId xmlns:a16="http://schemas.microsoft.com/office/drawing/2014/main" id="{00000000-0008-0000-0200-000066120000}"/>
                  </a:ext>
                </a:extLst>
              </xdr:cNvPr>
              <xdr:cNvSpPr txBox="1">
                <a:spLocks noChangeArrowheads="1"/>
              </xdr:cNvSpPr>
            </xdr:nvSpPr>
            <xdr:spPr bwMode="auto">
              <a:xfrm>
                <a:off x="215" y="236"/>
                <a:ext cx="24" cy="16"/>
              </a:xfrm>
              <a:prstGeom prst="rect">
                <a:avLst/>
              </a:prstGeom>
              <a:solidFill>
                <a:srgbClr val="CC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site</a:t>
                </a:r>
              </a:p>
            </xdr:txBody>
          </xdr:sp>
          <xdr:sp macro="" textlink="">
            <xdr:nvSpPr>
              <xdr:cNvPr id="2705603" name="Line 615">
                <a:extLst>
                  <a:ext uri="{FF2B5EF4-FFF2-40B4-BE49-F238E27FC236}">
                    <a16:creationId xmlns:a16="http://schemas.microsoft.com/office/drawing/2014/main" id="{00000000-0008-0000-0200-0000C3482900}"/>
                  </a:ext>
                </a:extLst>
              </xdr:cNvPr>
              <xdr:cNvSpPr>
                <a:spLocks noChangeShapeType="1"/>
              </xdr:cNvSpPr>
            </xdr:nvSpPr>
            <xdr:spPr bwMode="auto">
              <a:xfrm>
                <a:off x="257" y="274"/>
                <a:ext cx="101" cy="0"/>
              </a:xfrm>
              <a:prstGeom prst="line">
                <a:avLst/>
              </a:prstGeom>
              <a:noFill/>
              <a:ln w="9525">
                <a:solidFill>
                  <a:srgbClr val="000000"/>
                </a:solidFill>
                <a:round/>
                <a:headEnd/>
                <a:tailEnd type="triangle" w="sm" len="med"/>
              </a:ln>
            </xdr:spPr>
          </xdr:sp>
          <xdr:sp macro="" textlink="">
            <xdr:nvSpPr>
              <xdr:cNvPr id="4712" name="Line 616">
                <a:extLst>
                  <a:ext uri="{FF2B5EF4-FFF2-40B4-BE49-F238E27FC236}">
                    <a16:creationId xmlns:a16="http://schemas.microsoft.com/office/drawing/2014/main" id="{00000000-0008-0000-0200-000068120000}"/>
                  </a:ext>
                </a:extLst>
              </xdr:cNvPr>
              <xdr:cNvSpPr>
                <a:spLocks noChangeShapeType="1"/>
              </xdr:cNvSpPr>
            </xdr:nvSpPr>
            <xdr:spPr bwMode="auto">
              <a:xfrm>
                <a:off x="225" y="221"/>
                <a:ext cx="0" cy="16"/>
              </a:xfrm>
              <a:prstGeom prst="line">
                <a:avLst/>
              </a:prstGeom>
              <a:noFill/>
              <a:ln w="6350">
                <a:solidFill>
                  <a:srgbClr val="000000"/>
                </a:solidFill>
                <a:round/>
                <a:headEnd/>
                <a:tailEnd/>
              </a:ln>
              <a:effectLst>
                <a:outerShdw dist="35921" dir="2700000" algn="ctr" rotWithShape="0">
                  <a:srgbClr val="000000"/>
                </a:outerShdw>
              </a:effectLst>
            </xdr:spPr>
            <xdr:txBody>
              <a:bodyPr/>
              <a:lstStyle/>
              <a:p>
                <a:endParaRPr lang="en-US"/>
              </a:p>
            </xdr:txBody>
          </xdr:sp>
        </xdr:grpSp>
        <xdr:sp macro="" textlink="">
          <xdr:nvSpPr>
            <xdr:cNvPr id="2705589" name="Line 617">
              <a:extLst>
                <a:ext uri="{FF2B5EF4-FFF2-40B4-BE49-F238E27FC236}">
                  <a16:creationId xmlns:a16="http://schemas.microsoft.com/office/drawing/2014/main" id="{00000000-0008-0000-0200-0000B5482900}"/>
                </a:ext>
              </a:extLst>
            </xdr:cNvPr>
            <xdr:cNvSpPr>
              <a:spLocks noChangeShapeType="1"/>
            </xdr:cNvSpPr>
          </xdr:nvSpPr>
          <xdr:spPr bwMode="auto">
            <a:xfrm>
              <a:off x="256" y="274"/>
              <a:ext cx="271" cy="0"/>
            </a:xfrm>
            <a:prstGeom prst="line">
              <a:avLst/>
            </a:prstGeom>
            <a:noFill/>
            <a:ln w="9525">
              <a:solidFill>
                <a:srgbClr val="000000"/>
              </a:solidFill>
              <a:round/>
              <a:headEnd/>
              <a:tailEnd type="none" w="sm" len="med"/>
            </a:ln>
          </xdr:spPr>
        </xdr:sp>
        <xdr:sp macro="" textlink="">
          <xdr:nvSpPr>
            <xdr:cNvPr id="4714" name="Text Box 618">
              <a:extLst>
                <a:ext uri="{FF2B5EF4-FFF2-40B4-BE49-F238E27FC236}">
                  <a16:creationId xmlns:a16="http://schemas.microsoft.com/office/drawing/2014/main" id="{00000000-0008-0000-0200-00006A120000}"/>
                </a:ext>
              </a:extLst>
            </xdr:cNvPr>
            <xdr:cNvSpPr txBox="1">
              <a:spLocks noChangeArrowheads="1"/>
            </xdr:cNvSpPr>
          </xdr:nvSpPr>
          <xdr:spPr bwMode="auto">
            <a:xfrm>
              <a:off x="242" y="260"/>
              <a:ext cx="11" cy="16"/>
            </a:xfrm>
            <a:prstGeom prst="rect">
              <a:avLst/>
            </a:prstGeom>
            <a:solidFill>
              <a:srgbClr val="CCFFCC"/>
            </a:solidFill>
            <a:ln w="9525">
              <a:solidFill>
                <a:srgbClr val="CCFFCC"/>
              </a:solidFill>
              <a:miter lim="800000"/>
              <a:headEnd/>
              <a:tailEnd type="none" w="sm" len="me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2705591" name="Line 619">
              <a:extLst>
                <a:ext uri="{FF2B5EF4-FFF2-40B4-BE49-F238E27FC236}">
                  <a16:creationId xmlns:a16="http://schemas.microsoft.com/office/drawing/2014/main" id="{00000000-0008-0000-0200-0000B7482900}"/>
                </a:ext>
              </a:extLst>
            </xdr:cNvPr>
            <xdr:cNvSpPr>
              <a:spLocks noChangeShapeType="1"/>
            </xdr:cNvSpPr>
          </xdr:nvSpPr>
          <xdr:spPr bwMode="auto">
            <a:xfrm flipV="1">
              <a:off x="257" y="189"/>
              <a:ext cx="0" cy="84"/>
            </a:xfrm>
            <a:prstGeom prst="line">
              <a:avLst/>
            </a:prstGeom>
            <a:noFill/>
            <a:ln w="9525">
              <a:solidFill>
                <a:srgbClr val="000000"/>
              </a:solidFill>
              <a:round/>
              <a:headEnd/>
              <a:tailEnd type="triangle" w="sm" len="med"/>
            </a:ln>
          </xdr:spPr>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0</xdr:row>
      <xdr:rowOff>30480</xdr:rowOff>
    </xdr:from>
    <xdr:to>
      <xdr:col>1</xdr:col>
      <xdr:colOff>1844040</xdr:colOff>
      <xdr:row>6</xdr:row>
      <xdr:rowOff>114300</xdr:rowOff>
    </xdr:to>
    <xdr:sp macro="" textlink="">
      <xdr:nvSpPr>
        <xdr:cNvPr id="2129" name="Text 13">
          <a:extLst>
            <a:ext uri="{FF2B5EF4-FFF2-40B4-BE49-F238E27FC236}">
              <a16:creationId xmlns:a16="http://schemas.microsoft.com/office/drawing/2014/main" id="{00000000-0008-0000-0300-000051080000}"/>
            </a:ext>
          </a:extLst>
        </xdr:cNvPr>
        <xdr:cNvSpPr txBox="1">
          <a:spLocks noChangeArrowheads="1"/>
        </xdr:cNvSpPr>
      </xdr:nvSpPr>
      <xdr:spPr bwMode="auto">
        <a:xfrm>
          <a:off x="1112520" y="30480"/>
          <a:ext cx="1805940" cy="1120140"/>
        </a:xfrm>
        <a:prstGeom prst="rect">
          <a:avLst/>
        </a:prstGeom>
        <a:solidFill>
          <a:srgbClr val="FFFFCC"/>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Wind speeds are always calculated.</a:t>
          </a:r>
        </a:p>
        <a:p>
          <a:pPr algn="l" rtl="0">
            <a:defRPr sz="1000"/>
          </a:pPr>
          <a:r>
            <a:rPr lang="en-US" sz="800" b="0" i="0" strike="noStrike">
              <a:solidFill>
                <a:srgbClr val="000000"/>
              </a:solidFill>
              <a:latin typeface="Arial"/>
              <a:cs typeface="Arial"/>
            </a:rPr>
            <a:t>Other calculation options: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a:t>
          </a:r>
          <a:r>
            <a:rPr lang="en-US" sz="1000" b="0" i="1" strike="noStrike">
              <a:solidFill>
                <a:srgbClr val="000000"/>
              </a:solidFill>
              <a:latin typeface="Arial"/>
              <a:cs typeface="Arial"/>
            </a:rPr>
            <a:t> I</a:t>
          </a:r>
          <a:r>
            <a:rPr lang="en-US" sz="1000" b="0" i="1" strike="noStrike" baseline="-25000">
              <a:solidFill>
                <a:srgbClr val="000000"/>
              </a:solidFill>
              <a:latin typeface="Arial"/>
              <a:cs typeface="Arial"/>
            </a:rPr>
            <a:t>u</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x</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u</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y</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u</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z</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u</a:t>
          </a:r>
          <a:r>
            <a:rPr lang="en-US" sz="1000" b="0" i="1" strike="noStrike">
              <a:solidFill>
                <a:srgbClr val="000000"/>
              </a:solidFill>
              <a:latin typeface="Arial"/>
              <a:cs typeface="Arial"/>
            </a:rPr>
            <a:t>, S</a:t>
          </a:r>
          <a:r>
            <a:rPr lang="en-US" sz="1000" b="0" i="1" strike="noStrike" baseline="-25000">
              <a:solidFill>
                <a:srgbClr val="000000"/>
              </a:solidFill>
              <a:latin typeface="Arial"/>
              <a:cs typeface="Arial"/>
            </a:rPr>
            <a:t>uu</a:t>
          </a: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      I</a:t>
          </a:r>
          <a:r>
            <a:rPr lang="en-US" sz="1000" b="0" i="1" strike="noStrike" baseline="-25000">
              <a:solidFill>
                <a:srgbClr val="000000"/>
              </a:solidFill>
              <a:latin typeface="Arial"/>
              <a:cs typeface="Arial"/>
            </a:rPr>
            <a:t>v</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x</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v</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y</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v</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z</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v</a:t>
          </a:r>
          <a:r>
            <a:rPr lang="en-US" sz="1000" b="0" i="1" strike="noStrike">
              <a:solidFill>
                <a:srgbClr val="000000"/>
              </a:solidFill>
              <a:latin typeface="Arial"/>
              <a:cs typeface="Arial"/>
            </a:rPr>
            <a:t>, S</a:t>
          </a:r>
          <a:r>
            <a:rPr lang="en-US" sz="1000" b="0" i="1" strike="noStrike" baseline="-25000">
              <a:solidFill>
                <a:srgbClr val="000000"/>
              </a:solidFill>
              <a:latin typeface="Arial"/>
              <a:cs typeface="Arial"/>
            </a:rPr>
            <a:t>vv</a:t>
          </a:r>
          <a:endParaRPr lang="en-US" sz="1000" b="0" i="1" strike="noStrike">
            <a:solidFill>
              <a:srgbClr val="000000"/>
            </a:solidFill>
            <a:latin typeface="Arial"/>
            <a:cs typeface="Arial"/>
          </a:endParaRPr>
        </a:p>
        <a:p>
          <a:pPr algn="l" rtl="0">
            <a:defRPr sz="1000"/>
          </a:pPr>
          <a:r>
            <a:rPr lang="en-US" sz="1000" b="0" i="1" strike="noStrike">
              <a:solidFill>
                <a:srgbClr val="000000"/>
              </a:solidFill>
              <a:latin typeface="Arial"/>
              <a:cs typeface="Arial"/>
            </a:rPr>
            <a:t>      I</a:t>
          </a:r>
          <a:r>
            <a:rPr lang="en-US" sz="1000" b="0" i="1" strike="noStrike" baseline="-25000">
              <a:solidFill>
                <a:srgbClr val="000000"/>
              </a:solidFill>
              <a:latin typeface="Arial"/>
              <a:cs typeface="Arial"/>
            </a:rPr>
            <a:t>w</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x</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w</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y</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w</a:t>
          </a:r>
          <a:r>
            <a:rPr lang="en-US" sz="1000" b="0" i="1" strike="noStrike">
              <a:solidFill>
                <a:srgbClr val="000000"/>
              </a:solidFill>
              <a:latin typeface="Arial"/>
              <a:cs typeface="Arial"/>
            </a:rPr>
            <a:t>, </a:t>
          </a:r>
          <a:r>
            <a:rPr lang="en-US" sz="1000" b="0" i="1" strike="noStrike" baseline="30000">
              <a:solidFill>
                <a:srgbClr val="000000"/>
              </a:solidFill>
              <a:latin typeface="Arial"/>
              <a:cs typeface="Arial"/>
            </a:rPr>
            <a:t>z</a:t>
          </a:r>
          <a:r>
            <a:rPr lang="en-US" sz="1000" b="0" i="1" strike="noStrike">
              <a:solidFill>
                <a:srgbClr val="000000"/>
              </a:solidFill>
              <a:latin typeface="Arial"/>
              <a:cs typeface="Arial"/>
            </a:rPr>
            <a:t>L</a:t>
          </a:r>
          <a:r>
            <a:rPr lang="en-US" sz="1000" b="0" i="1" strike="noStrike" baseline="-25000">
              <a:solidFill>
                <a:srgbClr val="000000"/>
              </a:solidFill>
              <a:latin typeface="Arial"/>
              <a:cs typeface="Arial"/>
            </a:rPr>
            <a:t>w</a:t>
          </a:r>
          <a:r>
            <a:rPr lang="en-US" sz="1000" b="0" i="1" strike="noStrike">
              <a:solidFill>
                <a:srgbClr val="000000"/>
              </a:solidFill>
              <a:latin typeface="Arial"/>
              <a:cs typeface="Arial"/>
            </a:rPr>
            <a:t>, S</a:t>
          </a:r>
          <a:r>
            <a:rPr lang="en-US" sz="1000" b="0" i="1" strike="noStrike" baseline="-25000">
              <a:solidFill>
                <a:srgbClr val="000000"/>
              </a:solidFill>
              <a:latin typeface="Arial"/>
              <a:cs typeface="Arial"/>
            </a:rPr>
            <a:t>ww</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a:t>
          </a:r>
          <a:r>
            <a:rPr lang="en-US" sz="800" b="0" i="0" strike="noStrike">
              <a:solidFill>
                <a:srgbClr val="000000"/>
              </a:solidFill>
              <a:latin typeface="Arial"/>
              <a:cs typeface="Arial"/>
            </a:rPr>
            <a:t>On re-run, delete all old results</a:t>
          </a:r>
        </a:p>
      </xdr:txBody>
    </xdr:sp>
    <xdr:clientData/>
  </xdr:twoCellAnchor>
  <xdr:twoCellAnchor>
    <xdr:from>
      <xdr:col>2</xdr:col>
      <xdr:colOff>28575</xdr:colOff>
      <xdr:row>14</xdr:row>
      <xdr:rowOff>104775</xdr:rowOff>
    </xdr:from>
    <xdr:to>
      <xdr:col>10</xdr:col>
      <xdr:colOff>0</xdr:colOff>
      <xdr:row>19</xdr:row>
      <xdr:rowOff>66675</xdr:rowOff>
    </xdr:to>
    <xdr:grpSp>
      <xdr:nvGrpSpPr>
        <xdr:cNvPr id="2077195" name="Group 170">
          <a:extLst>
            <a:ext uri="{FF2B5EF4-FFF2-40B4-BE49-F238E27FC236}">
              <a16:creationId xmlns:a16="http://schemas.microsoft.com/office/drawing/2014/main" id="{00000000-0008-0000-0300-00000BB21F00}"/>
            </a:ext>
          </a:extLst>
        </xdr:cNvPr>
        <xdr:cNvGrpSpPr>
          <a:grpSpLocks/>
        </xdr:cNvGrpSpPr>
      </xdr:nvGrpSpPr>
      <xdr:grpSpPr bwMode="auto">
        <a:xfrm>
          <a:off x="2876550" y="2428875"/>
          <a:ext cx="4848225" cy="771525"/>
          <a:chOff x="291" y="255"/>
          <a:chExt cx="509" cy="81"/>
        </a:xfrm>
      </xdr:grpSpPr>
      <xdr:grpSp>
        <xdr:nvGrpSpPr>
          <xdr:cNvPr id="2077227" name="Group 169">
            <a:extLst>
              <a:ext uri="{FF2B5EF4-FFF2-40B4-BE49-F238E27FC236}">
                <a16:creationId xmlns:a16="http://schemas.microsoft.com/office/drawing/2014/main" id="{00000000-0008-0000-0300-00002BB21F00}"/>
              </a:ext>
            </a:extLst>
          </xdr:cNvPr>
          <xdr:cNvGrpSpPr>
            <a:grpSpLocks/>
          </xdr:cNvGrpSpPr>
        </xdr:nvGrpSpPr>
        <xdr:grpSpPr bwMode="auto">
          <a:xfrm>
            <a:off x="291" y="255"/>
            <a:ext cx="509" cy="81"/>
            <a:chOff x="291" y="255"/>
            <a:chExt cx="509" cy="81"/>
          </a:xfrm>
        </xdr:grpSpPr>
        <xdr:sp macro="" textlink="">
          <xdr:nvSpPr>
            <xdr:cNvPr id="2077229" name="Rectangle 31">
              <a:extLst>
                <a:ext uri="{FF2B5EF4-FFF2-40B4-BE49-F238E27FC236}">
                  <a16:creationId xmlns:a16="http://schemas.microsoft.com/office/drawing/2014/main" id="{00000000-0008-0000-0300-00002DB21F00}"/>
                </a:ext>
              </a:extLst>
            </xdr:cNvPr>
            <xdr:cNvSpPr>
              <a:spLocks noChangeArrowheads="1"/>
            </xdr:cNvSpPr>
          </xdr:nvSpPr>
          <xdr:spPr bwMode="auto">
            <a:xfrm>
              <a:off x="291" y="255"/>
              <a:ext cx="509" cy="81"/>
            </a:xfrm>
            <a:prstGeom prst="rect">
              <a:avLst/>
            </a:prstGeom>
            <a:solidFill>
              <a:srgbClr val="FFFFCC"/>
            </a:solidFill>
            <a:ln w="9525">
              <a:solidFill>
                <a:srgbClr val="000000"/>
              </a:solidFill>
              <a:miter lim="800000"/>
              <a:headEnd/>
              <a:tailEnd/>
            </a:ln>
          </xdr:spPr>
        </xdr:sp>
        <xdr:sp macro="" textlink="">
          <xdr:nvSpPr>
            <xdr:cNvPr id="2086" name="Text 38">
              <a:extLst>
                <a:ext uri="{FF2B5EF4-FFF2-40B4-BE49-F238E27FC236}">
                  <a16:creationId xmlns:a16="http://schemas.microsoft.com/office/drawing/2014/main" id="{00000000-0008-0000-0300-000026080000}"/>
                </a:ext>
              </a:extLst>
            </xdr:cNvPr>
            <xdr:cNvSpPr txBox="1">
              <a:spLocks noChangeArrowheads="1"/>
            </xdr:cNvSpPr>
          </xdr:nvSpPr>
          <xdr:spPr bwMode="auto">
            <a:xfrm>
              <a:off x="718" y="259"/>
              <a:ext cx="59" cy="1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Target Site</a:t>
              </a:r>
            </a:p>
          </xdr:txBody>
        </xdr:sp>
        <xdr:sp macro="" textlink="">
          <xdr:nvSpPr>
            <xdr:cNvPr id="2087" name="Text 39">
              <a:extLst>
                <a:ext uri="{FF2B5EF4-FFF2-40B4-BE49-F238E27FC236}">
                  <a16:creationId xmlns:a16="http://schemas.microsoft.com/office/drawing/2014/main" id="{00000000-0008-0000-0300-000027080000}"/>
                </a:ext>
              </a:extLst>
            </xdr:cNvPr>
            <xdr:cNvSpPr txBox="1">
              <a:spLocks noChangeArrowheads="1"/>
            </xdr:cNvSpPr>
          </xdr:nvSpPr>
          <xdr:spPr bwMode="auto">
            <a:xfrm>
              <a:off x="657" y="284"/>
              <a:ext cx="74" cy="18"/>
            </a:xfrm>
            <a:prstGeom prst="rect">
              <a:avLst/>
            </a:prstGeom>
            <a:solidFill>
              <a:srgbClr val="FFFFCC"/>
            </a:solidFill>
            <a:ln w="9525">
              <a:solidFill>
                <a:srgbClr val="FFFFCC"/>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Terrain</a:t>
              </a:r>
              <a:r>
                <a:rPr lang="en-US" sz="1000" b="0" i="1" strike="noStrike">
                  <a:solidFill>
                    <a:srgbClr val="000000"/>
                  </a:solidFill>
                  <a:latin typeface="Arial"/>
                  <a:cs typeface="Arial"/>
                </a:rPr>
                <a:t> z</a:t>
              </a:r>
              <a:r>
                <a:rPr lang="en-US" sz="1000" b="0" i="0" strike="noStrike" baseline="-25000">
                  <a:solidFill>
                    <a:srgbClr val="000000"/>
                  </a:solidFill>
                  <a:latin typeface="Arial"/>
                  <a:cs typeface="Arial"/>
                </a:rPr>
                <a:t>0</a:t>
              </a:r>
            </a:p>
          </xdr:txBody>
        </xdr:sp>
        <xdr:sp macro="" textlink="">
          <xdr:nvSpPr>
            <xdr:cNvPr id="2088" name="Text 40">
              <a:extLst>
                <a:ext uri="{FF2B5EF4-FFF2-40B4-BE49-F238E27FC236}">
                  <a16:creationId xmlns:a16="http://schemas.microsoft.com/office/drawing/2014/main" id="{00000000-0008-0000-0300-000028080000}"/>
                </a:ext>
              </a:extLst>
            </xdr:cNvPr>
            <xdr:cNvSpPr txBox="1">
              <a:spLocks noChangeArrowheads="1"/>
            </xdr:cNvSpPr>
          </xdr:nvSpPr>
          <xdr:spPr bwMode="auto">
            <a:xfrm>
              <a:off x="569"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01</a:t>
              </a:r>
            </a:p>
          </xdr:txBody>
        </xdr:sp>
        <xdr:sp macro="" textlink="">
          <xdr:nvSpPr>
            <xdr:cNvPr id="2089" name="Text 41">
              <a:extLst>
                <a:ext uri="{FF2B5EF4-FFF2-40B4-BE49-F238E27FC236}">
                  <a16:creationId xmlns:a16="http://schemas.microsoft.com/office/drawing/2014/main" id="{00000000-0008-0000-0300-000029080000}"/>
                </a:ext>
              </a:extLst>
            </xdr:cNvPr>
            <xdr:cNvSpPr txBox="1">
              <a:spLocks noChangeArrowheads="1"/>
            </xdr:cNvSpPr>
          </xdr:nvSpPr>
          <xdr:spPr bwMode="auto">
            <a:xfrm>
              <a:off x="453"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02</a:t>
              </a:r>
            </a:p>
          </xdr:txBody>
        </xdr:sp>
        <xdr:sp macro="" textlink="">
          <xdr:nvSpPr>
            <xdr:cNvPr id="2093" name="Text 45">
              <a:extLst>
                <a:ext uri="{FF2B5EF4-FFF2-40B4-BE49-F238E27FC236}">
                  <a16:creationId xmlns:a16="http://schemas.microsoft.com/office/drawing/2014/main" id="{00000000-0008-0000-0300-00002D080000}"/>
                </a:ext>
              </a:extLst>
            </xdr:cNvPr>
            <xdr:cNvSpPr txBox="1">
              <a:spLocks noChangeArrowheads="1"/>
            </xdr:cNvSpPr>
          </xdr:nvSpPr>
          <xdr:spPr bwMode="auto">
            <a:xfrm>
              <a:off x="685" y="314"/>
              <a:ext cx="20" cy="14"/>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 </a:t>
              </a:r>
            </a:p>
          </xdr:txBody>
        </xdr:sp>
        <xdr:sp macro="" textlink="">
          <xdr:nvSpPr>
            <xdr:cNvPr id="2095" name="Text 47">
              <a:extLst>
                <a:ext uri="{FF2B5EF4-FFF2-40B4-BE49-F238E27FC236}">
                  <a16:creationId xmlns:a16="http://schemas.microsoft.com/office/drawing/2014/main" id="{00000000-0008-0000-0300-00002F080000}"/>
                </a:ext>
              </a:extLst>
            </xdr:cNvPr>
            <xdr:cNvSpPr txBox="1">
              <a:spLocks noChangeArrowheads="1"/>
            </xdr:cNvSpPr>
          </xdr:nvSpPr>
          <xdr:spPr bwMode="auto">
            <a:xfrm>
              <a:off x="562" y="312"/>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1</a:t>
              </a:r>
            </a:p>
          </xdr:txBody>
        </xdr:sp>
        <xdr:sp macro="" textlink="">
          <xdr:nvSpPr>
            <xdr:cNvPr id="2099" name="Text 51">
              <a:extLst>
                <a:ext uri="{FF2B5EF4-FFF2-40B4-BE49-F238E27FC236}">
                  <a16:creationId xmlns:a16="http://schemas.microsoft.com/office/drawing/2014/main" id="{00000000-0008-0000-0300-000033080000}"/>
                </a:ext>
              </a:extLst>
            </xdr:cNvPr>
            <xdr:cNvSpPr txBox="1">
              <a:spLocks noChangeArrowheads="1"/>
            </xdr:cNvSpPr>
          </xdr:nvSpPr>
          <xdr:spPr bwMode="auto">
            <a:xfrm>
              <a:off x="461" y="313"/>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2</a:t>
              </a:r>
            </a:p>
          </xdr:txBody>
        </xdr:sp>
        <xdr:sp macro="" textlink="">
          <xdr:nvSpPr>
            <xdr:cNvPr id="2102" name="Text 54">
              <a:extLst>
                <a:ext uri="{FF2B5EF4-FFF2-40B4-BE49-F238E27FC236}">
                  <a16:creationId xmlns:a16="http://schemas.microsoft.com/office/drawing/2014/main" id="{00000000-0008-0000-0300-000036080000}"/>
                </a:ext>
              </a:extLst>
            </xdr:cNvPr>
            <xdr:cNvSpPr txBox="1">
              <a:spLocks noChangeArrowheads="1"/>
            </xdr:cNvSpPr>
          </xdr:nvSpPr>
          <xdr:spPr bwMode="auto">
            <a:xfrm>
              <a:off x="296" y="310"/>
              <a:ext cx="64" cy="18"/>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900" b="0" i="1" strike="noStrike">
                  <a:solidFill>
                    <a:srgbClr val="000000"/>
                  </a:solidFill>
                  <a:latin typeface="Arial"/>
                  <a:cs typeface="Arial"/>
                </a:rPr>
                <a:t>x</a:t>
              </a:r>
              <a:r>
                <a:rPr lang="en-US" sz="1000" b="0" i="0" strike="noStrike" baseline="-25000">
                  <a:solidFill>
                    <a:srgbClr val="000000"/>
                  </a:solidFill>
                  <a:latin typeface="Arial"/>
                  <a:cs typeface="Arial"/>
                </a:rPr>
                <a:t>3</a:t>
              </a:r>
              <a:r>
                <a:rPr lang="en-US" sz="900" b="0" i="0" strike="noStrike">
                  <a:solidFill>
                    <a:srgbClr val="000000"/>
                  </a:solidFill>
                  <a:latin typeface="Arial"/>
                  <a:cs typeface="Arial"/>
                </a:rPr>
                <a:t> &gt; 50km</a:t>
              </a:r>
            </a:p>
          </xdr:txBody>
        </xdr:sp>
        <xdr:sp macro="" textlink="">
          <xdr:nvSpPr>
            <xdr:cNvPr id="2077238" name="Line 55">
              <a:extLst>
                <a:ext uri="{FF2B5EF4-FFF2-40B4-BE49-F238E27FC236}">
                  <a16:creationId xmlns:a16="http://schemas.microsoft.com/office/drawing/2014/main" id="{00000000-0008-0000-0300-000036B21F00}"/>
                </a:ext>
              </a:extLst>
            </xdr:cNvPr>
            <xdr:cNvSpPr>
              <a:spLocks noChangeShapeType="1"/>
            </xdr:cNvSpPr>
          </xdr:nvSpPr>
          <xdr:spPr bwMode="auto">
            <a:xfrm>
              <a:off x="320" y="276"/>
              <a:ext cx="51" cy="0"/>
            </a:xfrm>
            <a:prstGeom prst="line">
              <a:avLst/>
            </a:prstGeom>
            <a:noFill/>
            <a:ln w="9525">
              <a:solidFill>
                <a:srgbClr val="000000"/>
              </a:solidFill>
              <a:round/>
              <a:headEnd/>
              <a:tailEnd type="triangle" w="sm" len="med"/>
            </a:ln>
          </xdr:spPr>
        </xdr:sp>
        <xdr:sp macro="" textlink="">
          <xdr:nvSpPr>
            <xdr:cNvPr id="2104" name="Text 56">
              <a:extLst>
                <a:ext uri="{FF2B5EF4-FFF2-40B4-BE49-F238E27FC236}">
                  <a16:creationId xmlns:a16="http://schemas.microsoft.com/office/drawing/2014/main" id="{00000000-0008-0000-0300-000038080000}"/>
                </a:ext>
              </a:extLst>
            </xdr:cNvPr>
            <xdr:cNvSpPr txBox="1">
              <a:spLocks noChangeArrowheads="1"/>
            </xdr:cNvSpPr>
          </xdr:nvSpPr>
          <xdr:spPr bwMode="auto">
            <a:xfrm>
              <a:off x="301" y="268"/>
              <a:ext cx="17" cy="21"/>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2209" name="Text Box 161">
              <a:extLst>
                <a:ext uri="{FF2B5EF4-FFF2-40B4-BE49-F238E27FC236}">
                  <a16:creationId xmlns:a16="http://schemas.microsoft.com/office/drawing/2014/main" id="{00000000-0008-0000-0300-0000A1080000}"/>
                </a:ext>
              </a:extLst>
            </xdr:cNvPr>
            <xdr:cNvSpPr txBox="1">
              <a:spLocks noChangeArrowheads="1"/>
            </xdr:cNvSpPr>
          </xdr:nvSpPr>
          <xdr:spPr bwMode="auto">
            <a:xfrm>
              <a:off x="406" y="262"/>
              <a:ext cx="297" cy="18"/>
            </a:xfrm>
            <a:prstGeom prst="rect">
              <a:avLst/>
            </a:prstGeom>
            <a:solidFill>
              <a:srgbClr val="FF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Example showing terrain with 3 changes in roughness: n=3</a:t>
              </a:r>
            </a:p>
          </xdr:txBody>
        </xdr:sp>
        <xdr:grpSp>
          <xdr:nvGrpSpPr>
            <xdr:cNvPr id="2077241" name="Group 168">
              <a:extLst>
                <a:ext uri="{FF2B5EF4-FFF2-40B4-BE49-F238E27FC236}">
                  <a16:creationId xmlns:a16="http://schemas.microsoft.com/office/drawing/2014/main" id="{00000000-0008-0000-0300-000039B21F00}"/>
                </a:ext>
              </a:extLst>
            </xdr:cNvPr>
            <xdr:cNvGrpSpPr>
              <a:grpSpLocks/>
            </xdr:cNvGrpSpPr>
          </xdr:nvGrpSpPr>
          <xdr:grpSpPr bwMode="auto">
            <a:xfrm>
              <a:off x="298" y="275"/>
              <a:ext cx="494" cy="51"/>
              <a:chOff x="298" y="275"/>
              <a:chExt cx="494" cy="51"/>
            </a:xfrm>
          </xdr:grpSpPr>
          <xdr:grpSp>
            <xdr:nvGrpSpPr>
              <xdr:cNvPr id="2077242" name="Group 134">
                <a:extLst>
                  <a:ext uri="{FF2B5EF4-FFF2-40B4-BE49-F238E27FC236}">
                    <a16:creationId xmlns:a16="http://schemas.microsoft.com/office/drawing/2014/main" id="{00000000-0008-0000-0300-00003AB21F00}"/>
                  </a:ext>
                </a:extLst>
              </xdr:cNvPr>
              <xdr:cNvGrpSpPr>
                <a:grpSpLocks/>
              </xdr:cNvGrpSpPr>
            </xdr:nvGrpSpPr>
            <xdr:grpSpPr bwMode="auto">
              <a:xfrm>
                <a:off x="298" y="275"/>
                <a:ext cx="494" cy="51"/>
                <a:chOff x="298" y="272"/>
                <a:chExt cx="494" cy="51"/>
              </a:xfrm>
            </xdr:grpSpPr>
            <xdr:sp macro="" textlink="">
              <xdr:nvSpPr>
                <xdr:cNvPr id="2077246" name="Line 37">
                  <a:extLst>
                    <a:ext uri="{FF2B5EF4-FFF2-40B4-BE49-F238E27FC236}">
                      <a16:creationId xmlns:a16="http://schemas.microsoft.com/office/drawing/2014/main" id="{00000000-0008-0000-0300-00003EB21F00}"/>
                    </a:ext>
                  </a:extLst>
                </xdr:cNvPr>
                <xdr:cNvSpPr>
                  <a:spLocks noChangeShapeType="1"/>
                </xdr:cNvSpPr>
              </xdr:nvSpPr>
              <xdr:spPr bwMode="auto">
                <a:xfrm>
                  <a:off x="750" y="272"/>
                  <a:ext cx="0" cy="29"/>
                </a:xfrm>
                <a:prstGeom prst="line">
                  <a:avLst/>
                </a:prstGeom>
                <a:noFill/>
                <a:ln w="9525">
                  <a:solidFill>
                    <a:srgbClr val="000000"/>
                  </a:solidFill>
                  <a:round/>
                  <a:headEnd/>
                  <a:tailEnd/>
                </a:ln>
              </xdr:spPr>
            </xdr:sp>
            <xdr:sp macro="" textlink="">
              <xdr:nvSpPr>
                <xdr:cNvPr id="2077247" name="Line 42">
                  <a:extLst>
                    <a:ext uri="{FF2B5EF4-FFF2-40B4-BE49-F238E27FC236}">
                      <a16:creationId xmlns:a16="http://schemas.microsoft.com/office/drawing/2014/main" id="{00000000-0008-0000-0300-00003FB21F00}"/>
                    </a:ext>
                  </a:extLst>
                </xdr:cNvPr>
                <xdr:cNvSpPr>
                  <a:spLocks noChangeShapeType="1"/>
                </xdr:cNvSpPr>
              </xdr:nvSpPr>
              <xdr:spPr bwMode="auto">
                <a:xfrm>
                  <a:off x="750" y="304"/>
                  <a:ext cx="0" cy="19"/>
                </a:xfrm>
                <a:prstGeom prst="line">
                  <a:avLst/>
                </a:prstGeom>
                <a:noFill/>
                <a:ln w="9525">
                  <a:solidFill>
                    <a:srgbClr val="000000"/>
                  </a:solidFill>
                  <a:round/>
                  <a:headEnd/>
                  <a:tailEnd/>
                </a:ln>
              </xdr:spPr>
            </xdr:sp>
            <xdr:grpSp>
              <xdr:nvGrpSpPr>
                <xdr:cNvPr id="2077248" name="Group 32">
                  <a:extLst>
                    <a:ext uri="{FF2B5EF4-FFF2-40B4-BE49-F238E27FC236}">
                      <a16:creationId xmlns:a16="http://schemas.microsoft.com/office/drawing/2014/main" id="{00000000-0008-0000-0300-000040B21F00}"/>
                    </a:ext>
                  </a:extLst>
                </xdr:cNvPr>
                <xdr:cNvGrpSpPr>
                  <a:grpSpLocks/>
                </xdr:cNvGrpSpPr>
              </xdr:nvGrpSpPr>
              <xdr:grpSpPr bwMode="auto">
                <a:xfrm>
                  <a:off x="413" y="303"/>
                  <a:ext cx="379" cy="0"/>
                  <a:chOff x="-191" y="-26502"/>
                  <a:chExt cx="19708" cy="0"/>
                </a:xfrm>
              </xdr:grpSpPr>
              <xdr:sp macro="" textlink="">
                <xdr:nvSpPr>
                  <xdr:cNvPr id="2077253" name="Line 33">
                    <a:extLst>
                      <a:ext uri="{FF2B5EF4-FFF2-40B4-BE49-F238E27FC236}">
                        <a16:creationId xmlns:a16="http://schemas.microsoft.com/office/drawing/2014/main" id="{00000000-0008-0000-0300-000045B21F00}"/>
                      </a:ext>
                    </a:extLst>
                  </xdr:cNvPr>
                  <xdr:cNvSpPr>
                    <a:spLocks noChangeShapeType="1"/>
                  </xdr:cNvSpPr>
                </xdr:nvSpPr>
                <xdr:spPr bwMode="auto">
                  <a:xfrm>
                    <a:off x="-191" y="-26502"/>
                    <a:ext cx="5876" cy="0"/>
                  </a:xfrm>
                  <a:prstGeom prst="line">
                    <a:avLst/>
                  </a:prstGeom>
                  <a:noFill/>
                  <a:ln w="24765">
                    <a:solidFill>
                      <a:srgbClr val="339966"/>
                    </a:solidFill>
                    <a:round/>
                    <a:headEnd/>
                    <a:tailEnd/>
                  </a:ln>
                </xdr:spPr>
              </xdr:sp>
              <xdr:sp macro="" textlink="">
                <xdr:nvSpPr>
                  <xdr:cNvPr id="2077254" name="Line 34">
                    <a:extLst>
                      <a:ext uri="{FF2B5EF4-FFF2-40B4-BE49-F238E27FC236}">
                        <a16:creationId xmlns:a16="http://schemas.microsoft.com/office/drawing/2014/main" id="{00000000-0008-0000-0300-000046B21F00}"/>
                      </a:ext>
                    </a:extLst>
                  </xdr:cNvPr>
                  <xdr:cNvSpPr>
                    <a:spLocks noChangeShapeType="1"/>
                  </xdr:cNvSpPr>
                </xdr:nvSpPr>
                <xdr:spPr bwMode="auto">
                  <a:xfrm>
                    <a:off x="5737" y="-26502"/>
                    <a:ext cx="5564" cy="0"/>
                  </a:xfrm>
                  <a:prstGeom prst="line">
                    <a:avLst/>
                  </a:prstGeom>
                  <a:noFill/>
                  <a:ln w="9525">
                    <a:solidFill>
                      <a:srgbClr val="339966"/>
                    </a:solidFill>
                    <a:round/>
                    <a:headEnd/>
                    <a:tailEnd/>
                  </a:ln>
                </xdr:spPr>
              </xdr:sp>
              <xdr:sp macro="" textlink="">
                <xdr:nvSpPr>
                  <xdr:cNvPr id="2077255" name="Line 35">
                    <a:extLst>
                      <a:ext uri="{FF2B5EF4-FFF2-40B4-BE49-F238E27FC236}">
                        <a16:creationId xmlns:a16="http://schemas.microsoft.com/office/drawing/2014/main" id="{00000000-0008-0000-0300-000047B21F00}"/>
                      </a:ext>
                    </a:extLst>
                  </xdr:cNvPr>
                  <xdr:cNvSpPr>
                    <a:spLocks noChangeShapeType="1"/>
                  </xdr:cNvSpPr>
                </xdr:nvSpPr>
                <xdr:spPr bwMode="auto">
                  <a:xfrm>
                    <a:off x="11301" y="-26502"/>
                    <a:ext cx="8216" cy="0"/>
                  </a:xfrm>
                  <a:prstGeom prst="line">
                    <a:avLst/>
                  </a:prstGeom>
                  <a:noFill/>
                  <a:ln w="24765">
                    <a:solidFill>
                      <a:srgbClr val="339966"/>
                    </a:solidFill>
                    <a:round/>
                    <a:headEnd/>
                    <a:tailEnd/>
                  </a:ln>
                </xdr:spPr>
              </xdr:sp>
            </xdr:grpSp>
            <xdr:sp macro="" textlink="">
              <xdr:nvSpPr>
                <xdr:cNvPr id="2077249" name="Line 46">
                  <a:extLst>
                    <a:ext uri="{FF2B5EF4-FFF2-40B4-BE49-F238E27FC236}">
                      <a16:creationId xmlns:a16="http://schemas.microsoft.com/office/drawing/2014/main" id="{00000000-0008-0000-0300-000041B21F00}"/>
                    </a:ext>
                  </a:extLst>
                </xdr:cNvPr>
                <xdr:cNvSpPr>
                  <a:spLocks noChangeShapeType="1"/>
                </xdr:cNvSpPr>
              </xdr:nvSpPr>
              <xdr:spPr bwMode="auto">
                <a:xfrm>
                  <a:off x="635" y="313"/>
                  <a:ext cx="115" cy="0"/>
                </a:xfrm>
                <a:prstGeom prst="line">
                  <a:avLst/>
                </a:prstGeom>
                <a:noFill/>
                <a:ln w="9525">
                  <a:solidFill>
                    <a:srgbClr val="000000"/>
                  </a:solidFill>
                  <a:round/>
                  <a:headEnd type="triangle" w="sm" len="med"/>
                  <a:tailEnd type="triangle" w="sm" len="med"/>
                </a:ln>
              </xdr:spPr>
            </xdr:sp>
            <xdr:sp macro="" textlink="">
              <xdr:nvSpPr>
                <xdr:cNvPr id="2077250" name="Line 48">
                  <a:extLst>
                    <a:ext uri="{FF2B5EF4-FFF2-40B4-BE49-F238E27FC236}">
                      <a16:creationId xmlns:a16="http://schemas.microsoft.com/office/drawing/2014/main" id="{00000000-0008-0000-0300-000042B21F00}"/>
                    </a:ext>
                  </a:extLst>
                </xdr:cNvPr>
                <xdr:cNvSpPr>
                  <a:spLocks noChangeShapeType="1"/>
                </xdr:cNvSpPr>
              </xdr:nvSpPr>
              <xdr:spPr bwMode="auto">
                <a:xfrm>
                  <a:off x="524" y="313"/>
                  <a:ext cx="109" cy="0"/>
                </a:xfrm>
                <a:prstGeom prst="line">
                  <a:avLst/>
                </a:prstGeom>
                <a:noFill/>
                <a:ln w="9525">
                  <a:solidFill>
                    <a:srgbClr val="000000"/>
                  </a:solidFill>
                  <a:round/>
                  <a:headEnd type="triangle" w="sm" len="med"/>
                  <a:tailEnd type="triangle" w="sm" len="med"/>
                </a:ln>
              </xdr:spPr>
            </xdr:sp>
            <xdr:sp macro="" textlink="">
              <xdr:nvSpPr>
                <xdr:cNvPr id="2077251" name="Line 49">
                  <a:extLst>
                    <a:ext uri="{FF2B5EF4-FFF2-40B4-BE49-F238E27FC236}">
                      <a16:creationId xmlns:a16="http://schemas.microsoft.com/office/drawing/2014/main" id="{00000000-0008-0000-0300-000043B21F00}"/>
                    </a:ext>
                  </a:extLst>
                </xdr:cNvPr>
                <xdr:cNvSpPr>
                  <a:spLocks noChangeShapeType="1"/>
                </xdr:cNvSpPr>
              </xdr:nvSpPr>
              <xdr:spPr bwMode="auto">
                <a:xfrm flipH="1">
                  <a:off x="298" y="304"/>
                  <a:ext cx="118" cy="0"/>
                </a:xfrm>
                <a:prstGeom prst="line">
                  <a:avLst/>
                </a:prstGeom>
                <a:noFill/>
                <a:ln w="9525">
                  <a:solidFill>
                    <a:srgbClr val="339966"/>
                  </a:solidFill>
                  <a:prstDash val="dash"/>
                  <a:round/>
                  <a:headEnd/>
                  <a:tailEnd/>
                </a:ln>
              </xdr:spPr>
            </xdr:sp>
            <xdr:sp macro="" textlink="">
              <xdr:nvSpPr>
                <xdr:cNvPr id="2077252" name="Line 52">
                  <a:extLst>
                    <a:ext uri="{FF2B5EF4-FFF2-40B4-BE49-F238E27FC236}">
                      <a16:creationId xmlns:a16="http://schemas.microsoft.com/office/drawing/2014/main" id="{00000000-0008-0000-0300-000044B21F00}"/>
                    </a:ext>
                  </a:extLst>
                </xdr:cNvPr>
                <xdr:cNvSpPr>
                  <a:spLocks noChangeShapeType="1"/>
                </xdr:cNvSpPr>
              </xdr:nvSpPr>
              <xdr:spPr bwMode="auto">
                <a:xfrm>
                  <a:off x="412" y="313"/>
                  <a:ext cx="112" cy="0"/>
                </a:xfrm>
                <a:prstGeom prst="line">
                  <a:avLst/>
                </a:prstGeom>
                <a:noFill/>
                <a:ln w="9525">
                  <a:solidFill>
                    <a:srgbClr val="000000"/>
                  </a:solidFill>
                  <a:round/>
                  <a:headEnd type="triangle" w="sm" len="med"/>
                  <a:tailEnd type="triangle" w="sm" len="med"/>
                </a:ln>
              </xdr:spPr>
            </xdr:sp>
          </xdr:grpSp>
          <xdr:sp macro="" textlink="">
            <xdr:nvSpPr>
              <xdr:cNvPr id="2077243" name="Line 43">
                <a:extLst>
                  <a:ext uri="{FF2B5EF4-FFF2-40B4-BE49-F238E27FC236}">
                    <a16:creationId xmlns:a16="http://schemas.microsoft.com/office/drawing/2014/main" id="{00000000-0008-0000-0300-00003BB21F00}"/>
                  </a:ext>
                </a:extLst>
              </xdr:cNvPr>
              <xdr:cNvSpPr>
                <a:spLocks noChangeShapeType="1"/>
              </xdr:cNvSpPr>
            </xdr:nvSpPr>
            <xdr:spPr bwMode="auto">
              <a:xfrm>
                <a:off x="634" y="295"/>
                <a:ext cx="0" cy="19"/>
              </a:xfrm>
              <a:prstGeom prst="line">
                <a:avLst/>
              </a:prstGeom>
              <a:noFill/>
              <a:ln w="9525">
                <a:solidFill>
                  <a:srgbClr val="000000"/>
                </a:solidFill>
                <a:round/>
                <a:headEnd/>
                <a:tailEnd/>
              </a:ln>
            </xdr:spPr>
          </xdr:sp>
          <xdr:sp macro="" textlink="">
            <xdr:nvSpPr>
              <xdr:cNvPr id="2077244" name="Line 44">
                <a:extLst>
                  <a:ext uri="{FF2B5EF4-FFF2-40B4-BE49-F238E27FC236}">
                    <a16:creationId xmlns:a16="http://schemas.microsoft.com/office/drawing/2014/main" id="{00000000-0008-0000-0300-00003CB21F00}"/>
                  </a:ext>
                </a:extLst>
              </xdr:cNvPr>
              <xdr:cNvSpPr>
                <a:spLocks noChangeShapeType="1"/>
              </xdr:cNvSpPr>
            </xdr:nvSpPr>
            <xdr:spPr bwMode="auto">
              <a:xfrm>
                <a:off x="525" y="296"/>
                <a:ext cx="0" cy="19"/>
              </a:xfrm>
              <a:prstGeom prst="line">
                <a:avLst/>
              </a:prstGeom>
              <a:noFill/>
              <a:ln w="9525">
                <a:solidFill>
                  <a:srgbClr val="000000"/>
                </a:solidFill>
                <a:round/>
                <a:headEnd/>
                <a:tailEnd/>
              </a:ln>
            </xdr:spPr>
          </xdr:sp>
          <xdr:sp macro="" textlink="">
            <xdr:nvSpPr>
              <xdr:cNvPr id="2077245" name="Line 50">
                <a:extLst>
                  <a:ext uri="{FF2B5EF4-FFF2-40B4-BE49-F238E27FC236}">
                    <a16:creationId xmlns:a16="http://schemas.microsoft.com/office/drawing/2014/main" id="{00000000-0008-0000-0300-00003DB21F00}"/>
                  </a:ext>
                </a:extLst>
              </xdr:cNvPr>
              <xdr:cNvSpPr>
                <a:spLocks noChangeShapeType="1"/>
              </xdr:cNvSpPr>
            </xdr:nvSpPr>
            <xdr:spPr bwMode="auto">
              <a:xfrm>
                <a:off x="413" y="296"/>
                <a:ext cx="0" cy="19"/>
              </a:xfrm>
              <a:prstGeom prst="line">
                <a:avLst/>
              </a:prstGeom>
              <a:noFill/>
              <a:ln w="9525">
                <a:solidFill>
                  <a:srgbClr val="000000"/>
                </a:solidFill>
                <a:round/>
                <a:headEnd/>
                <a:tailEnd/>
              </a:ln>
            </xdr:spPr>
          </xdr:sp>
        </xdr:grpSp>
      </xdr:grpSp>
      <xdr:sp macro="" textlink="">
        <xdr:nvSpPr>
          <xdr:cNvPr id="2101" name="Text 53">
            <a:extLst>
              <a:ext uri="{FF2B5EF4-FFF2-40B4-BE49-F238E27FC236}">
                <a16:creationId xmlns:a16="http://schemas.microsoft.com/office/drawing/2014/main" id="{00000000-0008-0000-0300-000035080000}"/>
              </a:ext>
            </a:extLst>
          </xdr:cNvPr>
          <xdr:cNvSpPr txBox="1">
            <a:spLocks noChangeArrowheads="1"/>
          </xdr:cNvSpPr>
        </xdr:nvSpPr>
        <xdr:spPr bwMode="auto">
          <a:xfrm>
            <a:off x="334" y="283"/>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03</a:t>
            </a:r>
          </a:p>
        </xdr:txBody>
      </xdr:sp>
    </xdr:grpSp>
    <xdr:clientData/>
  </xdr:twoCellAnchor>
  <xdr:twoCellAnchor>
    <xdr:from>
      <xdr:col>0</xdr:col>
      <xdr:colOff>7620</xdr:colOff>
      <xdr:row>1</xdr:row>
      <xdr:rowOff>91440</xdr:rowOff>
    </xdr:from>
    <xdr:to>
      <xdr:col>1</xdr:col>
      <xdr:colOff>22860</xdr:colOff>
      <xdr:row>6</xdr:row>
      <xdr:rowOff>91440</xdr:rowOff>
    </xdr:to>
    <xdr:sp macro="" textlink="">
      <xdr:nvSpPr>
        <xdr:cNvPr id="2219" name="Text Box 171">
          <a:extLst>
            <a:ext uri="{FF2B5EF4-FFF2-40B4-BE49-F238E27FC236}">
              <a16:creationId xmlns:a16="http://schemas.microsoft.com/office/drawing/2014/main" id="{00000000-0008-0000-0300-0000AB080000}"/>
            </a:ext>
          </a:extLst>
        </xdr:cNvPr>
        <xdr:cNvSpPr txBox="1">
          <a:spLocks noChangeArrowheads="1"/>
        </xdr:cNvSpPr>
      </xdr:nvSpPr>
      <xdr:spPr bwMode="auto">
        <a:xfrm>
          <a:off x="7620" y="259080"/>
          <a:ext cx="1089660" cy="868680"/>
        </a:xfrm>
        <a:prstGeom prst="rect">
          <a:avLst/>
        </a:prstGeom>
        <a:solidFill>
          <a:srgbClr val="FFFFCC"/>
        </a:solidFill>
        <a:ln w="9525">
          <a:solidFill>
            <a:srgbClr val="000000"/>
          </a:solid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To calculate spectral densities (S</a:t>
          </a:r>
          <a:r>
            <a:rPr lang="en-US" sz="1000" b="0" i="0" strike="noStrike" baseline="-25000">
              <a:solidFill>
                <a:srgbClr val="000000"/>
              </a:solidFill>
              <a:latin typeface="Arial"/>
              <a:cs typeface="Arial"/>
            </a:rPr>
            <a:t>uu</a:t>
          </a:r>
          <a:r>
            <a:rPr lang="en-US" sz="800" b="0" i="0" strike="noStrike">
              <a:solidFill>
                <a:srgbClr val="000000"/>
              </a:solidFill>
              <a:latin typeface="Arial"/>
              <a:cs typeface="Arial"/>
            </a:rPr>
            <a:t> etc), enter frequencies on Worksheet  'Spectral densities'.</a:t>
          </a:r>
        </a:p>
      </xdr:txBody>
    </xdr:sp>
    <xdr:clientData/>
  </xdr:twoCellAnchor>
  <xdr:twoCellAnchor>
    <xdr:from>
      <xdr:col>2</xdr:col>
      <xdr:colOff>28575</xdr:colOff>
      <xdr:row>14</xdr:row>
      <xdr:rowOff>104775</xdr:rowOff>
    </xdr:from>
    <xdr:to>
      <xdr:col>10</xdr:col>
      <xdr:colOff>0</xdr:colOff>
      <xdr:row>19</xdr:row>
      <xdr:rowOff>66675</xdr:rowOff>
    </xdr:to>
    <xdr:grpSp>
      <xdr:nvGrpSpPr>
        <xdr:cNvPr id="2077197" name="Group 183">
          <a:extLst>
            <a:ext uri="{FF2B5EF4-FFF2-40B4-BE49-F238E27FC236}">
              <a16:creationId xmlns:a16="http://schemas.microsoft.com/office/drawing/2014/main" id="{00000000-0008-0000-0300-00000DB21F00}"/>
            </a:ext>
          </a:extLst>
        </xdr:cNvPr>
        <xdr:cNvGrpSpPr>
          <a:grpSpLocks/>
        </xdr:cNvGrpSpPr>
      </xdr:nvGrpSpPr>
      <xdr:grpSpPr bwMode="auto">
        <a:xfrm>
          <a:off x="2876550" y="2428875"/>
          <a:ext cx="4848225" cy="771525"/>
          <a:chOff x="291" y="255"/>
          <a:chExt cx="509" cy="81"/>
        </a:xfrm>
      </xdr:grpSpPr>
      <xdr:grpSp>
        <xdr:nvGrpSpPr>
          <xdr:cNvPr id="2077198" name="Group 184">
            <a:extLst>
              <a:ext uri="{FF2B5EF4-FFF2-40B4-BE49-F238E27FC236}">
                <a16:creationId xmlns:a16="http://schemas.microsoft.com/office/drawing/2014/main" id="{00000000-0008-0000-0300-00000EB21F00}"/>
              </a:ext>
            </a:extLst>
          </xdr:cNvPr>
          <xdr:cNvGrpSpPr>
            <a:grpSpLocks/>
          </xdr:cNvGrpSpPr>
        </xdr:nvGrpSpPr>
        <xdr:grpSpPr bwMode="auto">
          <a:xfrm>
            <a:off x="291" y="255"/>
            <a:ext cx="509" cy="81"/>
            <a:chOff x="291" y="255"/>
            <a:chExt cx="509" cy="81"/>
          </a:xfrm>
        </xdr:grpSpPr>
        <xdr:sp macro="" textlink="">
          <xdr:nvSpPr>
            <xdr:cNvPr id="2077200" name="Rectangle 185">
              <a:extLst>
                <a:ext uri="{FF2B5EF4-FFF2-40B4-BE49-F238E27FC236}">
                  <a16:creationId xmlns:a16="http://schemas.microsoft.com/office/drawing/2014/main" id="{00000000-0008-0000-0300-000010B21F00}"/>
                </a:ext>
              </a:extLst>
            </xdr:cNvPr>
            <xdr:cNvSpPr>
              <a:spLocks noChangeArrowheads="1"/>
            </xdr:cNvSpPr>
          </xdr:nvSpPr>
          <xdr:spPr bwMode="auto">
            <a:xfrm>
              <a:off x="291" y="255"/>
              <a:ext cx="509" cy="81"/>
            </a:xfrm>
            <a:prstGeom prst="rect">
              <a:avLst/>
            </a:prstGeom>
            <a:solidFill>
              <a:srgbClr val="FFFFCC"/>
            </a:solidFill>
            <a:ln w="9525">
              <a:solidFill>
                <a:srgbClr val="000000"/>
              </a:solidFill>
              <a:miter lim="800000"/>
              <a:headEnd/>
              <a:tailEnd/>
            </a:ln>
          </xdr:spPr>
        </xdr:sp>
        <xdr:sp macro="" textlink="">
          <xdr:nvSpPr>
            <xdr:cNvPr id="2234" name="Text 38">
              <a:extLst>
                <a:ext uri="{FF2B5EF4-FFF2-40B4-BE49-F238E27FC236}">
                  <a16:creationId xmlns:a16="http://schemas.microsoft.com/office/drawing/2014/main" id="{00000000-0008-0000-0300-0000BA080000}"/>
                </a:ext>
              </a:extLst>
            </xdr:cNvPr>
            <xdr:cNvSpPr txBox="1">
              <a:spLocks noChangeArrowheads="1"/>
            </xdr:cNvSpPr>
          </xdr:nvSpPr>
          <xdr:spPr bwMode="auto">
            <a:xfrm>
              <a:off x="718" y="259"/>
              <a:ext cx="59" cy="1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Target Site</a:t>
              </a:r>
            </a:p>
          </xdr:txBody>
        </xdr:sp>
        <xdr:sp macro="" textlink="">
          <xdr:nvSpPr>
            <xdr:cNvPr id="2235" name="Text 39">
              <a:extLst>
                <a:ext uri="{FF2B5EF4-FFF2-40B4-BE49-F238E27FC236}">
                  <a16:creationId xmlns:a16="http://schemas.microsoft.com/office/drawing/2014/main" id="{00000000-0008-0000-0300-0000BB080000}"/>
                </a:ext>
              </a:extLst>
            </xdr:cNvPr>
            <xdr:cNvSpPr txBox="1">
              <a:spLocks noChangeArrowheads="1"/>
            </xdr:cNvSpPr>
          </xdr:nvSpPr>
          <xdr:spPr bwMode="auto">
            <a:xfrm>
              <a:off x="657" y="284"/>
              <a:ext cx="74" cy="18"/>
            </a:xfrm>
            <a:prstGeom prst="rect">
              <a:avLst/>
            </a:prstGeom>
            <a:solidFill>
              <a:srgbClr val="FFFFCC"/>
            </a:solidFill>
            <a:ln w="9525">
              <a:solidFill>
                <a:srgbClr val="FFFFCC"/>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Terrain</a:t>
              </a:r>
              <a:r>
                <a:rPr lang="en-US" sz="1000" b="0" i="1" strike="noStrike">
                  <a:solidFill>
                    <a:srgbClr val="000000"/>
                  </a:solidFill>
                  <a:latin typeface="Arial"/>
                  <a:cs typeface="Arial"/>
                </a:rPr>
                <a:t> z</a:t>
              </a:r>
              <a:r>
                <a:rPr lang="en-US" sz="1000" b="0" i="0" strike="noStrike" baseline="-25000">
                  <a:solidFill>
                    <a:srgbClr val="000000"/>
                  </a:solidFill>
                  <a:latin typeface="Arial"/>
                  <a:cs typeface="Arial"/>
                </a:rPr>
                <a:t>0</a:t>
              </a:r>
            </a:p>
          </xdr:txBody>
        </xdr:sp>
        <xdr:sp macro="" textlink="">
          <xdr:nvSpPr>
            <xdr:cNvPr id="2236" name="Text 40">
              <a:extLst>
                <a:ext uri="{FF2B5EF4-FFF2-40B4-BE49-F238E27FC236}">
                  <a16:creationId xmlns:a16="http://schemas.microsoft.com/office/drawing/2014/main" id="{00000000-0008-0000-0300-0000BC080000}"/>
                </a:ext>
              </a:extLst>
            </xdr:cNvPr>
            <xdr:cNvSpPr txBox="1">
              <a:spLocks noChangeArrowheads="1"/>
            </xdr:cNvSpPr>
          </xdr:nvSpPr>
          <xdr:spPr bwMode="auto">
            <a:xfrm>
              <a:off x="569"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01</a:t>
              </a:r>
            </a:p>
          </xdr:txBody>
        </xdr:sp>
        <xdr:sp macro="" textlink="">
          <xdr:nvSpPr>
            <xdr:cNvPr id="2237" name="Text 41">
              <a:extLst>
                <a:ext uri="{FF2B5EF4-FFF2-40B4-BE49-F238E27FC236}">
                  <a16:creationId xmlns:a16="http://schemas.microsoft.com/office/drawing/2014/main" id="{00000000-0008-0000-0300-0000BD080000}"/>
                </a:ext>
              </a:extLst>
            </xdr:cNvPr>
            <xdr:cNvSpPr txBox="1">
              <a:spLocks noChangeArrowheads="1"/>
            </xdr:cNvSpPr>
          </xdr:nvSpPr>
          <xdr:spPr bwMode="auto">
            <a:xfrm>
              <a:off x="453"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02</a:t>
              </a:r>
            </a:p>
          </xdr:txBody>
        </xdr:sp>
        <xdr:sp macro="" textlink="">
          <xdr:nvSpPr>
            <xdr:cNvPr id="2238" name="Text 45">
              <a:extLst>
                <a:ext uri="{FF2B5EF4-FFF2-40B4-BE49-F238E27FC236}">
                  <a16:creationId xmlns:a16="http://schemas.microsoft.com/office/drawing/2014/main" id="{00000000-0008-0000-0300-0000BE080000}"/>
                </a:ext>
              </a:extLst>
            </xdr:cNvPr>
            <xdr:cNvSpPr txBox="1">
              <a:spLocks noChangeArrowheads="1"/>
            </xdr:cNvSpPr>
          </xdr:nvSpPr>
          <xdr:spPr bwMode="auto">
            <a:xfrm>
              <a:off x="685" y="314"/>
              <a:ext cx="20" cy="14"/>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 </a:t>
              </a:r>
            </a:p>
          </xdr:txBody>
        </xdr:sp>
        <xdr:sp macro="" textlink="">
          <xdr:nvSpPr>
            <xdr:cNvPr id="2239" name="Text 47">
              <a:extLst>
                <a:ext uri="{FF2B5EF4-FFF2-40B4-BE49-F238E27FC236}">
                  <a16:creationId xmlns:a16="http://schemas.microsoft.com/office/drawing/2014/main" id="{00000000-0008-0000-0300-0000BF080000}"/>
                </a:ext>
              </a:extLst>
            </xdr:cNvPr>
            <xdr:cNvSpPr txBox="1">
              <a:spLocks noChangeArrowheads="1"/>
            </xdr:cNvSpPr>
          </xdr:nvSpPr>
          <xdr:spPr bwMode="auto">
            <a:xfrm>
              <a:off x="562" y="312"/>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1</a:t>
              </a:r>
            </a:p>
          </xdr:txBody>
        </xdr:sp>
        <xdr:sp macro="" textlink="">
          <xdr:nvSpPr>
            <xdr:cNvPr id="2240" name="Text 51">
              <a:extLst>
                <a:ext uri="{FF2B5EF4-FFF2-40B4-BE49-F238E27FC236}">
                  <a16:creationId xmlns:a16="http://schemas.microsoft.com/office/drawing/2014/main" id="{00000000-0008-0000-0300-0000C0080000}"/>
                </a:ext>
              </a:extLst>
            </xdr:cNvPr>
            <xdr:cNvSpPr txBox="1">
              <a:spLocks noChangeArrowheads="1"/>
            </xdr:cNvSpPr>
          </xdr:nvSpPr>
          <xdr:spPr bwMode="auto">
            <a:xfrm>
              <a:off x="461" y="313"/>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2</a:t>
              </a:r>
            </a:p>
          </xdr:txBody>
        </xdr:sp>
        <xdr:sp macro="" textlink="">
          <xdr:nvSpPr>
            <xdr:cNvPr id="2241" name="Text 54">
              <a:extLst>
                <a:ext uri="{FF2B5EF4-FFF2-40B4-BE49-F238E27FC236}">
                  <a16:creationId xmlns:a16="http://schemas.microsoft.com/office/drawing/2014/main" id="{00000000-0008-0000-0300-0000C1080000}"/>
                </a:ext>
              </a:extLst>
            </xdr:cNvPr>
            <xdr:cNvSpPr txBox="1">
              <a:spLocks noChangeArrowheads="1"/>
            </xdr:cNvSpPr>
          </xdr:nvSpPr>
          <xdr:spPr bwMode="auto">
            <a:xfrm>
              <a:off x="296" y="310"/>
              <a:ext cx="64" cy="18"/>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900" b="0" i="1" strike="noStrike">
                  <a:solidFill>
                    <a:srgbClr val="000000"/>
                  </a:solidFill>
                  <a:latin typeface="Arial"/>
                  <a:cs typeface="Arial"/>
                </a:rPr>
                <a:t>x</a:t>
              </a:r>
              <a:r>
                <a:rPr lang="en-US" sz="1000" b="0" i="0" strike="noStrike" baseline="-25000">
                  <a:solidFill>
                    <a:srgbClr val="000000"/>
                  </a:solidFill>
                  <a:latin typeface="Arial"/>
                  <a:cs typeface="Arial"/>
                </a:rPr>
                <a:t>3</a:t>
              </a:r>
              <a:r>
                <a:rPr lang="en-US" sz="900" b="0" i="0" strike="noStrike">
                  <a:solidFill>
                    <a:srgbClr val="000000"/>
                  </a:solidFill>
                  <a:latin typeface="Arial"/>
                  <a:cs typeface="Arial"/>
                </a:rPr>
                <a:t> &gt; 50km</a:t>
              </a:r>
            </a:p>
          </xdr:txBody>
        </xdr:sp>
        <xdr:sp macro="" textlink="">
          <xdr:nvSpPr>
            <xdr:cNvPr id="2077209" name="Line 194">
              <a:extLst>
                <a:ext uri="{FF2B5EF4-FFF2-40B4-BE49-F238E27FC236}">
                  <a16:creationId xmlns:a16="http://schemas.microsoft.com/office/drawing/2014/main" id="{00000000-0008-0000-0300-000019B21F00}"/>
                </a:ext>
              </a:extLst>
            </xdr:cNvPr>
            <xdr:cNvSpPr>
              <a:spLocks noChangeShapeType="1"/>
            </xdr:cNvSpPr>
          </xdr:nvSpPr>
          <xdr:spPr bwMode="auto">
            <a:xfrm>
              <a:off x="320" y="276"/>
              <a:ext cx="51" cy="0"/>
            </a:xfrm>
            <a:prstGeom prst="line">
              <a:avLst/>
            </a:prstGeom>
            <a:noFill/>
            <a:ln w="9525">
              <a:solidFill>
                <a:srgbClr val="000000"/>
              </a:solidFill>
              <a:round/>
              <a:headEnd/>
              <a:tailEnd type="triangle" w="sm" len="med"/>
            </a:ln>
          </xdr:spPr>
        </xdr:sp>
        <xdr:sp macro="" textlink="">
          <xdr:nvSpPr>
            <xdr:cNvPr id="2243" name="Text 56">
              <a:extLst>
                <a:ext uri="{FF2B5EF4-FFF2-40B4-BE49-F238E27FC236}">
                  <a16:creationId xmlns:a16="http://schemas.microsoft.com/office/drawing/2014/main" id="{00000000-0008-0000-0300-0000C3080000}"/>
                </a:ext>
              </a:extLst>
            </xdr:cNvPr>
            <xdr:cNvSpPr txBox="1">
              <a:spLocks noChangeArrowheads="1"/>
            </xdr:cNvSpPr>
          </xdr:nvSpPr>
          <xdr:spPr bwMode="auto">
            <a:xfrm>
              <a:off x="301" y="268"/>
              <a:ext cx="17" cy="21"/>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2244" name="Text Box 196">
              <a:extLst>
                <a:ext uri="{FF2B5EF4-FFF2-40B4-BE49-F238E27FC236}">
                  <a16:creationId xmlns:a16="http://schemas.microsoft.com/office/drawing/2014/main" id="{00000000-0008-0000-0300-0000C4080000}"/>
                </a:ext>
              </a:extLst>
            </xdr:cNvPr>
            <xdr:cNvSpPr txBox="1">
              <a:spLocks noChangeArrowheads="1"/>
            </xdr:cNvSpPr>
          </xdr:nvSpPr>
          <xdr:spPr bwMode="auto">
            <a:xfrm>
              <a:off x="406" y="262"/>
              <a:ext cx="297" cy="18"/>
            </a:xfrm>
            <a:prstGeom prst="rect">
              <a:avLst/>
            </a:prstGeom>
            <a:solidFill>
              <a:srgbClr val="FF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Example showing terrain with 3 changes in roughness: n=3</a:t>
              </a:r>
            </a:p>
          </xdr:txBody>
        </xdr:sp>
        <xdr:grpSp>
          <xdr:nvGrpSpPr>
            <xdr:cNvPr id="2077212" name="Group 197">
              <a:extLst>
                <a:ext uri="{FF2B5EF4-FFF2-40B4-BE49-F238E27FC236}">
                  <a16:creationId xmlns:a16="http://schemas.microsoft.com/office/drawing/2014/main" id="{00000000-0008-0000-0300-00001CB21F00}"/>
                </a:ext>
              </a:extLst>
            </xdr:cNvPr>
            <xdr:cNvGrpSpPr>
              <a:grpSpLocks/>
            </xdr:cNvGrpSpPr>
          </xdr:nvGrpSpPr>
          <xdr:grpSpPr bwMode="auto">
            <a:xfrm>
              <a:off x="298" y="275"/>
              <a:ext cx="494" cy="51"/>
              <a:chOff x="298" y="275"/>
              <a:chExt cx="494" cy="51"/>
            </a:xfrm>
          </xdr:grpSpPr>
          <xdr:grpSp>
            <xdr:nvGrpSpPr>
              <xdr:cNvPr id="2077213" name="Group 198">
                <a:extLst>
                  <a:ext uri="{FF2B5EF4-FFF2-40B4-BE49-F238E27FC236}">
                    <a16:creationId xmlns:a16="http://schemas.microsoft.com/office/drawing/2014/main" id="{00000000-0008-0000-0300-00001DB21F00}"/>
                  </a:ext>
                </a:extLst>
              </xdr:cNvPr>
              <xdr:cNvGrpSpPr>
                <a:grpSpLocks/>
              </xdr:cNvGrpSpPr>
            </xdr:nvGrpSpPr>
            <xdr:grpSpPr bwMode="auto">
              <a:xfrm>
                <a:off x="298" y="275"/>
                <a:ext cx="494" cy="51"/>
                <a:chOff x="298" y="272"/>
                <a:chExt cx="494" cy="51"/>
              </a:xfrm>
            </xdr:grpSpPr>
            <xdr:sp macro="" textlink="">
              <xdr:nvSpPr>
                <xdr:cNvPr id="2077217" name="Line 199">
                  <a:extLst>
                    <a:ext uri="{FF2B5EF4-FFF2-40B4-BE49-F238E27FC236}">
                      <a16:creationId xmlns:a16="http://schemas.microsoft.com/office/drawing/2014/main" id="{00000000-0008-0000-0300-000021B21F00}"/>
                    </a:ext>
                  </a:extLst>
                </xdr:cNvPr>
                <xdr:cNvSpPr>
                  <a:spLocks noChangeShapeType="1"/>
                </xdr:cNvSpPr>
              </xdr:nvSpPr>
              <xdr:spPr bwMode="auto">
                <a:xfrm>
                  <a:off x="750" y="272"/>
                  <a:ext cx="0" cy="29"/>
                </a:xfrm>
                <a:prstGeom prst="line">
                  <a:avLst/>
                </a:prstGeom>
                <a:noFill/>
                <a:ln w="9525">
                  <a:solidFill>
                    <a:srgbClr val="000000"/>
                  </a:solidFill>
                  <a:round/>
                  <a:headEnd/>
                  <a:tailEnd/>
                </a:ln>
              </xdr:spPr>
            </xdr:sp>
            <xdr:sp macro="" textlink="">
              <xdr:nvSpPr>
                <xdr:cNvPr id="2077218" name="Line 200">
                  <a:extLst>
                    <a:ext uri="{FF2B5EF4-FFF2-40B4-BE49-F238E27FC236}">
                      <a16:creationId xmlns:a16="http://schemas.microsoft.com/office/drawing/2014/main" id="{00000000-0008-0000-0300-000022B21F00}"/>
                    </a:ext>
                  </a:extLst>
                </xdr:cNvPr>
                <xdr:cNvSpPr>
                  <a:spLocks noChangeShapeType="1"/>
                </xdr:cNvSpPr>
              </xdr:nvSpPr>
              <xdr:spPr bwMode="auto">
                <a:xfrm>
                  <a:off x="750" y="304"/>
                  <a:ext cx="0" cy="19"/>
                </a:xfrm>
                <a:prstGeom prst="line">
                  <a:avLst/>
                </a:prstGeom>
                <a:noFill/>
                <a:ln w="9525">
                  <a:solidFill>
                    <a:srgbClr val="000000"/>
                  </a:solidFill>
                  <a:round/>
                  <a:headEnd/>
                  <a:tailEnd/>
                </a:ln>
              </xdr:spPr>
            </xdr:sp>
            <xdr:grpSp>
              <xdr:nvGrpSpPr>
                <xdr:cNvPr id="2077219" name="Group 201">
                  <a:extLst>
                    <a:ext uri="{FF2B5EF4-FFF2-40B4-BE49-F238E27FC236}">
                      <a16:creationId xmlns:a16="http://schemas.microsoft.com/office/drawing/2014/main" id="{00000000-0008-0000-0300-000023B21F00}"/>
                    </a:ext>
                  </a:extLst>
                </xdr:cNvPr>
                <xdr:cNvGrpSpPr>
                  <a:grpSpLocks/>
                </xdr:cNvGrpSpPr>
              </xdr:nvGrpSpPr>
              <xdr:grpSpPr bwMode="auto">
                <a:xfrm>
                  <a:off x="413" y="303"/>
                  <a:ext cx="379" cy="0"/>
                  <a:chOff x="-191" y="-26502"/>
                  <a:chExt cx="19708" cy="0"/>
                </a:xfrm>
              </xdr:grpSpPr>
              <xdr:sp macro="" textlink="">
                <xdr:nvSpPr>
                  <xdr:cNvPr id="2077224" name="Line 202">
                    <a:extLst>
                      <a:ext uri="{FF2B5EF4-FFF2-40B4-BE49-F238E27FC236}">
                        <a16:creationId xmlns:a16="http://schemas.microsoft.com/office/drawing/2014/main" id="{00000000-0008-0000-0300-000028B21F00}"/>
                      </a:ext>
                    </a:extLst>
                  </xdr:cNvPr>
                  <xdr:cNvSpPr>
                    <a:spLocks noChangeShapeType="1"/>
                  </xdr:cNvSpPr>
                </xdr:nvSpPr>
                <xdr:spPr bwMode="auto">
                  <a:xfrm>
                    <a:off x="-191" y="-26502"/>
                    <a:ext cx="5876" cy="0"/>
                  </a:xfrm>
                  <a:prstGeom prst="line">
                    <a:avLst/>
                  </a:prstGeom>
                  <a:noFill/>
                  <a:ln w="24765">
                    <a:solidFill>
                      <a:srgbClr val="339966"/>
                    </a:solidFill>
                    <a:round/>
                    <a:headEnd/>
                    <a:tailEnd/>
                  </a:ln>
                </xdr:spPr>
              </xdr:sp>
              <xdr:sp macro="" textlink="">
                <xdr:nvSpPr>
                  <xdr:cNvPr id="2077225" name="Line 203">
                    <a:extLst>
                      <a:ext uri="{FF2B5EF4-FFF2-40B4-BE49-F238E27FC236}">
                        <a16:creationId xmlns:a16="http://schemas.microsoft.com/office/drawing/2014/main" id="{00000000-0008-0000-0300-000029B21F00}"/>
                      </a:ext>
                    </a:extLst>
                  </xdr:cNvPr>
                  <xdr:cNvSpPr>
                    <a:spLocks noChangeShapeType="1"/>
                  </xdr:cNvSpPr>
                </xdr:nvSpPr>
                <xdr:spPr bwMode="auto">
                  <a:xfrm>
                    <a:off x="5737" y="-26502"/>
                    <a:ext cx="5564" cy="0"/>
                  </a:xfrm>
                  <a:prstGeom prst="line">
                    <a:avLst/>
                  </a:prstGeom>
                  <a:noFill/>
                  <a:ln w="9525">
                    <a:solidFill>
                      <a:srgbClr val="339966"/>
                    </a:solidFill>
                    <a:round/>
                    <a:headEnd/>
                    <a:tailEnd/>
                  </a:ln>
                </xdr:spPr>
              </xdr:sp>
              <xdr:sp macro="" textlink="">
                <xdr:nvSpPr>
                  <xdr:cNvPr id="2077226" name="Line 204">
                    <a:extLst>
                      <a:ext uri="{FF2B5EF4-FFF2-40B4-BE49-F238E27FC236}">
                        <a16:creationId xmlns:a16="http://schemas.microsoft.com/office/drawing/2014/main" id="{00000000-0008-0000-0300-00002AB21F00}"/>
                      </a:ext>
                    </a:extLst>
                  </xdr:cNvPr>
                  <xdr:cNvSpPr>
                    <a:spLocks noChangeShapeType="1"/>
                  </xdr:cNvSpPr>
                </xdr:nvSpPr>
                <xdr:spPr bwMode="auto">
                  <a:xfrm>
                    <a:off x="11301" y="-26502"/>
                    <a:ext cx="8216" cy="0"/>
                  </a:xfrm>
                  <a:prstGeom prst="line">
                    <a:avLst/>
                  </a:prstGeom>
                  <a:noFill/>
                  <a:ln w="24765">
                    <a:solidFill>
                      <a:srgbClr val="339966"/>
                    </a:solidFill>
                    <a:round/>
                    <a:headEnd/>
                    <a:tailEnd/>
                  </a:ln>
                </xdr:spPr>
              </xdr:sp>
            </xdr:grpSp>
            <xdr:sp macro="" textlink="">
              <xdr:nvSpPr>
                <xdr:cNvPr id="2077220" name="Line 205">
                  <a:extLst>
                    <a:ext uri="{FF2B5EF4-FFF2-40B4-BE49-F238E27FC236}">
                      <a16:creationId xmlns:a16="http://schemas.microsoft.com/office/drawing/2014/main" id="{00000000-0008-0000-0300-000024B21F00}"/>
                    </a:ext>
                  </a:extLst>
                </xdr:cNvPr>
                <xdr:cNvSpPr>
                  <a:spLocks noChangeShapeType="1"/>
                </xdr:cNvSpPr>
              </xdr:nvSpPr>
              <xdr:spPr bwMode="auto">
                <a:xfrm>
                  <a:off x="635" y="313"/>
                  <a:ext cx="115" cy="0"/>
                </a:xfrm>
                <a:prstGeom prst="line">
                  <a:avLst/>
                </a:prstGeom>
                <a:noFill/>
                <a:ln w="9525">
                  <a:solidFill>
                    <a:srgbClr val="000000"/>
                  </a:solidFill>
                  <a:round/>
                  <a:headEnd type="triangle" w="sm" len="med"/>
                  <a:tailEnd type="triangle" w="sm" len="med"/>
                </a:ln>
              </xdr:spPr>
            </xdr:sp>
            <xdr:sp macro="" textlink="">
              <xdr:nvSpPr>
                <xdr:cNvPr id="2077221" name="Line 206">
                  <a:extLst>
                    <a:ext uri="{FF2B5EF4-FFF2-40B4-BE49-F238E27FC236}">
                      <a16:creationId xmlns:a16="http://schemas.microsoft.com/office/drawing/2014/main" id="{00000000-0008-0000-0300-000025B21F00}"/>
                    </a:ext>
                  </a:extLst>
                </xdr:cNvPr>
                <xdr:cNvSpPr>
                  <a:spLocks noChangeShapeType="1"/>
                </xdr:cNvSpPr>
              </xdr:nvSpPr>
              <xdr:spPr bwMode="auto">
                <a:xfrm>
                  <a:off x="524" y="313"/>
                  <a:ext cx="109" cy="0"/>
                </a:xfrm>
                <a:prstGeom prst="line">
                  <a:avLst/>
                </a:prstGeom>
                <a:noFill/>
                <a:ln w="9525">
                  <a:solidFill>
                    <a:srgbClr val="000000"/>
                  </a:solidFill>
                  <a:round/>
                  <a:headEnd type="triangle" w="sm" len="med"/>
                  <a:tailEnd type="triangle" w="sm" len="med"/>
                </a:ln>
              </xdr:spPr>
            </xdr:sp>
            <xdr:sp macro="" textlink="">
              <xdr:nvSpPr>
                <xdr:cNvPr id="2077222" name="Line 207">
                  <a:extLst>
                    <a:ext uri="{FF2B5EF4-FFF2-40B4-BE49-F238E27FC236}">
                      <a16:creationId xmlns:a16="http://schemas.microsoft.com/office/drawing/2014/main" id="{00000000-0008-0000-0300-000026B21F00}"/>
                    </a:ext>
                  </a:extLst>
                </xdr:cNvPr>
                <xdr:cNvSpPr>
                  <a:spLocks noChangeShapeType="1"/>
                </xdr:cNvSpPr>
              </xdr:nvSpPr>
              <xdr:spPr bwMode="auto">
                <a:xfrm flipH="1">
                  <a:off x="298" y="304"/>
                  <a:ext cx="118" cy="0"/>
                </a:xfrm>
                <a:prstGeom prst="line">
                  <a:avLst/>
                </a:prstGeom>
                <a:noFill/>
                <a:ln w="9525">
                  <a:solidFill>
                    <a:srgbClr val="339966"/>
                  </a:solidFill>
                  <a:prstDash val="dash"/>
                  <a:round/>
                  <a:headEnd/>
                  <a:tailEnd/>
                </a:ln>
              </xdr:spPr>
            </xdr:sp>
            <xdr:sp macro="" textlink="">
              <xdr:nvSpPr>
                <xdr:cNvPr id="2077223" name="Line 208">
                  <a:extLst>
                    <a:ext uri="{FF2B5EF4-FFF2-40B4-BE49-F238E27FC236}">
                      <a16:creationId xmlns:a16="http://schemas.microsoft.com/office/drawing/2014/main" id="{00000000-0008-0000-0300-000027B21F00}"/>
                    </a:ext>
                  </a:extLst>
                </xdr:cNvPr>
                <xdr:cNvSpPr>
                  <a:spLocks noChangeShapeType="1"/>
                </xdr:cNvSpPr>
              </xdr:nvSpPr>
              <xdr:spPr bwMode="auto">
                <a:xfrm>
                  <a:off x="412" y="313"/>
                  <a:ext cx="112" cy="0"/>
                </a:xfrm>
                <a:prstGeom prst="line">
                  <a:avLst/>
                </a:prstGeom>
                <a:noFill/>
                <a:ln w="9525">
                  <a:solidFill>
                    <a:srgbClr val="000000"/>
                  </a:solidFill>
                  <a:round/>
                  <a:headEnd type="triangle" w="sm" len="med"/>
                  <a:tailEnd type="triangle" w="sm" len="med"/>
                </a:ln>
              </xdr:spPr>
            </xdr:sp>
          </xdr:grpSp>
          <xdr:sp macro="" textlink="">
            <xdr:nvSpPr>
              <xdr:cNvPr id="2077214" name="Line 209">
                <a:extLst>
                  <a:ext uri="{FF2B5EF4-FFF2-40B4-BE49-F238E27FC236}">
                    <a16:creationId xmlns:a16="http://schemas.microsoft.com/office/drawing/2014/main" id="{00000000-0008-0000-0300-00001EB21F00}"/>
                  </a:ext>
                </a:extLst>
              </xdr:cNvPr>
              <xdr:cNvSpPr>
                <a:spLocks noChangeShapeType="1"/>
              </xdr:cNvSpPr>
            </xdr:nvSpPr>
            <xdr:spPr bwMode="auto">
              <a:xfrm>
                <a:off x="634" y="295"/>
                <a:ext cx="0" cy="19"/>
              </a:xfrm>
              <a:prstGeom prst="line">
                <a:avLst/>
              </a:prstGeom>
              <a:noFill/>
              <a:ln w="9525">
                <a:solidFill>
                  <a:srgbClr val="000000"/>
                </a:solidFill>
                <a:round/>
                <a:headEnd/>
                <a:tailEnd/>
              </a:ln>
            </xdr:spPr>
          </xdr:sp>
          <xdr:sp macro="" textlink="">
            <xdr:nvSpPr>
              <xdr:cNvPr id="2077215" name="Line 210">
                <a:extLst>
                  <a:ext uri="{FF2B5EF4-FFF2-40B4-BE49-F238E27FC236}">
                    <a16:creationId xmlns:a16="http://schemas.microsoft.com/office/drawing/2014/main" id="{00000000-0008-0000-0300-00001FB21F00}"/>
                  </a:ext>
                </a:extLst>
              </xdr:cNvPr>
              <xdr:cNvSpPr>
                <a:spLocks noChangeShapeType="1"/>
              </xdr:cNvSpPr>
            </xdr:nvSpPr>
            <xdr:spPr bwMode="auto">
              <a:xfrm>
                <a:off x="525" y="296"/>
                <a:ext cx="0" cy="19"/>
              </a:xfrm>
              <a:prstGeom prst="line">
                <a:avLst/>
              </a:prstGeom>
              <a:noFill/>
              <a:ln w="9525">
                <a:solidFill>
                  <a:srgbClr val="000000"/>
                </a:solidFill>
                <a:round/>
                <a:headEnd/>
                <a:tailEnd/>
              </a:ln>
            </xdr:spPr>
          </xdr:sp>
          <xdr:sp macro="" textlink="">
            <xdr:nvSpPr>
              <xdr:cNvPr id="2077216" name="Line 211">
                <a:extLst>
                  <a:ext uri="{FF2B5EF4-FFF2-40B4-BE49-F238E27FC236}">
                    <a16:creationId xmlns:a16="http://schemas.microsoft.com/office/drawing/2014/main" id="{00000000-0008-0000-0300-000020B21F00}"/>
                  </a:ext>
                </a:extLst>
              </xdr:cNvPr>
              <xdr:cNvSpPr>
                <a:spLocks noChangeShapeType="1"/>
              </xdr:cNvSpPr>
            </xdr:nvSpPr>
            <xdr:spPr bwMode="auto">
              <a:xfrm>
                <a:off x="413" y="296"/>
                <a:ext cx="0" cy="19"/>
              </a:xfrm>
              <a:prstGeom prst="line">
                <a:avLst/>
              </a:prstGeom>
              <a:noFill/>
              <a:ln w="9525">
                <a:solidFill>
                  <a:srgbClr val="000000"/>
                </a:solidFill>
                <a:round/>
                <a:headEnd/>
                <a:tailEnd/>
              </a:ln>
            </xdr:spPr>
          </xdr:sp>
        </xdr:grpSp>
      </xdr:grpSp>
      <xdr:sp macro="" textlink="">
        <xdr:nvSpPr>
          <xdr:cNvPr id="2260" name="Text 53">
            <a:extLst>
              <a:ext uri="{FF2B5EF4-FFF2-40B4-BE49-F238E27FC236}">
                <a16:creationId xmlns:a16="http://schemas.microsoft.com/office/drawing/2014/main" id="{00000000-0008-0000-0300-0000D4080000}"/>
              </a:ext>
            </a:extLst>
          </xdr:cNvPr>
          <xdr:cNvSpPr txBox="1">
            <a:spLocks noChangeArrowheads="1"/>
          </xdr:cNvSpPr>
        </xdr:nvSpPr>
        <xdr:spPr bwMode="auto">
          <a:xfrm>
            <a:off x="334" y="283"/>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03</a:t>
            </a:r>
          </a:p>
        </xdr:txBody>
      </xdr:sp>
    </xdr:grpSp>
    <xdr:clientData/>
  </xdr:twoCellAnchor>
  <mc:AlternateContent xmlns:mc="http://schemas.openxmlformats.org/markup-compatibility/2006">
    <mc:Choice xmlns:a14="http://schemas.microsoft.com/office/drawing/2010/main" Requires="a14">
      <xdr:twoCellAnchor>
        <xdr:from>
          <xdr:col>1</xdr:col>
          <xdr:colOff>19050</xdr:colOff>
          <xdr:row>4</xdr:row>
          <xdr:rowOff>38100</xdr:rowOff>
        </xdr:from>
        <xdr:to>
          <xdr:col>1</xdr:col>
          <xdr:colOff>1762125</xdr:colOff>
          <xdr:row>5</xdr:row>
          <xdr:rowOff>95250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3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5</xdr:row>
          <xdr:rowOff>57150</xdr:rowOff>
        </xdr:from>
        <xdr:to>
          <xdr:col>2</xdr:col>
          <xdr:colOff>0</xdr:colOff>
          <xdr:row>6</xdr:row>
          <xdr:rowOff>114300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3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11</xdr:row>
          <xdr:rowOff>133350</xdr:rowOff>
        </xdr:from>
        <xdr:to>
          <xdr:col>3</xdr:col>
          <xdr:colOff>523875</xdr:colOff>
          <xdr:row>13</xdr:row>
          <xdr:rowOff>28575</xdr:rowOff>
        </xdr:to>
        <xdr:sp macro="" textlink="">
          <xdr:nvSpPr>
            <xdr:cNvPr id="2149" name="Check Box 101" hidden="1">
              <a:extLst>
                <a:ext uri="{63B3BB69-23CF-44E3-9099-C40C66FF867C}">
                  <a14:compatExt spid="_x0000_s2149"/>
                </a:ext>
                <a:ext uri="{FF2B5EF4-FFF2-40B4-BE49-F238E27FC236}">
                  <a16:creationId xmlns:a16="http://schemas.microsoft.com/office/drawing/2014/main" id="{00000000-0008-0000-0300-00006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11</xdr:row>
          <xdr:rowOff>133350</xdr:rowOff>
        </xdr:from>
        <xdr:to>
          <xdr:col>4</xdr:col>
          <xdr:colOff>514350</xdr:colOff>
          <xdr:row>13</xdr:row>
          <xdr:rowOff>28575</xdr:rowOff>
        </xdr:to>
        <xdr:sp macro="" textlink="">
          <xdr:nvSpPr>
            <xdr:cNvPr id="2151" name="Check Box 103" hidden="1">
              <a:extLst>
                <a:ext uri="{63B3BB69-23CF-44E3-9099-C40C66FF867C}">
                  <a14:compatExt spid="_x0000_s2151"/>
                </a:ext>
                <a:ext uri="{FF2B5EF4-FFF2-40B4-BE49-F238E27FC236}">
                  <a16:creationId xmlns:a16="http://schemas.microsoft.com/office/drawing/2014/main" id="{00000000-0008-0000-0300-000067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11</xdr:row>
          <xdr:rowOff>133350</xdr:rowOff>
        </xdr:from>
        <xdr:to>
          <xdr:col>5</xdr:col>
          <xdr:colOff>523875</xdr:colOff>
          <xdr:row>13</xdr:row>
          <xdr:rowOff>28575</xdr:rowOff>
        </xdr:to>
        <xdr:sp macro="" textlink="">
          <xdr:nvSpPr>
            <xdr:cNvPr id="2157" name="Check Box 109" hidden="1">
              <a:extLst>
                <a:ext uri="{63B3BB69-23CF-44E3-9099-C40C66FF867C}">
                  <a14:compatExt spid="_x0000_s2157"/>
                </a:ext>
                <a:ext uri="{FF2B5EF4-FFF2-40B4-BE49-F238E27FC236}">
                  <a16:creationId xmlns:a16="http://schemas.microsoft.com/office/drawing/2014/main" id="{00000000-0008-0000-0300-00006D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104775</xdr:colOff>
          <xdr:row>11</xdr:row>
          <xdr:rowOff>133350</xdr:rowOff>
        </xdr:from>
        <xdr:to>
          <xdr:col>6</xdr:col>
          <xdr:colOff>523875</xdr:colOff>
          <xdr:row>13</xdr:row>
          <xdr:rowOff>28575</xdr:rowOff>
        </xdr:to>
        <xdr:sp macro="" textlink="">
          <xdr:nvSpPr>
            <xdr:cNvPr id="2158" name="Check Box 110" hidden="1">
              <a:extLst>
                <a:ext uri="{63B3BB69-23CF-44E3-9099-C40C66FF867C}">
                  <a14:compatExt spid="_x0000_s2158"/>
                </a:ext>
                <a:ext uri="{FF2B5EF4-FFF2-40B4-BE49-F238E27FC236}">
                  <a16:creationId xmlns:a16="http://schemas.microsoft.com/office/drawing/2014/main" id="{00000000-0008-0000-0300-00006E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133350</xdr:rowOff>
        </xdr:from>
        <xdr:to>
          <xdr:col>7</xdr:col>
          <xdr:colOff>523875</xdr:colOff>
          <xdr:row>13</xdr:row>
          <xdr:rowOff>28575</xdr:rowOff>
        </xdr:to>
        <xdr:sp macro="" textlink="">
          <xdr:nvSpPr>
            <xdr:cNvPr id="2159" name="Check Box 111" hidden="1">
              <a:extLst>
                <a:ext uri="{63B3BB69-23CF-44E3-9099-C40C66FF867C}">
                  <a14:compatExt spid="_x0000_s2159"/>
                </a:ext>
                <a:ext uri="{FF2B5EF4-FFF2-40B4-BE49-F238E27FC236}">
                  <a16:creationId xmlns:a16="http://schemas.microsoft.com/office/drawing/2014/main" id="{00000000-0008-0000-0300-00006F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11</xdr:row>
          <xdr:rowOff>133350</xdr:rowOff>
        </xdr:from>
        <xdr:to>
          <xdr:col>8</xdr:col>
          <xdr:colOff>523875</xdr:colOff>
          <xdr:row>13</xdr:row>
          <xdr:rowOff>28575</xdr:rowOff>
        </xdr:to>
        <xdr:sp macro="" textlink="">
          <xdr:nvSpPr>
            <xdr:cNvPr id="2160" name="Check Box 112" hidden="1">
              <a:extLst>
                <a:ext uri="{63B3BB69-23CF-44E3-9099-C40C66FF867C}">
                  <a14:compatExt spid="_x0000_s2160"/>
                </a:ext>
                <a:ext uri="{FF2B5EF4-FFF2-40B4-BE49-F238E27FC236}">
                  <a16:creationId xmlns:a16="http://schemas.microsoft.com/office/drawing/2014/main" id="{00000000-0008-0000-0300-000070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11</xdr:row>
          <xdr:rowOff>133350</xdr:rowOff>
        </xdr:from>
        <xdr:to>
          <xdr:col>9</xdr:col>
          <xdr:colOff>485775</xdr:colOff>
          <xdr:row>13</xdr:row>
          <xdr:rowOff>28575</xdr:rowOff>
        </xdr:to>
        <xdr:sp macro="" textlink="">
          <xdr:nvSpPr>
            <xdr:cNvPr id="2170" name="Check Box 122" hidden="1">
              <a:extLst>
                <a:ext uri="{63B3BB69-23CF-44E3-9099-C40C66FF867C}">
                  <a14:compatExt spid="_x0000_s2170"/>
                </a:ext>
                <a:ext uri="{FF2B5EF4-FFF2-40B4-BE49-F238E27FC236}">
                  <a16:creationId xmlns:a16="http://schemas.microsoft.com/office/drawing/2014/main" id="{00000000-0008-0000-0300-00007A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11</xdr:row>
          <xdr:rowOff>133350</xdr:rowOff>
        </xdr:from>
        <xdr:to>
          <xdr:col>10</xdr:col>
          <xdr:colOff>485775</xdr:colOff>
          <xdr:row>13</xdr:row>
          <xdr:rowOff>28575</xdr:rowOff>
        </xdr:to>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300-00008C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11</xdr:row>
          <xdr:rowOff>133350</xdr:rowOff>
        </xdr:from>
        <xdr:to>
          <xdr:col>11</xdr:col>
          <xdr:colOff>485775</xdr:colOff>
          <xdr:row>13</xdr:row>
          <xdr:rowOff>28575</xdr:rowOff>
        </xdr:to>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300-00008D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11</xdr:row>
          <xdr:rowOff>133350</xdr:rowOff>
        </xdr:from>
        <xdr:to>
          <xdr:col>12</xdr:col>
          <xdr:colOff>485775</xdr:colOff>
          <xdr:row>13</xdr:row>
          <xdr:rowOff>28575</xdr:rowOff>
        </xdr:to>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300-00008E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11</xdr:row>
          <xdr:rowOff>133350</xdr:rowOff>
        </xdr:from>
        <xdr:to>
          <xdr:col>13</xdr:col>
          <xdr:colOff>485775</xdr:colOff>
          <xdr:row>13</xdr:row>
          <xdr:rowOff>28575</xdr:rowOff>
        </xdr:to>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300-00008F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11</xdr:row>
          <xdr:rowOff>133350</xdr:rowOff>
        </xdr:from>
        <xdr:to>
          <xdr:col>14</xdr:col>
          <xdr:colOff>485775</xdr:colOff>
          <xdr:row>13</xdr:row>
          <xdr:rowOff>28575</xdr:rowOff>
        </xdr:to>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300-000090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11</xdr:row>
          <xdr:rowOff>133350</xdr:rowOff>
        </xdr:from>
        <xdr:to>
          <xdr:col>15</xdr:col>
          <xdr:colOff>485775</xdr:colOff>
          <xdr:row>13</xdr:row>
          <xdr:rowOff>28575</xdr:rowOff>
        </xdr:to>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300-000091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114300</xdr:colOff>
          <xdr:row>11</xdr:row>
          <xdr:rowOff>133350</xdr:rowOff>
        </xdr:from>
        <xdr:to>
          <xdr:col>16</xdr:col>
          <xdr:colOff>485775</xdr:colOff>
          <xdr:row>13</xdr:row>
          <xdr:rowOff>28575</xdr:rowOff>
        </xdr:to>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300-000092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11</xdr:row>
          <xdr:rowOff>133350</xdr:rowOff>
        </xdr:from>
        <xdr:to>
          <xdr:col>17</xdr:col>
          <xdr:colOff>485775</xdr:colOff>
          <xdr:row>13</xdr:row>
          <xdr:rowOff>28575</xdr:rowOff>
        </xdr:to>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300-000093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11</xdr:row>
          <xdr:rowOff>133350</xdr:rowOff>
        </xdr:from>
        <xdr:to>
          <xdr:col>18</xdr:col>
          <xdr:colOff>485775</xdr:colOff>
          <xdr:row>13</xdr:row>
          <xdr:rowOff>28575</xdr:rowOff>
        </xdr:to>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300-00009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11</xdr:row>
          <xdr:rowOff>133350</xdr:rowOff>
        </xdr:from>
        <xdr:to>
          <xdr:col>19</xdr:col>
          <xdr:colOff>485775</xdr:colOff>
          <xdr:row>13</xdr:row>
          <xdr:rowOff>28575</xdr:rowOff>
        </xdr:to>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300-00009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114300</xdr:colOff>
          <xdr:row>11</xdr:row>
          <xdr:rowOff>133350</xdr:rowOff>
        </xdr:from>
        <xdr:to>
          <xdr:col>20</xdr:col>
          <xdr:colOff>485775</xdr:colOff>
          <xdr:row>13</xdr:row>
          <xdr:rowOff>28575</xdr:rowOff>
        </xdr:to>
        <xdr:sp macro="" textlink="">
          <xdr:nvSpPr>
            <xdr:cNvPr id="2198" name="Check Box 150" hidden="1">
              <a:extLst>
                <a:ext uri="{63B3BB69-23CF-44E3-9099-C40C66FF867C}">
                  <a14:compatExt spid="_x0000_s2198"/>
                </a:ext>
                <a:ext uri="{FF2B5EF4-FFF2-40B4-BE49-F238E27FC236}">
                  <a16:creationId xmlns:a16="http://schemas.microsoft.com/office/drawing/2014/main" id="{00000000-0008-0000-0300-000096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114300</xdr:colOff>
          <xdr:row>11</xdr:row>
          <xdr:rowOff>133350</xdr:rowOff>
        </xdr:from>
        <xdr:to>
          <xdr:col>21</xdr:col>
          <xdr:colOff>485775</xdr:colOff>
          <xdr:row>13</xdr:row>
          <xdr:rowOff>28575</xdr:rowOff>
        </xdr:to>
        <xdr:sp macro="" textlink="">
          <xdr:nvSpPr>
            <xdr:cNvPr id="2199" name="Check Box 151" hidden="1">
              <a:extLst>
                <a:ext uri="{63B3BB69-23CF-44E3-9099-C40C66FF867C}">
                  <a14:compatExt spid="_x0000_s2199"/>
                </a:ext>
                <a:ext uri="{FF2B5EF4-FFF2-40B4-BE49-F238E27FC236}">
                  <a16:creationId xmlns:a16="http://schemas.microsoft.com/office/drawing/2014/main" id="{00000000-0008-0000-0300-000097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133350</xdr:rowOff>
        </xdr:from>
        <xdr:to>
          <xdr:col>22</xdr:col>
          <xdr:colOff>485775</xdr:colOff>
          <xdr:row>13</xdr:row>
          <xdr:rowOff>28575</xdr:rowOff>
        </xdr:to>
        <xdr:sp macro="" textlink="">
          <xdr:nvSpPr>
            <xdr:cNvPr id="2200" name="Check Box 152" hidden="1">
              <a:extLst>
                <a:ext uri="{63B3BB69-23CF-44E3-9099-C40C66FF867C}">
                  <a14:compatExt spid="_x0000_s2200"/>
                </a:ext>
                <a:ext uri="{FF2B5EF4-FFF2-40B4-BE49-F238E27FC236}">
                  <a16:creationId xmlns:a16="http://schemas.microsoft.com/office/drawing/2014/main" id="{00000000-0008-0000-0300-000098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11</xdr:row>
          <xdr:rowOff>133350</xdr:rowOff>
        </xdr:from>
        <xdr:to>
          <xdr:col>23</xdr:col>
          <xdr:colOff>485775</xdr:colOff>
          <xdr:row>13</xdr:row>
          <xdr:rowOff>28575</xdr:rowOff>
        </xdr:to>
        <xdr:sp macro="" textlink="">
          <xdr:nvSpPr>
            <xdr:cNvPr id="2201" name="Check Box 153" hidden="1">
              <a:extLst>
                <a:ext uri="{63B3BB69-23CF-44E3-9099-C40C66FF867C}">
                  <a14:compatExt spid="_x0000_s2201"/>
                </a:ext>
                <a:ext uri="{FF2B5EF4-FFF2-40B4-BE49-F238E27FC236}">
                  <a16:creationId xmlns:a16="http://schemas.microsoft.com/office/drawing/2014/main" id="{00000000-0008-0000-0300-000099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114300</xdr:colOff>
          <xdr:row>11</xdr:row>
          <xdr:rowOff>133350</xdr:rowOff>
        </xdr:from>
        <xdr:to>
          <xdr:col>24</xdr:col>
          <xdr:colOff>485775</xdr:colOff>
          <xdr:row>13</xdr:row>
          <xdr:rowOff>28575</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300-00009A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11</xdr:row>
          <xdr:rowOff>133350</xdr:rowOff>
        </xdr:from>
        <xdr:to>
          <xdr:col>25</xdr:col>
          <xdr:colOff>485775</xdr:colOff>
          <xdr:row>13</xdr:row>
          <xdr:rowOff>28575</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300-00009B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11</xdr:row>
          <xdr:rowOff>133350</xdr:rowOff>
        </xdr:from>
        <xdr:to>
          <xdr:col>26</xdr:col>
          <xdr:colOff>485775</xdr:colOff>
          <xdr:row>13</xdr:row>
          <xdr:rowOff>28575</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300-00009C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11</xdr:row>
          <xdr:rowOff>133350</xdr:rowOff>
        </xdr:from>
        <xdr:to>
          <xdr:col>2</xdr:col>
          <xdr:colOff>561975</xdr:colOff>
          <xdr:row>13</xdr:row>
          <xdr:rowOff>28575</xdr:rowOff>
        </xdr:to>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300-00008A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161925</xdr:rowOff>
        </xdr:from>
        <xdr:to>
          <xdr:col>1</xdr:col>
          <xdr:colOff>1781175</xdr:colOff>
          <xdr:row>3</xdr:row>
          <xdr:rowOff>28575</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3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3</xdr:row>
          <xdr:rowOff>0</xdr:rowOff>
        </xdr:from>
        <xdr:to>
          <xdr:col>1</xdr:col>
          <xdr:colOff>1771650</xdr:colOff>
          <xdr:row>4</xdr:row>
          <xdr:rowOff>57150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3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11</xdr:row>
          <xdr:rowOff>133350</xdr:rowOff>
        </xdr:from>
        <xdr:to>
          <xdr:col>13</xdr:col>
          <xdr:colOff>485775</xdr:colOff>
          <xdr:row>13</xdr:row>
          <xdr:rowOff>38100</xdr:rowOff>
        </xdr:to>
        <xdr:sp macro="" textlink="">
          <xdr:nvSpPr>
            <xdr:cNvPr id="2228" name="Check Box 180" hidden="1">
              <a:extLst>
                <a:ext uri="{63B3BB69-23CF-44E3-9099-C40C66FF867C}">
                  <a14:compatExt spid="_x0000_s2228"/>
                </a:ext>
                <a:ext uri="{FF2B5EF4-FFF2-40B4-BE49-F238E27FC236}">
                  <a16:creationId xmlns:a16="http://schemas.microsoft.com/office/drawing/2014/main" id="{00000000-0008-0000-0300-0000B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11</xdr:row>
          <xdr:rowOff>133350</xdr:rowOff>
        </xdr:from>
        <xdr:to>
          <xdr:col>14</xdr:col>
          <xdr:colOff>485775</xdr:colOff>
          <xdr:row>13</xdr:row>
          <xdr:rowOff>38100</xdr:rowOff>
        </xdr:to>
        <xdr:sp macro="" textlink="">
          <xdr:nvSpPr>
            <xdr:cNvPr id="2229" name="Check Box 181" hidden="1">
              <a:extLst>
                <a:ext uri="{63B3BB69-23CF-44E3-9099-C40C66FF867C}">
                  <a14:compatExt spid="_x0000_s2229"/>
                </a:ext>
                <a:ext uri="{FF2B5EF4-FFF2-40B4-BE49-F238E27FC236}">
                  <a16:creationId xmlns:a16="http://schemas.microsoft.com/office/drawing/2014/main" id="{00000000-0008-0000-0300-0000B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11</xdr:row>
          <xdr:rowOff>133350</xdr:rowOff>
        </xdr:from>
        <xdr:to>
          <xdr:col>3</xdr:col>
          <xdr:colOff>523875</xdr:colOff>
          <xdr:row>13</xdr:row>
          <xdr:rowOff>28575</xdr:rowOff>
        </xdr:to>
        <xdr:sp macro="" textlink="">
          <xdr:nvSpPr>
            <xdr:cNvPr id="2261" name="Check Box 213" hidden="1">
              <a:extLst>
                <a:ext uri="{63B3BB69-23CF-44E3-9099-C40C66FF867C}">
                  <a14:compatExt spid="_x0000_s2261"/>
                </a:ext>
                <a:ext uri="{FF2B5EF4-FFF2-40B4-BE49-F238E27FC236}">
                  <a16:creationId xmlns:a16="http://schemas.microsoft.com/office/drawing/2014/main" id="{00000000-0008-0000-0300-0000D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11</xdr:row>
          <xdr:rowOff>133350</xdr:rowOff>
        </xdr:from>
        <xdr:to>
          <xdr:col>4</xdr:col>
          <xdr:colOff>514350</xdr:colOff>
          <xdr:row>13</xdr:row>
          <xdr:rowOff>28575</xdr:rowOff>
        </xdr:to>
        <xdr:sp macro="" textlink="">
          <xdr:nvSpPr>
            <xdr:cNvPr id="2262" name="Check Box 214" hidden="1">
              <a:extLst>
                <a:ext uri="{63B3BB69-23CF-44E3-9099-C40C66FF867C}">
                  <a14:compatExt spid="_x0000_s2262"/>
                </a:ext>
                <a:ext uri="{FF2B5EF4-FFF2-40B4-BE49-F238E27FC236}">
                  <a16:creationId xmlns:a16="http://schemas.microsoft.com/office/drawing/2014/main" id="{00000000-0008-0000-0300-0000D6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11</xdr:row>
          <xdr:rowOff>133350</xdr:rowOff>
        </xdr:from>
        <xdr:to>
          <xdr:col>5</xdr:col>
          <xdr:colOff>523875</xdr:colOff>
          <xdr:row>13</xdr:row>
          <xdr:rowOff>28575</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00000000-0008-0000-0300-0000D7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104775</xdr:colOff>
          <xdr:row>11</xdr:row>
          <xdr:rowOff>133350</xdr:rowOff>
        </xdr:from>
        <xdr:to>
          <xdr:col>6</xdr:col>
          <xdr:colOff>523875</xdr:colOff>
          <xdr:row>13</xdr:row>
          <xdr:rowOff>28575</xdr:rowOff>
        </xdr:to>
        <xdr:sp macro="" textlink="">
          <xdr:nvSpPr>
            <xdr:cNvPr id="2264" name="Check Box 216" hidden="1">
              <a:extLst>
                <a:ext uri="{63B3BB69-23CF-44E3-9099-C40C66FF867C}">
                  <a14:compatExt spid="_x0000_s2264"/>
                </a:ext>
                <a:ext uri="{FF2B5EF4-FFF2-40B4-BE49-F238E27FC236}">
                  <a16:creationId xmlns:a16="http://schemas.microsoft.com/office/drawing/2014/main" id="{00000000-0008-0000-0300-0000D8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133350</xdr:rowOff>
        </xdr:from>
        <xdr:to>
          <xdr:col>7</xdr:col>
          <xdr:colOff>523875</xdr:colOff>
          <xdr:row>13</xdr:row>
          <xdr:rowOff>28575</xdr:rowOff>
        </xdr:to>
        <xdr:sp macro="" textlink="">
          <xdr:nvSpPr>
            <xdr:cNvPr id="2265" name="Check Box 217" hidden="1">
              <a:extLst>
                <a:ext uri="{63B3BB69-23CF-44E3-9099-C40C66FF867C}">
                  <a14:compatExt spid="_x0000_s2265"/>
                </a:ext>
                <a:ext uri="{FF2B5EF4-FFF2-40B4-BE49-F238E27FC236}">
                  <a16:creationId xmlns:a16="http://schemas.microsoft.com/office/drawing/2014/main" id="{00000000-0008-0000-0300-0000D9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104775</xdr:colOff>
          <xdr:row>11</xdr:row>
          <xdr:rowOff>133350</xdr:rowOff>
        </xdr:from>
        <xdr:to>
          <xdr:col>8</xdr:col>
          <xdr:colOff>523875</xdr:colOff>
          <xdr:row>13</xdr:row>
          <xdr:rowOff>28575</xdr:rowOff>
        </xdr:to>
        <xdr:sp macro="" textlink="">
          <xdr:nvSpPr>
            <xdr:cNvPr id="2266" name="Check Box 218" hidden="1">
              <a:extLst>
                <a:ext uri="{63B3BB69-23CF-44E3-9099-C40C66FF867C}">
                  <a14:compatExt spid="_x0000_s2266"/>
                </a:ext>
                <a:ext uri="{FF2B5EF4-FFF2-40B4-BE49-F238E27FC236}">
                  <a16:creationId xmlns:a16="http://schemas.microsoft.com/office/drawing/2014/main" id="{00000000-0008-0000-0300-0000DA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11</xdr:row>
          <xdr:rowOff>133350</xdr:rowOff>
        </xdr:from>
        <xdr:to>
          <xdr:col>9</xdr:col>
          <xdr:colOff>485775</xdr:colOff>
          <xdr:row>13</xdr:row>
          <xdr:rowOff>28575</xdr:rowOff>
        </xdr:to>
        <xdr:sp macro="" textlink="">
          <xdr:nvSpPr>
            <xdr:cNvPr id="2267" name="Check Box 219" hidden="1">
              <a:extLst>
                <a:ext uri="{63B3BB69-23CF-44E3-9099-C40C66FF867C}">
                  <a14:compatExt spid="_x0000_s2267"/>
                </a:ext>
                <a:ext uri="{FF2B5EF4-FFF2-40B4-BE49-F238E27FC236}">
                  <a16:creationId xmlns:a16="http://schemas.microsoft.com/office/drawing/2014/main" id="{00000000-0008-0000-0300-0000DB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11</xdr:row>
          <xdr:rowOff>133350</xdr:rowOff>
        </xdr:from>
        <xdr:to>
          <xdr:col>10</xdr:col>
          <xdr:colOff>485775</xdr:colOff>
          <xdr:row>13</xdr:row>
          <xdr:rowOff>28575</xdr:rowOff>
        </xdr:to>
        <xdr:sp macro="" textlink="">
          <xdr:nvSpPr>
            <xdr:cNvPr id="2268" name="Check Box 220" hidden="1">
              <a:extLst>
                <a:ext uri="{63B3BB69-23CF-44E3-9099-C40C66FF867C}">
                  <a14:compatExt spid="_x0000_s2268"/>
                </a:ext>
                <a:ext uri="{FF2B5EF4-FFF2-40B4-BE49-F238E27FC236}">
                  <a16:creationId xmlns:a16="http://schemas.microsoft.com/office/drawing/2014/main" id="{00000000-0008-0000-0300-0000DC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11</xdr:row>
          <xdr:rowOff>133350</xdr:rowOff>
        </xdr:from>
        <xdr:to>
          <xdr:col>11</xdr:col>
          <xdr:colOff>485775</xdr:colOff>
          <xdr:row>13</xdr:row>
          <xdr:rowOff>28575</xdr:rowOff>
        </xdr:to>
        <xdr:sp macro="" textlink="">
          <xdr:nvSpPr>
            <xdr:cNvPr id="2269" name="Check Box 221" hidden="1">
              <a:extLst>
                <a:ext uri="{63B3BB69-23CF-44E3-9099-C40C66FF867C}">
                  <a14:compatExt spid="_x0000_s2269"/>
                </a:ext>
                <a:ext uri="{FF2B5EF4-FFF2-40B4-BE49-F238E27FC236}">
                  <a16:creationId xmlns:a16="http://schemas.microsoft.com/office/drawing/2014/main" id="{00000000-0008-0000-0300-0000DD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11</xdr:row>
          <xdr:rowOff>133350</xdr:rowOff>
        </xdr:from>
        <xdr:to>
          <xdr:col>12</xdr:col>
          <xdr:colOff>485775</xdr:colOff>
          <xdr:row>13</xdr:row>
          <xdr:rowOff>28575</xdr:rowOff>
        </xdr:to>
        <xdr:sp macro="" textlink="">
          <xdr:nvSpPr>
            <xdr:cNvPr id="2270" name="Check Box 222" hidden="1">
              <a:extLst>
                <a:ext uri="{63B3BB69-23CF-44E3-9099-C40C66FF867C}">
                  <a14:compatExt spid="_x0000_s2270"/>
                </a:ext>
                <a:ext uri="{FF2B5EF4-FFF2-40B4-BE49-F238E27FC236}">
                  <a16:creationId xmlns:a16="http://schemas.microsoft.com/office/drawing/2014/main" id="{00000000-0008-0000-0300-0000DE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8"/>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11</xdr:row>
          <xdr:rowOff>133350</xdr:rowOff>
        </xdr:from>
        <xdr:to>
          <xdr:col>2</xdr:col>
          <xdr:colOff>561975</xdr:colOff>
          <xdr:row>13</xdr:row>
          <xdr:rowOff>28575</xdr:rowOff>
        </xdr:to>
        <xdr:sp macro="" textlink="">
          <xdr:nvSpPr>
            <xdr:cNvPr id="2271" name="Check Box 223" hidden="1">
              <a:extLst>
                <a:ext uri="{63B3BB69-23CF-44E3-9099-C40C66FF867C}">
                  <a14:compatExt spid="_x0000_s2271"/>
                </a:ext>
                <a:ext uri="{FF2B5EF4-FFF2-40B4-BE49-F238E27FC236}">
                  <a16:creationId xmlns:a16="http://schemas.microsoft.com/office/drawing/2014/main" id="{00000000-0008-0000-0300-0000DF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Hilly </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127635</xdr:colOff>
      <xdr:row>8</xdr:row>
      <xdr:rowOff>0</xdr:rowOff>
    </xdr:from>
    <xdr:to>
      <xdr:col>15</xdr:col>
      <xdr:colOff>264795</xdr:colOff>
      <xdr:row>9</xdr:row>
      <xdr:rowOff>17297</xdr:rowOff>
    </xdr:to>
    <xdr:sp macro="" textlink="">
      <xdr:nvSpPr>
        <xdr:cNvPr id="3382" name="Text Box 310">
          <a:extLst>
            <a:ext uri="{FF2B5EF4-FFF2-40B4-BE49-F238E27FC236}">
              <a16:creationId xmlns:a16="http://schemas.microsoft.com/office/drawing/2014/main" id="{00000000-0008-0000-0400-0000360D0000}"/>
            </a:ext>
          </a:extLst>
        </xdr:cNvPr>
        <xdr:cNvSpPr txBox="1">
          <a:spLocks noChangeArrowheads="1"/>
        </xdr:cNvSpPr>
      </xdr:nvSpPr>
      <xdr:spPr bwMode="auto">
        <a:xfrm>
          <a:off x="11109960" y="1356360"/>
          <a:ext cx="137160" cy="175260"/>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a:t>
          </a:r>
        </a:p>
      </xdr:txBody>
    </xdr:sp>
    <xdr:clientData/>
  </xdr:twoCellAnchor>
  <xdr:twoCellAnchor>
    <xdr:from>
      <xdr:col>6</xdr:col>
      <xdr:colOff>485775</xdr:colOff>
      <xdr:row>2</xdr:row>
      <xdr:rowOff>152400</xdr:rowOff>
    </xdr:from>
    <xdr:to>
      <xdr:col>25</xdr:col>
      <xdr:colOff>257175</xdr:colOff>
      <xdr:row>18</xdr:row>
      <xdr:rowOff>104775</xdr:rowOff>
    </xdr:to>
    <xdr:grpSp>
      <xdr:nvGrpSpPr>
        <xdr:cNvPr id="2729176" name="Group 556">
          <a:extLst>
            <a:ext uri="{FF2B5EF4-FFF2-40B4-BE49-F238E27FC236}">
              <a16:creationId xmlns:a16="http://schemas.microsoft.com/office/drawing/2014/main" id="{00000000-0008-0000-0400-0000D8A42900}"/>
            </a:ext>
          </a:extLst>
        </xdr:cNvPr>
        <xdr:cNvGrpSpPr>
          <a:grpSpLocks/>
        </xdr:cNvGrpSpPr>
      </xdr:nvGrpSpPr>
      <xdr:grpSpPr bwMode="auto">
        <a:xfrm>
          <a:off x="5695950" y="476250"/>
          <a:ext cx="11353800" cy="2562225"/>
          <a:chOff x="563" y="50"/>
          <a:chExt cx="1192" cy="269"/>
        </a:xfrm>
      </xdr:grpSpPr>
      <xdr:grpSp>
        <xdr:nvGrpSpPr>
          <xdr:cNvPr id="2729270" name="Group 554">
            <a:extLst>
              <a:ext uri="{FF2B5EF4-FFF2-40B4-BE49-F238E27FC236}">
                <a16:creationId xmlns:a16="http://schemas.microsoft.com/office/drawing/2014/main" id="{00000000-0008-0000-0400-000036A52900}"/>
              </a:ext>
            </a:extLst>
          </xdr:cNvPr>
          <xdr:cNvGrpSpPr>
            <a:grpSpLocks/>
          </xdr:cNvGrpSpPr>
        </xdr:nvGrpSpPr>
        <xdr:grpSpPr bwMode="auto">
          <a:xfrm>
            <a:off x="563" y="50"/>
            <a:ext cx="1192" cy="269"/>
            <a:chOff x="563" y="50"/>
            <a:chExt cx="1192" cy="269"/>
          </a:xfrm>
        </xdr:grpSpPr>
        <xdr:sp macro="" textlink="">
          <xdr:nvSpPr>
            <xdr:cNvPr id="2729276" name="Rectangle 216">
              <a:extLst>
                <a:ext uri="{FF2B5EF4-FFF2-40B4-BE49-F238E27FC236}">
                  <a16:creationId xmlns:a16="http://schemas.microsoft.com/office/drawing/2014/main" id="{00000000-0008-0000-0400-00003CA52900}"/>
                </a:ext>
              </a:extLst>
            </xdr:cNvPr>
            <xdr:cNvSpPr>
              <a:spLocks noChangeArrowheads="1"/>
            </xdr:cNvSpPr>
          </xdr:nvSpPr>
          <xdr:spPr bwMode="auto">
            <a:xfrm>
              <a:off x="563" y="50"/>
              <a:ext cx="1192" cy="269"/>
            </a:xfrm>
            <a:prstGeom prst="rect">
              <a:avLst/>
            </a:prstGeom>
            <a:solidFill>
              <a:srgbClr val="CCFFCC"/>
            </a:solidFill>
            <a:ln w="9525">
              <a:solidFill>
                <a:srgbClr val="000000"/>
              </a:solidFill>
              <a:miter lim="800000"/>
              <a:headEnd/>
              <a:tailEnd/>
            </a:ln>
          </xdr:spPr>
        </xdr:sp>
        <xdr:grpSp>
          <xdr:nvGrpSpPr>
            <xdr:cNvPr id="2729277" name="Group 300">
              <a:extLst>
                <a:ext uri="{FF2B5EF4-FFF2-40B4-BE49-F238E27FC236}">
                  <a16:creationId xmlns:a16="http://schemas.microsoft.com/office/drawing/2014/main" id="{00000000-0008-0000-0400-00003DA52900}"/>
                </a:ext>
              </a:extLst>
            </xdr:cNvPr>
            <xdr:cNvGrpSpPr>
              <a:grpSpLocks/>
            </xdr:cNvGrpSpPr>
          </xdr:nvGrpSpPr>
          <xdr:grpSpPr bwMode="auto">
            <a:xfrm>
              <a:off x="624" y="71"/>
              <a:ext cx="468" cy="220"/>
              <a:chOff x="558" y="75"/>
              <a:chExt cx="468" cy="219"/>
            </a:xfrm>
          </xdr:grpSpPr>
          <xdr:grpSp>
            <xdr:nvGrpSpPr>
              <xdr:cNvPr id="2729297" name="Group 301">
                <a:extLst>
                  <a:ext uri="{FF2B5EF4-FFF2-40B4-BE49-F238E27FC236}">
                    <a16:creationId xmlns:a16="http://schemas.microsoft.com/office/drawing/2014/main" id="{00000000-0008-0000-0400-000051A52900}"/>
                  </a:ext>
                </a:extLst>
              </xdr:cNvPr>
              <xdr:cNvGrpSpPr>
                <a:grpSpLocks/>
              </xdr:cNvGrpSpPr>
            </xdr:nvGrpSpPr>
            <xdr:grpSpPr bwMode="auto">
              <a:xfrm>
                <a:off x="589" y="95"/>
                <a:ext cx="427" cy="178"/>
                <a:chOff x="589" y="95"/>
                <a:chExt cx="427" cy="178"/>
              </a:xfrm>
            </xdr:grpSpPr>
            <xdr:sp macro="" textlink="">
              <xdr:nvSpPr>
                <xdr:cNvPr id="2729299" name="Freeform 302">
                  <a:extLst>
                    <a:ext uri="{FF2B5EF4-FFF2-40B4-BE49-F238E27FC236}">
                      <a16:creationId xmlns:a16="http://schemas.microsoft.com/office/drawing/2014/main" id="{00000000-0008-0000-0400-000053A52900}"/>
                    </a:ext>
                  </a:extLst>
                </xdr:cNvPr>
                <xdr:cNvSpPr>
                  <a:spLocks/>
                </xdr:cNvSpPr>
              </xdr:nvSpPr>
              <xdr:spPr bwMode="auto">
                <a:xfrm>
                  <a:off x="589" y="95"/>
                  <a:ext cx="427" cy="178"/>
                </a:xfrm>
                <a:custGeom>
                  <a:avLst/>
                  <a:gdLst>
                    <a:gd name="T0" fmla="*/ 107 w 427"/>
                    <a:gd name="T1" fmla="*/ 41 h 178"/>
                    <a:gd name="T2" fmla="*/ 200 w 427"/>
                    <a:gd name="T3" fmla="*/ 16 h 178"/>
                    <a:gd name="T4" fmla="*/ 279 w 427"/>
                    <a:gd name="T5" fmla="*/ 3 h 178"/>
                    <a:gd name="T6" fmla="*/ 342 w 427"/>
                    <a:gd name="T7" fmla="*/ 5 h 178"/>
                    <a:gd name="T8" fmla="*/ 391 w 427"/>
                    <a:gd name="T9" fmla="*/ 33 h 178"/>
                    <a:gd name="T10" fmla="*/ 415 w 427"/>
                    <a:gd name="T11" fmla="*/ 61 h 178"/>
                    <a:gd name="T12" fmla="*/ 423 w 427"/>
                    <a:gd name="T13" fmla="*/ 81 h 178"/>
                    <a:gd name="T14" fmla="*/ 388 w 427"/>
                    <a:gd name="T15" fmla="*/ 103 h 178"/>
                    <a:gd name="T16" fmla="*/ 306 w 427"/>
                    <a:gd name="T17" fmla="*/ 133 h 178"/>
                    <a:gd name="T18" fmla="*/ 249 w 427"/>
                    <a:gd name="T19" fmla="*/ 146 h 178"/>
                    <a:gd name="T20" fmla="*/ 184 w 427"/>
                    <a:gd name="T21" fmla="*/ 162 h 178"/>
                    <a:gd name="T22" fmla="*/ 115 w 427"/>
                    <a:gd name="T23" fmla="*/ 176 h 178"/>
                    <a:gd name="T24" fmla="*/ 57 w 427"/>
                    <a:gd name="T25" fmla="*/ 173 h 178"/>
                    <a:gd name="T26" fmla="*/ 15 w 427"/>
                    <a:gd name="T27" fmla="*/ 160 h 178"/>
                    <a:gd name="T28" fmla="*/ 2 w 427"/>
                    <a:gd name="T29" fmla="*/ 138 h 178"/>
                    <a:gd name="T30" fmla="*/ 4 w 427"/>
                    <a:gd name="T31" fmla="*/ 102 h 178"/>
                    <a:gd name="T32" fmla="*/ 27 w 427"/>
                    <a:gd name="T33" fmla="*/ 75 h 178"/>
                    <a:gd name="T34" fmla="*/ 107 w 427"/>
                    <a:gd name="T35" fmla="*/ 41 h 178"/>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27"/>
                    <a:gd name="T55" fmla="*/ 0 h 178"/>
                    <a:gd name="T56" fmla="*/ 427 w 427"/>
                    <a:gd name="T57" fmla="*/ 178 h 178"/>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27" h="178">
                      <a:moveTo>
                        <a:pt x="107" y="41"/>
                      </a:moveTo>
                      <a:cubicBezTo>
                        <a:pt x="136" y="31"/>
                        <a:pt x="171" y="22"/>
                        <a:pt x="200" y="16"/>
                      </a:cubicBezTo>
                      <a:cubicBezTo>
                        <a:pt x="229" y="10"/>
                        <a:pt x="255" y="5"/>
                        <a:pt x="279" y="3"/>
                      </a:cubicBezTo>
                      <a:cubicBezTo>
                        <a:pt x="303" y="1"/>
                        <a:pt x="323" y="0"/>
                        <a:pt x="342" y="5"/>
                      </a:cubicBezTo>
                      <a:cubicBezTo>
                        <a:pt x="361" y="10"/>
                        <a:pt x="379" y="24"/>
                        <a:pt x="391" y="33"/>
                      </a:cubicBezTo>
                      <a:cubicBezTo>
                        <a:pt x="403" y="42"/>
                        <a:pt x="410" y="53"/>
                        <a:pt x="415" y="61"/>
                      </a:cubicBezTo>
                      <a:cubicBezTo>
                        <a:pt x="420" y="69"/>
                        <a:pt x="427" y="74"/>
                        <a:pt x="423" y="81"/>
                      </a:cubicBezTo>
                      <a:cubicBezTo>
                        <a:pt x="419" y="88"/>
                        <a:pt x="407" y="94"/>
                        <a:pt x="388" y="103"/>
                      </a:cubicBezTo>
                      <a:cubicBezTo>
                        <a:pt x="369" y="112"/>
                        <a:pt x="329" y="126"/>
                        <a:pt x="306" y="133"/>
                      </a:cubicBezTo>
                      <a:cubicBezTo>
                        <a:pt x="283" y="140"/>
                        <a:pt x="269" y="141"/>
                        <a:pt x="249" y="146"/>
                      </a:cubicBezTo>
                      <a:cubicBezTo>
                        <a:pt x="229" y="151"/>
                        <a:pt x="206" y="157"/>
                        <a:pt x="184" y="162"/>
                      </a:cubicBezTo>
                      <a:cubicBezTo>
                        <a:pt x="162" y="167"/>
                        <a:pt x="136" y="174"/>
                        <a:pt x="115" y="176"/>
                      </a:cubicBezTo>
                      <a:cubicBezTo>
                        <a:pt x="94" y="178"/>
                        <a:pt x="74" y="176"/>
                        <a:pt x="57" y="173"/>
                      </a:cubicBezTo>
                      <a:cubicBezTo>
                        <a:pt x="40" y="170"/>
                        <a:pt x="24" y="166"/>
                        <a:pt x="15" y="160"/>
                      </a:cubicBezTo>
                      <a:cubicBezTo>
                        <a:pt x="6" y="154"/>
                        <a:pt x="4" y="148"/>
                        <a:pt x="2" y="138"/>
                      </a:cubicBezTo>
                      <a:cubicBezTo>
                        <a:pt x="0" y="128"/>
                        <a:pt x="0" y="112"/>
                        <a:pt x="4" y="102"/>
                      </a:cubicBezTo>
                      <a:cubicBezTo>
                        <a:pt x="8" y="92"/>
                        <a:pt x="10" y="85"/>
                        <a:pt x="27" y="75"/>
                      </a:cubicBezTo>
                      <a:cubicBezTo>
                        <a:pt x="44" y="65"/>
                        <a:pt x="78" y="51"/>
                        <a:pt x="107" y="41"/>
                      </a:cubicBezTo>
                      <a:close/>
                    </a:path>
                  </a:pathLst>
                </a:custGeom>
                <a:solidFill>
                  <a:srgbClr val="99CC00"/>
                </a:solidFill>
                <a:ln w="9525">
                  <a:solidFill>
                    <a:srgbClr val="000000"/>
                  </a:solidFill>
                  <a:round/>
                  <a:headEnd/>
                  <a:tailEnd/>
                </a:ln>
              </xdr:spPr>
            </xdr:sp>
            <xdr:sp macro="" textlink="">
              <xdr:nvSpPr>
                <xdr:cNvPr id="2729300" name="Freeform 303">
                  <a:extLst>
                    <a:ext uri="{FF2B5EF4-FFF2-40B4-BE49-F238E27FC236}">
                      <a16:creationId xmlns:a16="http://schemas.microsoft.com/office/drawing/2014/main" id="{00000000-0008-0000-0400-000054A52900}"/>
                    </a:ext>
                  </a:extLst>
                </xdr:cNvPr>
                <xdr:cNvSpPr>
                  <a:spLocks/>
                </xdr:cNvSpPr>
              </xdr:nvSpPr>
              <xdr:spPr bwMode="auto">
                <a:xfrm>
                  <a:off x="623" y="114"/>
                  <a:ext cx="370" cy="135"/>
                </a:xfrm>
                <a:custGeom>
                  <a:avLst/>
                  <a:gdLst>
                    <a:gd name="T0" fmla="*/ 77 w 370"/>
                    <a:gd name="T1" fmla="*/ 43 h 135"/>
                    <a:gd name="T2" fmla="*/ 138 w 370"/>
                    <a:gd name="T3" fmla="*/ 22 h 135"/>
                    <a:gd name="T4" fmla="*/ 203 w 370"/>
                    <a:gd name="T5" fmla="*/ 8 h 135"/>
                    <a:gd name="T6" fmla="*/ 264 w 370"/>
                    <a:gd name="T7" fmla="*/ 1 h 135"/>
                    <a:gd name="T8" fmla="*/ 312 w 370"/>
                    <a:gd name="T9" fmla="*/ 4 h 135"/>
                    <a:gd name="T10" fmla="*/ 349 w 370"/>
                    <a:gd name="T11" fmla="*/ 25 h 135"/>
                    <a:gd name="T12" fmla="*/ 369 w 370"/>
                    <a:gd name="T13" fmla="*/ 48 h 135"/>
                    <a:gd name="T14" fmla="*/ 356 w 370"/>
                    <a:gd name="T15" fmla="*/ 65 h 135"/>
                    <a:gd name="T16" fmla="*/ 297 w 370"/>
                    <a:gd name="T17" fmla="*/ 90 h 135"/>
                    <a:gd name="T18" fmla="*/ 221 w 370"/>
                    <a:gd name="T19" fmla="*/ 108 h 135"/>
                    <a:gd name="T20" fmla="*/ 145 w 370"/>
                    <a:gd name="T21" fmla="*/ 123 h 135"/>
                    <a:gd name="T22" fmla="*/ 74 w 370"/>
                    <a:gd name="T23" fmla="*/ 134 h 135"/>
                    <a:gd name="T24" fmla="*/ 29 w 370"/>
                    <a:gd name="T25" fmla="*/ 131 h 135"/>
                    <a:gd name="T26" fmla="*/ 6 w 370"/>
                    <a:gd name="T27" fmla="*/ 115 h 135"/>
                    <a:gd name="T28" fmla="*/ 1 w 370"/>
                    <a:gd name="T29" fmla="*/ 91 h 135"/>
                    <a:gd name="T30" fmla="*/ 6 w 370"/>
                    <a:gd name="T31" fmla="*/ 74 h 135"/>
                    <a:gd name="T32" fmla="*/ 35 w 370"/>
                    <a:gd name="T33" fmla="*/ 59 h 135"/>
                    <a:gd name="T34" fmla="*/ 77 w 370"/>
                    <a:gd name="T35" fmla="*/ 43 h 135"/>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70"/>
                    <a:gd name="T55" fmla="*/ 0 h 135"/>
                    <a:gd name="T56" fmla="*/ 370 w 370"/>
                    <a:gd name="T57" fmla="*/ 135 h 135"/>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70" h="135">
                      <a:moveTo>
                        <a:pt x="77" y="43"/>
                      </a:moveTo>
                      <a:cubicBezTo>
                        <a:pt x="94" y="37"/>
                        <a:pt x="117" y="28"/>
                        <a:pt x="138" y="22"/>
                      </a:cubicBezTo>
                      <a:cubicBezTo>
                        <a:pt x="159" y="16"/>
                        <a:pt x="182" y="12"/>
                        <a:pt x="203" y="8"/>
                      </a:cubicBezTo>
                      <a:cubicBezTo>
                        <a:pt x="224" y="4"/>
                        <a:pt x="246" y="2"/>
                        <a:pt x="264" y="1"/>
                      </a:cubicBezTo>
                      <a:cubicBezTo>
                        <a:pt x="282" y="0"/>
                        <a:pt x="298" y="0"/>
                        <a:pt x="312" y="4"/>
                      </a:cubicBezTo>
                      <a:cubicBezTo>
                        <a:pt x="326" y="8"/>
                        <a:pt x="340" y="18"/>
                        <a:pt x="349" y="25"/>
                      </a:cubicBezTo>
                      <a:cubicBezTo>
                        <a:pt x="358" y="32"/>
                        <a:pt x="368" y="41"/>
                        <a:pt x="369" y="48"/>
                      </a:cubicBezTo>
                      <a:cubicBezTo>
                        <a:pt x="370" y="55"/>
                        <a:pt x="368" y="58"/>
                        <a:pt x="356" y="65"/>
                      </a:cubicBezTo>
                      <a:cubicBezTo>
                        <a:pt x="344" y="72"/>
                        <a:pt x="319" y="83"/>
                        <a:pt x="297" y="90"/>
                      </a:cubicBezTo>
                      <a:cubicBezTo>
                        <a:pt x="275" y="97"/>
                        <a:pt x="246" y="103"/>
                        <a:pt x="221" y="108"/>
                      </a:cubicBezTo>
                      <a:cubicBezTo>
                        <a:pt x="196" y="113"/>
                        <a:pt x="169" y="119"/>
                        <a:pt x="145" y="123"/>
                      </a:cubicBezTo>
                      <a:cubicBezTo>
                        <a:pt x="121" y="127"/>
                        <a:pt x="93" y="133"/>
                        <a:pt x="74" y="134"/>
                      </a:cubicBezTo>
                      <a:cubicBezTo>
                        <a:pt x="55" y="135"/>
                        <a:pt x="40" y="134"/>
                        <a:pt x="29" y="131"/>
                      </a:cubicBezTo>
                      <a:cubicBezTo>
                        <a:pt x="18" y="128"/>
                        <a:pt x="11" y="122"/>
                        <a:pt x="6" y="115"/>
                      </a:cubicBezTo>
                      <a:cubicBezTo>
                        <a:pt x="1" y="108"/>
                        <a:pt x="1" y="98"/>
                        <a:pt x="1" y="91"/>
                      </a:cubicBezTo>
                      <a:cubicBezTo>
                        <a:pt x="1" y="84"/>
                        <a:pt x="0" y="79"/>
                        <a:pt x="6" y="74"/>
                      </a:cubicBezTo>
                      <a:cubicBezTo>
                        <a:pt x="12" y="69"/>
                        <a:pt x="23" y="64"/>
                        <a:pt x="35" y="59"/>
                      </a:cubicBezTo>
                      <a:cubicBezTo>
                        <a:pt x="47" y="54"/>
                        <a:pt x="60" y="49"/>
                        <a:pt x="77" y="43"/>
                      </a:cubicBezTo>
                      <a:close/>
                    </a:path>
                  </a:pathLst>
                </a:custGeom>
                <a:solidFill>
                  <a:srgbClr val="339966"/>
                </a:solidFill>
                <a:ln w="9525">
                  <a:solidFill>
                    <a:srgbClr val="000000"/>
                  </a:solidFill>
                  <a:round/>
                  <a:headEnd/>
                  <a:tailEnd/>
                </a:ln>
              </xdr:spPr>
            </xdr:sp>
            <xdr:sp macro="" textlink="">
              <xdr:nvSpPr>
                <xdr:cNvPr id="2729301" name="Freeform 304">
                  <a:extLst>
                    <a:ext uri="{FF2B5EF4-FFF2-40B4-BE49-F238E27FC236}">
                      <a16:creationId xmlns:a16="http://schemas.microsoft.com/office/drawing/2014/main" id="{00000000-0008-0000-0400-000055A52900}"/>
                    </a:ext>
                  </a:extLst>
                </xdr:cNvPr>
                <xdr:cNvSpPr>
                  <a:spLocks/>
                </xdr:cNvSpPr>
              </xdr:nvSpPr>
              <xdr:spPr bwMode="auto">
                <a:xfrm>
                  <a:off x="653" y="136"/>
                  <a:ext cx="324" cy="96"/>
                </a:xfrm>
                <a:custGeom>
                  <a:avLst/>
                  <a:gdLst>
                    <a:gd name="T0" fmla="*/ 51 w 324"/>
                    <a:gd name="T1" fmla="*/ 41 h 96"/>
                    <a:gd name="T2" fmla="*/ 129 w 324"/>
                    <a:gd name="T3" fmla="*/ 20 h 96"/>
                    <a:gd name="T4" fmla="*/ 192 w 324"/>
                    <a:gd name="T5" fmla="*/ 5 h 96"/>
                    <a:gd name="T6" fmla="*/ 240 w 324"/>
                    <a:gd name="T7" fmla="*/ 0 h 96"/>
                    <a:gd name="T8" fmla="*/ 288 w 324"/>
                    <a:gd name="T9" fmla="*/ 4 h 96"/>
                    <a:gd name="T10" fmla="*/ 317 w 324"/>
                    <a:gd name="T11" fmla="*/ 15 h 96"/>
                    <a:gd name="T12" fmla="*/ 322 w 324"/>
                    <a:gd name="T13" fmla="*/ 31 h 96"/>
                    <a:gd name="T14" fmla="*/ 305 w 324"/>
                    <a:gd name="T15" fmla="*/ 46 h 96"/>
                    <a:gd name="T16" fmla="*/ 263 w 324"/>
                    <a:gd name="T17" fmla="*/ 59 h 96"/>
                    <a:gd name="T18" fmla="*/ 196 w 324"/>
                    <a:gd name="T19" fmla="*/ 71 h 96"/>
                    <a:gd name="T20" fmla="*/ 132 w 324"/>
                    <a:gd name="T21" fmla="*/ 85 h 96"/>
                    <a:gd name="T22" fmla="*/ 77 w 324"/>
                    <a:gd name="T23" fmla="*/ 94 h 96"/>
                    <a:gd name="T24" fmla="*/ 45 w 324"/>
                    <a:gd name="T25" fmla="*/ 96 h 96"/>
                    <a:gd name="T26" fmla="*/ 13 w 324"/>
                    <a:gd name="T27" fmla="*/ 91 h 96"/>
                    <a:gd name="T28" fmla="*/ 0 w 324"/>
                    <a:gd name="T29" fmla="*/ 76 h 96"/>
                    <a:gd name="T30" fmla="*/ 13 w 324"/>
                    <a:gd name="T31" fmla="*/ 55 h 96"/>
                    <a:gd name="T32" fmla="*/ 51 w 324"/>
                    <a:gd name="T33" fmla="*/ 41 h 9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324"/>
                    <a:gd name="T52" fmla="*/ 0 h 96"/>
                    <a:gd name="T53" fmla="*/ 324 w 324"/>
                    <a:gd name="T54" fmla="*/ 96 h 9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324" h="96">
                      <a:moveTo>
                        <a:pt x="51" y="41"/>
                      </a:moveTo>
                      <a:cubicBezTo>
                        <a:pt x="70" y="35"/>
                        <a:pt x="106" y="26"/>
                        <a:pt x="129" y="20"/>
                      </a:cubicBezTo>
                      <a:cubicBezTo>
                        <a:pt x="152" y="14"/>
                        <a:pt x="173" y="8"/>
                        <a:pt x="192" y="5"/>
                      </a:cubicBezTo>
                      <a:cubicBezTo>
                        <a:pt x="211" y="2"/>
                        <a:pt x="224" y="0"/>
                        <a:pt x="240" y="0"/>
                      </a:cubicBezTo>
                      <a:cubicBezTo>
                        <a:pt x="256" y="0"/>
                        <a:pt x="275" y="2"/>
                        <a:pt x="288" y="4"/>
                      </a:cubicBezTo>
                      <a:cubicBezTo>
                        <a:pt x="301" y="6"/>
                        <a:pt x="311" y="10"/>
                        <a:pt x="317" y="15"/>
                      </a:cubicBezTo>
                      <a:cubicBezTo>
                        <a:pt x="323" y="20"/>
                        <a:pt x="324" y="26"/>
                        <a:pt x="322" y="31"/>
                      </a:cubicBezTo>
                      <a:cubicBezTo>
                        <a:pt x="320" y="36"/>
                        <a:pt x="315" y="41"/>
                        <a:pt x="305" y="46"/>
                      </a:cubicBezTo>
                      <a:cubicBezTo>
                        <a:pt x="295" y="51"/>
                        <a:pt x="281" y="55"/>
                        <a:pt x="263" y="59"/>
                      </a:cubicBezTo>
                      <a:cubicBezTo>
                        <a:pt x="245" y="63"/>
                        <a:pt x="218" y="67"/>
                        <a:pt x="196" y="71"/>
                      </a:cubicBezTo>
                      <a:cubicBezTo>
                        <a:pt x="174" y="75"/>
                        <a:pt x="152" y="81"/>
                        <a:pt x="132" y="85"/>
                      </a:cubicBezTo>
                      <a:cubicBezTo>
                        <a:pt x="112" y="89"/>
                        <a:pt x="91" y="92"/>
                        <a:pt x="77" y="94"/>
                      </a:cubicBezTo>
                      <a:cubicBezTo>
                        <a:pt x="63" y="96"/>
                        <a:pt x="56" y="96"/>
                        <a:pt x="45" y="96"/>
                      </a:cubicBezTo>
                      <a:cubicBezTo>
                        <a:pt x="34" y="96"/>
                        <a:pt x="20" y="94"/>
                        <a:pt x="13" y="91"/>
                      </a:cubicBezTo>
                      <a:cubicBezTo>
                        <a:pt x="6" y="88"/>
                        <a:pt x="0" y="82"/>
                        <a:pt x="0" y="76"/>
                      </a:cubicBezTo>
                      <a:cubicBezTo>
                        <a:pt x="0" y="70"/>
                        <a:pt x="5" y="61"/>
                        <a:pt x="13" y="55"/>
                      </a:cubicBezTo>
                      <a:cubicBezTo>
                        <a:pt x="21" y="49"/>
                        <a:pt x="32" y="47"/>
                        <a:pt x="51" y="41"/>
                      </a:cubicBezTo>
                      <a:close/>
                    </a:path>
                  </a:pathLst>
                </a:custGeom>
                <a:solidFill>
                  <a:srgbClr val="008000"/>
                </a:solidFill>
                <a:ln w="9525">
                  <a:solidFill>
                    <a:srgbClr val="000000"/>
                  </a:solidFill>
                  <a:round/>
                  <a:headEnd/>
                  <a:tailEnd/>
                </a:ln>
              </xdr:spPr>
            </xdr:sp>
            <xdr:sp macro="" textlink="">
              <xdr:nvSpPr>
                <xdr:cNvPr id="2729302" name="Freeform 305">
                  <a:extLst>
                    <a:ext uri="{FF2B5EF4-FFF2-40B4-BE49-F238E27FC236}">
                      <a16:creationId xmlns:a16="http://schemas.microsoft.com/office/drawing/2014/main" id="{00000000-0008-0000-0400-000056A52900}"/>
                    </a:ext>
                  </a:extLst>
                </xdr:cNvPr>
                <xdr:cNvSpPr>
                  <a:spLocks/>
                </xdr:cNvSpPr>
              </xdr:nvSpPr>
              <xdr:spPr bwMode="auto">
                <a:xfrm>
                  <a:off x="675" y="148"/>
                  <a:ext cx="287" cy="70"/>
                </a:xfrm>
                <a:custGeom>
                  <a:avLst/>
                  <a:gdLst>
                    <a:gd name="T0" fmla="*/ 32 w 287"/>
                    <a:gd name="T1" fmla="*/ 45 h 70"/>
                    <a:gd name="T2" fmla="*/ 93 w 287"/>
                    <a:gd name="T3" fmla="*/ 29 h 70"/>
                    <a:gd name="T4" fmla="*/ 134 w 287"/>
                    <a:gd name="T5" fmla="*/ 18 h 70"/>
                    <a:gd name="T6" fmla="*/ 178 w 287"/>
                    <a:gd name="T7" fmla="*/ 8 h 70"/>
                    <a:gd name="T8" fmla="*/ 230 w 287"/>
                    <a:gd name="T9" fmla="*/ 1 h 70"/>
                    <a:gd name="T10" fmla="*/ 266 w 287"/>
                    <a:gd name="T11" fmla="*/ 3 h 70"/>
                    <a:gd name="T12" fmla="*/ 285 w 287"/>
                    <a:gd name="T13" fmla="*/ 15 h 70"/>
                    <a:gd name="T14" fmla="*/ 276 w 287"/>
                    <a:gd name="T15" fmla="*/ 25 h 70"/>
                    <a:gd name="T16" fmla="*/ 226 w 287"/>
                    <a:gd name="T17" fmla="*/ 36 h 70"/>
                    <a:gd name="T18" fmla="*/ 160 w 287"/>
                    <a:gd name="T19" fmla="*/ 48 h 70"/>
                    <a:gd name="T20" fmla="*/ 102 w 287"/>
                    <a:gd name="T21" fmla="*/ 61 h 70"/>
                    <a:gd name="T22" fmla="*/ 50 w 287"/>
                    <a:gd name="T23" fmla="*/ 67 h 70"/>
                    <a:gd name="T24" fmla="*/ 25 w 287"/>
                    <a:gd name="T25" fmla="*/ 70 h 70"/>
                    <a:gd name="T26" fmla="*/ 5 w 287"/>
                    <a:gd name="T27" fmla="*/ 68 h 70"/>
                    <a:gd name="T28" fmla="*/ 5 w 287"/>
                    <a:gd name="T29" fmla="*/ 55 h 70"/>
                    <a:gd name="T30" fmla="*/ 32 w 287"/>
                    <a:gd name="T31" fmla="*/ 45 h 70"/>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w 287"/>
                    <a:gd name="T49" fmla="*/ 0 h 70"/>
                    <a:gd name="T50" fmla="*/ 287 w 287"/>
                    <a:gd name="T51" fmla="*/ 70 h 70"/>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T48" t="T49" r="T50" b="T51"/>
                  <a:pathLst>
                    <a:path w="287" h="70">
                      <a:moveTo>
                        <a:pt x="32" y="45"/>
                      </a:moveTo>
                      <a:cubicBezTo>
                        <a:pt x="47" y="41"/>
                        <a:pt x="76" y="33"/>
                        <a:pt x="93" y="29"/>
                      </a:cubicBezTo>
                      <a:cubicBezTo>
                        <a:pt x="110" y="25"/>
                        <a:pt x="120" y="21"/>
                        <a:pt x="134" y="18"/>
                      </a:cubicBezTo>
                      <a:cubicBezTo>
                        <a:pt x="148" y="15"/>
                        <a:pt x="162" y="11"/>
                        <a:pt x="178" y="8"/>
                      </a:cubicBezTo>
                      <a:cubicBezTo>
                        <a:pt x="194" y="5"/>
                        <a:pt x="215" y="2"/>
                        <a:pt x="230" y="1"/>
                      </a:cubicBezTo>
                      <a:cubicBezTo>
                        <a:pt x="245" y="0"/>
                        <a:pt x="257" y="1"/>
                        <a:pt x="266" y="3"/>
                      </a:cubicBezTo>
                      <a:cubicBezTo>
                        <a:pt x="275" y="5"/>
                        <a:pt x="283" y="11"/>
                        <a:pt x="285" y="15"/>
                      </a:cubicBezTo>
                      <a:cubicBezTo>
                        <a:pt x="287" y="19"/>
                        <a:pt x="286" y="22"/>
                        <a:pt x="276" y="25"/>
                      </a:cubicBezTo>
                      <a:cubicBezTo>
                        <a:pt x="266" y="28"/>
                        <a:pt x="245" y="32"/>
                        <a:pt x="226" y="36"/>
                      </a:cubicBezTo>
                      <a:cubicBezTo>
                        <a:pt x="207" y="40"/>
                        <a:pt x="181" y="44"/>
                        <a:pt x="160" y="48"/>
                      </a:cubicBezTo>
                      <a:cubicBezTo>
                        <a:pt x="139" y="52"/>
                        <a:pt x="120" y="58"/>
                        <a:pt x="102" y="61"/>
                      </a:cubicBezTo>
                      <a:cubicBezTo>
                        <a:pt x="84" y="64"/>
                        <a:pt x="63" y="66"/>
                        <a:pt x="50" y="67"/>
                      </a:cubicBezTo>
                      <a:cubicBezTo>
                        <a:pt x="37" y="68"/>
                        <a:pt x="32" y="70"/>
                        <a:pt x="25" y="70"/>
                      </a:cubicBezTo>
                      <a:cubicBezTo>
                        <a:pt x="18" y="70"/>
                        <a:pt x="8" y="70"/>
                        <a:pt x="5" y="68"/>
                      </a:cubicBezTo>
                      <a:cubicBezTo>
                        <a:pt x="2" y="66"/>
                        <a:pt x="0" y="59"/>
                        <a:pt x="5" y="55"/>
                      </a:cubicBezTo>
                      <a:cubicBezTo>
                        <a:pt x="10" y="51"/>
                        <a:pt x="17" y="49"/>
                        <a:pt x="32" y="45"/>
                      </a:cubicBezTo>
                      <a:close/>
                    </a:path>
                  </a:pathLst>
                </a:custGeom>
                <a:solidFill>
                  <a:srgbClr val="008080"/>
                </a:solidFill>
                <a:ln w="9525">
                  <a:solidFill>
                    <a:srgbClr val="000000"/>
                  </a:solidFill>
                  <a:round/>
                  <a:headEnd/>
                  <a:tailEnd/>
                </a:ln>
              </xdr:spPr>
            </xdr:sp>
          </xdr:grpSp>
          <xdr:sp macro="" textlink="">
            <xdr:nvSpPr>
              <xdr:cNvPr id="2729298" name="Freeform 306">
                <a:extLst>
                  <a:ext uri="{FF2B5EF4-FFF2-40B4-BE49-F238E27FC236}">
                    <a16:creationId xmlns:a16="http://schemas.microsoft.com/office/drawing/2014/main" id="{00000000-0008-0000-0400-000052A52900}"/>
                  </a:ext>
                </a:extLst>
              </xdr:cNvPr>
              <xdr:cNvSpPr>
                <a:spLocks/>
              </xdr:cNvSpPr>
            </xdr:nvSpPr>
            <xdr:spPr bwMode="auto">
              <a:xfrm>
                <a:off x="558" y="75"/>
                <a:ext cx="468" cy="219"/>
              </a:xfrm>
              <a:custGeom>
                <a:avLst/>
                <a:gdLst>
                  <a:gd name="T0" fmla="*/ 21 w 468"/>
                  <a:gd name="T1" fmla="*/ 89 h 219"/>
                  <a:gd name="T2" fmla="*/ 92 w 468"/>
                  <a:gd name="T3" fmla="*/ 52 h 219"/>
                  <a:gd name="T4" fmla="*/ 209 w 468"/>
                  <a:gd name="T5" fmla="*/ 16 h 219"/>
                  <a:gd name="T6" fmla="*/ 281 w 468"/>
                  <a:gd name="T7" fmla="*/ 3 h 219"/>
                  <a:gd name="T8" fmla="*/ 365 w 468"/>
                  <a:gd name="T9" fmla="*/ 5 h 219"/>
                  <a:gd name="T10" fmla="*/ 431 w 468"/>
                  <a:gd name="T11" fmla="*/ 36 h 219"/>
                  <a:gd name="T12" fmla="*/ 458 w 468"/>
                  <a:gd name="T13" fmla="*/ 72 h 219"/>
                  <a:gd name="T14" fmla="*/ 467 w 468"/>
                  <a:gd name="T15" fmla="*/ 100 h 219"/>
                  <a:gd name="T16" fmla="*/ 449 w 468"/>
                  <a:gd name="T17" fmla="*/ 130 h 219"/>
                  <a:gd name="T18" fmla="*/ 351 w 468"/>
                  <a:gd name="T19" fmla="*/ 163 h 219"/>
                  <a:gd name="T20" fmla="*/ 259 w 468"/>
                  <a:gd name="T21" fmla="*/ 187 h 219"/>
                  <a:gd name="T22" fmla="*/ 183 w 468"/>
                  <a:gd name="T23" fmla="*/ 201 h 219"/>
                  <a:gd name="T24" fmla="*/ 109 w 468"/>
                  <a:gd name="T25" fmla="*/ 217 h 219"/>
                  <a:gd name="T26" fmla="*/ 49 w 468"/>
                  <a:gd name="T27" fmla="*/ 212 h 219"/>
                  <a:gd name="T28" fmla="*/ 8 w 468"/>
                  <a:gd name="T29" fmla="*/ 187 h 219"/>
                  <a:gd name="T30" fmla="*/ 1 w 468"/>
                  <a:gd name="T31" fmla="*/ 142 h 219"/>
                  <a:gd name="T32" fmla="*/ 9 w 468"/>
                  <a:gd name="T33" fmla="*/ 101 h 219"/>
                  <a:gd name="T34" fmla="*/ 36 w 468"/>
                  <a:gd name="T35" fmla="*/ 79 h 219"/>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468"/>
                  <a:gd name="T55" fmla="*/ 0 h 219"/>
                  <a:gd name="T56" fmla="*/ 468 w 468"/>
                  <a:gd name="T57" fmla="*/ 219 h 219"/>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468" h="219">
                    <a:moveTo>
                      <a:pt x="21" y="89"/>
                    </a:moveTo>
                    <a:cubicBezTo>
                      <a:pt x="41" y="76"/>
                      <a:pt x="61" y="64"/>
                      <a:pt x="92" y="52"/>
                    </a:cubicBezTo>
                    <a:cubicBezTo>
                      <a:pt x="123" y="40"/>
                      <a:pt x="178" y="24"/>
                      <a:pt x="209" y="16"/>
                    </a:cubicBezTo>
                    <a:cubicBezTo>
                      <a:pt x="240" y="8"/>
                      <a:pt x="255" y="5"/>
                      <a:pt x="281" y="3"/>
                    </a:cubicBezTo>
                    <a:cubicBezTo>
                      <a:pt x="307" y="1"/>
                      <a:pt x="340" y="0"/>
                      <a:pt x="365" y="5"/>
                    </a:cubicBezTo>
                    <a:cubicBezTo>
                      <a:pt x="390" y="10"/>
                      <a:pt x="416" y="25"/>
                      <a:pt x="431" y="36"/>
                    </a:cubicBezTo>
                    <a:cubicBezTo>
                      <a:pt x="446" y="47"/>
                      <a:pt x="452" y="61"/>
                      <a:pt x="458" y="72"/>
                    </a:cubicBezTo>
                    <a:cubicBezTo>
                      <a:pt x="464" y="83"/>
                      <a:pt x="468" y="90"/>
                      <a:pt x="467" y="100"/>
                    </a:cubicBezTo>
                    <a:cubicBezTo>
                      <a:pt x="466" y="110"/>
                      <a:pt x="468" y="120"/>
                      <a:pt x="449" y="130"/>
                    </a:cubicBezTo>
                    <a:cubicBezTo>
                      <a:pt x="430" y="140"/>
                      <a:pt x="383" y="153"/>
                      <a:pt x="351" y="163"/>
                    </a:cubicBezTo>
                    <a:cubicBezTo>
                      <a:pt x="319" y="173"/>
                      <a:pt x="287" y="181"/>
                      <a:pt x="259" y="187"/>
                    </a:cubicBezTo>
                    <a:cubicBezTo>
                      <a:pt x="231" y="193"/>
                      <a:pt x="208" y="196"/>
                      <a:pt x="183" y="201"/>
                    </a:cubicBezTo>
                    <a:cubicBezTo>
                      <a:pt x="158" y="206"/>
                      <a:pt x="131" y="215"/>
                      <a:pt x="109" y="217"/>
                    </a:cubicBezTo>
                    <a:cubicBezTo>
                      <a:pt x="87" y="219"/>
                      <a:pt x="66" y="217"/>
                      <a:pt x="49" y="212"/>
                    </a:cubicBezTo>
                    <a:cubicBezTo>
                      <a:pt x="32" y="207"/>
                      <a:pt x="16" y="199"/>
                      <a:pt x="8" y="187"/>
                    </a:cubicBezTo>
                    <a:cubicBezTo>
                      <a:pt x="0" y="175"/>
                      <a:pt x="1" y="156"/>
                      <a:pt x="1" y="142"/>
                    </a:cubicBezTo>
                    <a:cubicBezTo>
                      <a:pt x="1" y="128"/>
                      <a:pt x="3" y="111"/>
                      <a:pt x="9" y="101"/>
                    </a:cubicBezTo>
                    <a:cubicBezTo>
                      <a:pt x="15" y="91"/>
                      <a:pt x="25" y="85"/>
                      <a:pt x="36" y="79"/>
                    </a:cubicBezTo>
                  </a:path>
                </a:pathLst>
              </a:custGeom>
              <a:noFill/>
              <a:ln w="9525">
                <a:solidFill>
                  <a:srgbClr val="000000"/>
                </a:solidFill>
                <a:round/>
                <a:headEnd/>
                <a:tailEnd/>
              </a:ln>
            </xdr:spPr>
          </xdr:sp>
        </xdr:grpSp>
        <xdr:sp macro="" textlink="">
          <xdr:nvSpPr>
            <xdr:cNvPr id="3381" name="Text Box 309">
              <a:extLst>
                <a:ext uri="{FF2B5EF4-FFF2-40B4-BE49-F238E27FC236}">
                  <a16:creationId xmlns:a16="http://schemas.microsoft.com/office/drawing/2014/main" id="{00000000-0008-0000-0400-0000350D0000}"/>
                </a:ext>
              </a:extLst>
            </xdr:cNvPr>
            <xdr:cNvSpPr txBox="1">
              <a:spLocks noChangeArrowheads="1"/>
            </xdr:cNvSpPr>
          </xdr:nvSpPr>
          <xdr:spPr bwMode="auto">
            <a:xfrm>
              <a:off x="914" y="283"/>
              <a:ext cx="37" cy="17"/>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Symbol"/>
                </a:rPr>
                <a:t>y </a:t>
              </a:r>
              <a:r>
                <a:rPr lang="en-US" sz="1000" b="0" i="0" strike="noStrike">
                  <a:solidFill>
                    <a:srgbClr val="000000"/>
                  </a:solidFill>
                  <a:latin typeface="Arial"/>
                  <a:cs typeface="Arial"/>
                </a:rPr>
                <a:t>= 0</a:t>
              </a:r>
            </a:p>
          </xdr:txBody>
        </xdr:sp>
        <xdr:sp macro="" textlink="">
          <xdr:nvSpPr>
            <xdr:cNvPr id="2729279" name="Line 314">
              <a:extLst>
                <a:ext uri="{FF2B5EF4-FFF2-40B4-BE49-F238E27FC236}">
                  <a16:creationId xmlns:a16="http://schemas.microsoft.com/office/drawing/2014/main" id="{00000000-0008-0000-0400-00003FA52900}"/>
                </a:ext>
              </a:extLst>
            </xdr:cNvPr>
            <xdr:cNvSpPr>
              <a:spLocks noChangeShapeType="1"/>
            </xdr:cNvSpPr>
          </xdr:nvSpPr>
          <xdr:spPr bwMode="auto">
            <a:xfrm flipV="1">
              <a:off x="984" y="240"/>
              <a:ext cx="38" cy="47"/>
            </a:xfrm>
            <a:prstGeom prst="line">
              <a:avLst/>
            </a:prstGeom>
            <a:noFill/>
            <a:ln w="9525">
              <a:solidFill>
                <a:srgbClr val="000000"/>
              </a:solidFill>
              <a:round/>
              <a:headEnd/>
              <a:tailEnd type="stealth" w="med" len="med"/>
            </a:ln>
          </xdr:spPr>
        </xdr:sp>
        <xdr:sp macro="" textlink="">
          <xdr:nvSpPr>
            <xdr:cNvPr id="2729280" name="Line 315">
              <a:extLst>
                <a:ext uri="{FF2B5EF4-FFF2-40B4-BE49-F238E27FC236}">
                  <a16:creationId xmlns:a16="http://schemas.microsoft.com/office/drawing/2014/main" id="{00000000-0008-0000-0400-000040A52900}"/>
                </a:ext>
              </a:extLst>
            </xdr:cNvPr>
            <xdr:cNvSpPr>
              <a:spLocks noChangeShapeType="1"/>
            </xdr:cNvSpPr>
          </xdr:nvSpPr>
          <xdr:spPr bwMode="auto">
            <a:xfrm flipH="1" flipV="1">
              <a:off x="906" y="269"/>
              <a:ext cx="10" cy="43"/>
            </a:xfrm>
            <a:prstGeom prst="line">
              <a:avLst/>
            </a:prstGeom>
            <a:noFill/>
            <a:ln w="9525">
              <a:solidFill>
                <a:srgbClr val="000000"/>
              </a:solidFill>
              <a:round/>
              <a:headEnd/>
              <a:tailEnd type="stealth" w="sm" len="med"/>
            </a:ln>
          </xdr:spPr>
        </xdr:sp>
        <xdr:sp macro="" textlink="">
          <xdr:nvSpPr>
            <xdr:cNvPr id="3390" name="Text Box 318">
              <a:extLst>
                <a:ext uri="{FF2B5EF4-FFF2-40B4-BE49-F238E27FC236}">
                  <a16:creationId xmlns:a16="http://schemas.microsoft.com/office/drawing/2014/main" id="{00000000-0008-0000-0400-00003E0D0000}"/>
                </a:ext>
              </a:extLst>
            </xdr:cNvPr>
            <xdr:cNvSpPr txBox="1">
              <a:spLocks noChangeArrowheads="1"/>
            </xdr:cNvSpPr>
          </xdr:nvSpPr>
          <xdr:spPr bwMode="auto">
            <a:xfrm>
              <a:off x="591" y="251"/>
              <a:ext cx="16" cy="15"/>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a:t>
              </a:r>
            </a:p>
          </xdr:txBody>
        </xdr:sp>
        <xdr:sp macro="" textlink="">
          <xdr:nvSpPr>
            <xdr:cNvPr id="3391" name="Text Box 319">
              <a:extLst>
                <a:ext uri="{FF2B5EF4-FFF2-40B4-BE49-F238E27FC236}">
                  <a16:creationId xmlns:a16="http://schemas.microsoft.com/office/drawing/2014/main" id="{00000000-0008-0000-0400-00003F0D0000}"/>
                </a:ext>
              </a:extLst>
            </xdr:cNvPr>
            <xdr:cNvSpPr txBox="1">
              <a:spLocks noChangeArrowheads="1"/>
            </xdr:cNvSpPr>
          </xdr:nvSpPr>
          <xdr:spPr bwMode="auto">
            <a:xfrm>
              <a:off x="790" y="287"/>
              <a:ext cx="16"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a:t>
              </a:r>
            </a:p>
          </xdr:txBody>
        </xdr:sp>
        <xdr:sp macro="" textlink="">
          <xdr:nvSpPr>
            <xdr:cNvPr id="3392" name="Text Box 320">
              <a:extLst>
                <a:ext uri="{FF2B5EF4-FFF2-40B4-BE49-F238E27FC236}">
                  <a16:creationId xmlns:a16="http://schemas.microsoft.com/office/drawing/2014/main" id="{00000000-0008-0000-0400-0000400D0000}"/>
                </a:ext>
              </a:extLst>
            </xdr:cNvPr>
            <xdr:cNvSpPr txBox="1">
              <a:spLocks noChangeArrowheads="1"/>
            </xdr:cNvSpPr>
          </xdr:nvSpPr>
          <xdr:spPr bwMode="auto">
            <a:xfrm>
              <a:off x="745" y="78"/>
              <a:ext cx="16"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a:t>
              </a:r>
            </a:p>
          </xdr:txBody>
        </xdr:sp>
        <xdr:sp macro="" textlink="">
          <xdr:nvSpPr>
            <xdr:cNvPr id="3393" name="Text Box 321">
              <a:extLst>
                <a:ext uri="{FF2B5EF4-FFF2-40B4-BE49-F238E27FC236}">
                  <a16:creationId xmlns:a16="http://schemas.microsoft.com/office/drawing/2014/main" id="{00000000-0008-0000-0400-0000410D0000}"/>
                </a:ext>
              </a:extLst>
            </xdr:cNvPr>
            <xdr:cNvSpPr txBox="1">
              <a:spLocks noChangeArrowheads="1"/>
            </xdr:cNvSpPr>
          </xdr:nvSpPr>
          <xdr:spPr bwMode="auto">
            <a:xfrm>
              <a:off x="564" y="302"/>
              <a:ext cx="340" cy="15"/>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Sections AB and CD are normal to, and parallel to, the local ridge line.</a:t>
              </a:r>
            </a:p>
          </xdr:txBody>
        </xdr:sp>
        <xdr:sp macro="" textlink="">
          <xdr:nvSpPr>
            <xdr:cNvPr id="3394" name="Text Box 322">
              <a:extLst>
                <a:ext uri="{FF2B5EF4-FFF2-40B4-BE49-F238E27FC236}">
                  <a16:creationId xmlns:a16="http://schemas.microsoft.com/office/drawing/2014/main" id="{00000000-0008-0000-0400-0000420D0000}"/>
                </a:ext>
              </a:extLst>
            </xdr:cNvPr>
            <xdr:cNvSpPr txBox="1">
              <a:spLocks noChangeArrowheads="1"/>
            </xdr:cNvSpPr>
          </xdr:nvSpPr>
          <xdr:spPr bwMode="auto">
            <a:xfrm>
              <a:off x="1010" y="258"/>
              <a:ext cx="15"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3396" name="Text Box 324">
              <a:extLst>
                <a:ext uri="{FF2B5EF4-FFF2-40B4-BE49-F238E27FC236}">
                  <a16:creationId xmlns:a16="http://schemas.microsoft.com/office/drawing/2014/main" id="{00000000-0008-0000-0400-0000440D0000}"/>
                </a:ext>
              </a:extLst>
            </xdr:cNvPr>
            <xdr:cNvSpPr txBox="1">
              <a:spLocks noChangeArrowheads="1"/>
            </xdr:cNvSpPr>
          </xdr:nvSpPr>
          <xdr:spPr bwMode="auto">
            <a:xfrm>
              <a:off x="991" y="302"/>
              <a:ext cx="294" cy="1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Axes 0</a:t>
              </a:r>
              <a:r>
                <a:rPr lang="en-US" sz="800" b="0" i="1" strike="noStrike">
                  <a:solidFill>
                    <a:srgbClr val="000000"/>
                  </a:solidFill>
                  <a:latin typeface="Arial"/>
                  <a:cs typeface="Arial"/>
                </a:rPr>
                <a:t>x</a:t>
              </a:r>
              <a:r>
                <a:rPr lang="en-US" sz="800" b="0" i="0" strike="noStrike">
                  <a:solidFill>
                    <a:srgbClr val="000000"/>
                  </a:solidFill>
                  <a:latin typeface="Arial"/>
                  <a:cs typeface="Arial"/>
                </a:rPr>
                <a:t> and 0</a:t>
              </a:r>
              <a:r>
                <a:rPr lang="en-US" sz="800" b="0" i="1" strike="noStrike">
                  <a:solidFill>
                    <a:srgbClr val="000000"/>
                  </a:solidFill>
                  <a:latin typeface="Arial"/>
                  <a:cs typeface="Arial"/>
                </a:rPr>
                <a:t>y</a:t>
              </a:r>
              <a:r>
                <a:rPr lang="en-US" sz="800" b="0" i="0" strike="noStrike">
                  <a:solidFill>
                    <a:srgbClr val="000000"/>
                  </a:solidFill>
                  <a:latin typeface="Arial"/>
                  <a:cs typeface="Arial"/>
                </a:rPr>
                <a:t> are parallel to CD and AB respectively.</a:t>
              </a:r>
            </a:p>
          </xdr:txBody>
        </xdr:sp>
        <xdr:grpSp>
          <xdr:nvGrpSpPr>
            <xdr:cNvPr id="2729287" name="Group 325">
              <a:extLst>
                <a:ext uri="{FF2B5EF4-FFF2-40B4-BE49-F238E27FC236}">
                  <a16:creationId xmlns:a16="http://schemas.microsoft.com/office/drawing/2014/main" id="{00000000-0008-0000-0400-000047A52900}"/>
                </a:ext>
              </a:extLst>
            </xdr:cNvPr>
            <xdr:cNvGrpSpPr>
              <a:grpSpLocks/>
            </xdr:cNvGrpSpPr>
          </xdr:nvGrpSpPr>
          <xdr:grpSpPr bwMode="auto">
            <a:xfrm>
              <a:off x="777" y="162"/>
              <a:ext cx="126" cy="64"/>
              <a:chOff x="711" y="166"/>
              <a:chExt cx="126" cy="63"/>
            </a:xfrm>
          </xdr:grpSpPr>
          <xdr:sp macro="" textlink="">
            <xdr:nvSpPr>
              <xdr:cNvPr id="2729292" name="AutoShape 326">
                <a:extLst>
                  <a:ext uri="{FF2B5EF4-FFF2-40B4-BE49-F238E27FC236}">
                    <a16:creationId xmlns:a16="http://schemas.microsoft.com/office/drawing/2014/main" id="{00000000-0008-0000-0400-00004CA52900}"/>
                  </a:ext>
                </a:extLst>
              </xdr:cNvPr>
              <xdr:cNvSpPr>
                <a:spLocks noChangeArrowheads="1"/>
              </xdr:cNvSpPr>
            </xdr:nvSpPr>
            <xdr:spPr bwMode="auto">
              <a:xfrm>
                <a:off x="711" y="218"/>
                <a:ext cx="8" cy="8"/>
              </a:xfrm>
              <a:prstGeom prst="diamond">
                <a:avLst/>
              </a:prstGeom>
              <a:solidFill>
                <a:srgbClr val="000000"/>
              </a:solidFill>
              <a:ln w="9525">
                <a:solidFill>
                  <a:srgbClr val="000000"/>
                </a:solidFill>
                <a:miter lim="800000"/>
                <a:headEnd/>
                <a:tailEnd/>
              </a:ln>
            </xdr:spPr>
          </xdr:sp>
          <xdr:sp macro="" textlink="">
            <xdr:nvSpPr>
              <xdr:cNvPr id="2729293" name="AutoShape 327">
                <a:extLst>
                  <a:ext uri="{FF2B5EF4-FFF2-40B4-BE49-F238E27FC236}">
                    <a16:creationId xmlns:a16="http://schemas.microsoft.com/office/drawing/2014/main" id="{00000000-0008-0000-0400-00004DA52900}"/>
                  </a:ext>
                </a:extLst>
              </xdr:cNvPr>
              <xdr:cNvSpPr>
                <a:spLocks noChangeArrowheads="1"/>
              </xdr:cNvSpPr>
            </xdr:nvSpPr>
            <xdr:spPr bwMode="auto">
              <a:xfrm>
                <a:off x="814" y="176"/>
                <a:ext cx="9" cy="10"/>
              </a:xfrm>
              <a:prstGeom prst="triangle">
                <a:avLst>
                  <a:gd name="adj" fmla="val 50000"/>
                </a:avLst>
              </a:prstGeom>
              <a:solidFill>
                <a:srgbClr val="000000"/>
              </a:solidFill>
              <a:ln w="9525">
                <a:solidFill>
                  <a:srgbClr val="000000"/>
                </a:solidFill>
                <a:miter lim="800000"/>
                <a:headEnd/>
                <a:tailEnd/>
              </a:ln>
            </xdr:spPr>
          </xdr:sp>
          <xdr:sp macro="" textlink="">
            <xdr:nvSpPr>
              <xdr:cNvPr id="3400" name="Text Box 328">
                <a:extLst>
                  <a:ext uri="{FF2B5EF4-FFF2-40B4-BE49-F238E27FC236}">
                    <a16:creationId xmlns:a16="http://schemas.microsoft.com/office/drawing/2014/main" id="{00000000-0008-0000-0400-0000480D0000}"/>
                  </a:ext>
                </a:extLst>
              </xdr:cNvPr>
              <xdr:cNvSpPr txBox="1">
                <a:spLocks noChangeArrowheads="1"/>
              </xdr:cNvSpPr>
            </xdr:nvSpPr>
            <xdr:spPr bwMode="auto">
              <a:xfrm>
                <a:off x="823" y="166"/>
                <a:ext cx="14" cy="17"/>
              </a:xfrm>
              <a:prstGeom prst="rect">
                <a:avLst/>
              </a:prstGeom>
              <a:solidFill>
                <a:srgbClr val="008080"/>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3401" name="Text Box 329">
                <a:extLst>
                  <a:ext uri="{FF2B5EF4-FFF2-40B4-BE49-F238E27FC236}">
                    <a16:creationId xmlns:a16="http://schemas.microsoft.com/office/drawing/2014/main" id="{00000000-0008-0000-0400-0000490D0000}"/>
                  </a:ext>
                </a:extLst>
              </xdr:cNvPr>
              <xdr:cNvSpPr txBox="1">
                <a:spLocks noChangeArrowheads="1"/>
              </xdr:cNvSpPr>
            </xdr:nvSpPr>
            <xdr:spPr bwMode="auto">
              <a:xfrm>
                <a:off x="719" y="216"/>
                <a:ext cx="25" cy="13"/>
              </a:xfrm>
              <a:prstGeom prst="rect">
                <a:avLst/>
              </a:prstGeom>
              <a:solidFill>
                <a:srgbClr val="008000"/>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Site</a:t>
                </a:r>
              </a:p>
            </xdr:txBody>
          </xdr:sp>
          <xdr:sp macro="" textlink="">
            <xdr:nvSpPr>
              <xdr:cNvPr id="3402" name="Text Box 330">
                <a:extLst>
                  <a:ext uri="{FF2B5EF4-FFF2-40B4-BE49-F238E27FC236}">
                    <a16:creationId xmlns:a16="http://schemas.microsoft.com/office/drawing/2014/main" id="{00000000-0008-0000-0400-00004A0D0000}"/>
                  </a:ext>
                </a:extLst>
              </xdr:cNvPr>
              <xdr:cNvSpPr txBox="1">
                <a:spLocks noChangeArrowheads="1"/>
              </xdr:cNvSpPr>
            </xdr:nvSpPr>
            <xdr:spPr bwMode="auto">
              <a:xfrm>
                <a:off x="775" y="174"/>
                <a:ext cx="40" cy="15"/>
              </a:xfrm>
              <a:prstGeom prst="rect">
                <a:avLst/>
              </a:prstGeom>
              <a:solidFill>
                <a:srgbClr val="008080"/>
              </a:solidFill>
              <a:ln w="9525">
                <a:noFill/>
                <a:prstDash val="lgDashDot"/>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Summit</a:t>
                </a:r>
              </a:p>
            </xdr:txBody>
          </xdr:sp>
        </xdr:grpSp>
        <xdr:sp macro="" textlink="">
          <xdr:nvSpPr>
            <xdr:cNvPr id="2729288" name="Line 332">
              <a:extLst>
                <a:ext uri="{FF2B5EF4-FFF2-40B4-BE49-F238E27FC236}">
                  <a16:creationId xmlns:a16="http://schemas.microsoft.com/office/drawing/2014/main" id="{00000000-0008-0000-0400-000048A52900}"/>
                </a:ext>
              </a:extLst>
            </xdr:cNvPr>
            <xdr:cNvSpPr>
              <a:spLocks noChangeShapeType="1"/>
            </xdr:cNvSpPr>
          </xdr:nvSpPr>
          <xdr:spPr bwMode="auto">
            <a:xfrm rot="451304" flipV="1">
              <a:off x="615" y="101"/>
              <a:ext cx="471" cy="172"/>
            </a:xfrm>
            <a:prstGeom prst="line">
              <a:avLst/>
            </a:prstGeom>
            <a:noFill/>
            <a:ln w="9525">
              <a:solidFill>
                <a:srgbClr val="FF6600"/>
              </a:solidFill>
              <a:prstDash val="lgDashDot"/>
              <a:round/>
              <a:headEnd type="none" w="sm" len="med"/>
              <a:tailEnd type="stealth" w="sm" len="med"/>
            </a:ln>
          </xdr:spPr>
        </xdr:sp>
        <xdr:sp macro="" textlink="">
          <xdr:nvSpPr>
            <xdr:cNvPr id="2729289" name="Line 333">
              <a:extLst>
                <a:ext uri="{FF2B5EF4-FFF2-40B4-BE49-F238E27FC236}">
                  <a16:creationId xmlns:a16="http://schemas.microsoft.com/office/drawing/2014/main" id="{00000000-0008-0000-0400-000049A52900}"/>
                </a:ext>
              </a:extLst>
            </xdr:cNvPr>
            <xdr:cNvSpPr>
              <a:spLocks noChangeShapeType="1"/>
            </xdr:cNvSpPr>
          </xdr:nvSpPr>
          <xdr:spPr bwMode="auto">
            <a:xfrm>
              <a:off x="755" y="98"/>
              <a:ext cx="42" cy="205"/>
            </a:xfrm>
            <a:prstGeom prst="line">
              <a:avLst/>
            </a:prstGeom>
            <a:noFill/>
            <a:ln w="9525">
              <a:solidFill>
                <a:srgbClr val="000000"/>
              </a:solidFill>
              <a:prstDash val="lgDashDot"/>
              <a:round/>
              <a:headEnd/>
              <a:tailEnd/>
            </a:ln>
          </xdr:spPr>
        </xdr:sp>
        <xdr:sp macro="" textlink="">
          <xdr:nvSpPr>
            <xdr:cNvPr id="2729290" name="Line 334">
              <a:extLst>
                <a:ext uri="{FF2B5EF4-FFF2-40B4-BE49-F238E27FC236}">
                  <a16:creationId xmlns:a16="http://schemas.microsoft.com/office/drawing/2014/main" id="{00000000-0008-0000-0400-00004AA52900}"/>
                </a:ext>
              </a:extLst>
            </xdr:cNvPr>
            <xdr:cNvSpPr>
              <a:spLocks noChangeShapeType="1"/>
            </xdr:cNvSpPr>
          </xdr:nvSpPr>
          <xdr:spPr bwMode="auto">
            <a:xfrm rot="451304" flipV="1">
              <a:off x="610" y="113"/>
              <a:ext cx="491" cy="178"/>
            </a:xfrm>
            <a:prstGeom prst="line">
              <a:avLst/>
            </a:prstGeom>
            <a:noFill/>
            <a:ln w="9525">
              <a:solidFill>
                <a:srgbClr val="000000"/>
              </a:solidFill>
              <a:prstDash val="lgDashDot"/>
              <a:round/>
              <a:headEnd/>
              <a:tailEnd/>
            </a:ln>
          </xdr:spPr>
        </xdr:sp>
        <xdr:sp macro="" textlink="">
          <xdr:nvSpPr>
            <xdr:cNvPr id="3315" name="Text 243">
              <a:extLst>
                <a:ext uri="{FF2B5EF4-FFF2-40B4-BE49-F238E27FC236}">
                  <a16:creationId xmlns:a16="http://schemas.microsoft.com/office/drawing/2014/main" id="{00000000-0008-0000-0400-0000F30C0000}"/>
                </a:ext>
              </a:extLst>
            </xdr:cNvPr>
            <xdr:cNvSpPr txBox="1">
              <a:spLocks noChangeArrowheads="1"/>
            </xdr:cNvSpPr>
          </xdr:nvSpPr>
          <xdr:spPr bwMode="auto">
            <a:xfrm>
              <a:off x="1103" y="138"/>
              <a:ext cx="14" cy="18"/>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0" strike="noStrike">
                  <a:solidFill>
                    <a:srgbClr val="FF0000"/>
                  </a:solidFill>
                  <a:latin typeface="Arial"/>
                  <a:cs typeface="Arial"/>
                </a:rPr>
                <a:t>D</a:t>
              </a:r>
            </a:p>
          </xdr:txBody>
        </xdr:sp>
      </xdr:grpSp>
      <xdr:sp macro="" textlink="">
        <xdr:nvSpPr>
          <xdr:cNvPr id="3388" name="Text Box 316">
            <a:extLst>
              <a:ext uri="{FF2B5EF4-FFF2-40B4-BE49-F238E27FC236}">
                <a16:creationId xmlns:a16="http://schemas.microsoft.com/office/drawing/2014/main" id="{00000000-0008-0000-0400-00003C0D0000}"/>
              </a:ext>
            </a:extLst>
          </xdr:cNvPr>
          <xdr:cNvSpPr txBox="1">
            <a:spLocks noChangeArrowheads="1"/>
          </xdr:cNvSpPr>
        </xdr:nvSpPr>
        <xdr:spPr bwMode="auto">
          <a:xfrm>
            <a:off x="844" y="59"/>
            <a:ext cx="15" cy="19"/>
          </a:xfrm>
          <a:prstGeom prst="rect">
            <a:avLst/>
          </a:prstGeom>
          <a:solidFill>
            <a:srgbClr val="CCFFCC"/>
          </a:solidFill>
          <a:ln w="9525">
            <a:no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p>
        </xdr:txBody>
      </xdr:sp>
      <xdr:sp macro="" textlink="">
        <xdr:nvSpPr>
          <xdr:cNvPr id="2729272" name="Line 335">
            <a:extLst>
              <a:ext uri="{FF2B5EF4-FFF2-40B4-BE49-F238E27FC236}">
                <a16:creationId xmlns:a16="http://schemas.microsoft.com/office/drawing/2014/main" id="{00000000-0008-0000-0400-000038A52900}"/>
              </a:ext>
            </a:extLst>
          </xdr:cNvPr>
          <xdr:cNvSpPr>
            <a:spLocks noChangeShapeType="1"/>
          </xdr:cNvSpPr>
        </xdr:nvSpPr>
        <xdr:spPr bwMode="auto">
          <a:xfrm>
            <a:off x="859" y="65"/>
            <a:ext cx="41" cy="185"/>
          </a:xfrm>
          <a:prstGeom prst="line">
            <a:avLst/>
          </a:prstGeom>
          <a:noFill/>
          <a:ln w="6350">
            <a:solidFill>
              <a:srgbClr val="FF0000"/>
            </a:solidFill>
            <a:prstDash val="lgDashDot"/>
            <a:round/>
            <a:headEnd type="stealth" w="sm" len="med"/>
            <a:tailEnd/>
          </a:ln>
        </xdr:spPr>
      </xdr:sp>
      <xdr:grpSp>
        <xdr:nvGrpSpPr>
          <xdr:cNvPr id="2729273" name="Group 311">
            <a:extLst>
              <a:ext uri="{FF2B5EF4-FFF2-40B4-BE49-F238E27FC236}">
                <a16:creationId xmlns:a16="http://schemas.microsoft.com/office/drawing/2014/main" id="{00000000-0008-0000-0400-000039A52900}"/>
              </a:ext>
            </a:extLst>
          </xdr:cNvPr>
          <xdr:cNvGrpSpPr>
            <a:grpSpLocks/>
          </xdr:cNvGrpSpPr>
        </xdr:nvGrpSpPr>
        <xdr:grpSpPr bwMode="auto">
          <a:xfrm>
            <a:off x="621" y="83"/>
            <a:ext cx="118" cy="79"/>
            <a:chOff x="555" y="87"/>
            <a:chExt cx="118" cy="79"/>
          </a:xfrm>
        </xdr:grpSpPr>
        <xdr:sp macro="" textlink="">
          <xdr:nvSpPr>
            <xdr:cNvPr id="3384" name="Text Box 312">
              <a:extLst>
                <a:ext uri="{FF2B5EF4-FFF2-40B4-BE49-F238E27FC236}">
                  <a16:creationId xmlns:a16="http://schemas.microsoft.com/office/drawing/2014/main" id="{00000000-0008-0000-0400-0000380D0000}"/>
                </a:ext>
              </a:extLst>
            </xdr:cNvPr>
            <xdr:cNvSpPr txBox="1">
              <a:spLocks noChangeArrowheads="1"/>
            </xdr:cNvSpPr>
          </xdr:nvSpPr>
          <xdr:spPr bwMode="auto">
            <a:xfrm>
              <a:off x="555" y="87"/>
              <a:ext cx="74" cy="17"/>
            </a:xfrm>
            <a:prstGeom prst="rect">
              <a:avLst/>
            </a:prstGeom>
            <a:solidFill>
              <a:srgbClr val="CCFFCC"/>
            </a:solidFill>
            <a:ln w="9525">
              <a:solidFill>
                <a:srgbClr val="CC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H</a:t>
              </a:r>
              <a:r>
                <a:rPr lang="en-US" sz="1000" b="0" i="0" strike="noStrike">
                  <a:solidFill>
                    <a:srgbClr val="000000"/>
                  </a:solidFill>
                  <a:latin typeface="Arial"/>
                  <a:cs typeface="Arial"/>
                </a:rPr>
                <a:t>/2 contour</a:t>
              </a:r>
            </a:p>
          </xdr:txBody>
        </xdr:sp>
        <xdr:sp macro="" textlink="">
          <xdr:nvSpPr>
            <xdr:cNvPr id="2729275" name="Line 313">
              <a:extLst>
                <a:ext uri="{FF2B5EF4-FFF2-40B4-BE49-F238E27FC236}">
                  <a16:creationId xmlns:a16="http://schemas.microsoft.com/office/drawing/2014/main" id="{00000000-0008-0000-0400-00003BA52900}"/>
                </a:ext>
              </a:extLst>
            </xdr:cNvPr>
            <xdr:cNvSpPr>
              <a:spLocks noChangeShapeType="1"/>
            </xdr:cNvSpPr>
          </xdr:nvSpPr>
          <xdr:spPr bwMode="auto">
            <a:xfrm>
              <a:off x="623" y="105"/>
              <a:ext cx="50" cy="61"/>
            </a:xfrm>
            <a:prstGeom prst="line">
              <a:avLst/>
            </a:prstGeom>
            <a:noFill/>
            <a:ln w="9525">
              <a:solidFill>
                <a:srgbClr val="000000"/>
              </a:solidFill>
              <a:round/>
              <a:headEnd/>
              <a:tailEnd type="stealth" w="sm" len="med"/>
            </a:ln>
          </xdr:spPr>
        </xdr:sp>
      </xdr:grpSp>
    </xdr:grpSp>
    <xdr:clientData/>
  </xdr:twoCellAnchor>
  <xdr:twoCellAnchor editAs="oneCell">
    <xdr:from>
      <xdr:col>12</xdr:col>
      <xdr:colOff>304800</xdr:colOff>
      <xdr:row>14</xdr:row>
      <xdr:rowOff>142875</xdr:rowOff>
    </xdr:from>
    <xdr:to>
      <xdr:col>12</xdr:col>
      <xdr:colOff>381000</xdr:colOff>
      <xdr:row>16</xdr:row>
      <xdr:rowOff>9525</xdr:rowOff>
    </xdr:to>
    <xdr:sp macro="" textlink="">
      <xdr:nvSpPr>
        <xdr:cNvPr id="2729177" name="Text Box 323">
          <a:extLst>
            <a:ext uri="{FF2B5EF4-FFF2-40B4-BE49-F238E27FC236}">
              <a16:creationId xmlns:a16="http://schemas.microsoft.com/office/drawing/2014/main" id="{00000000-0008-0000-0400-0000D9A42900}"/>
            </a:ext>
          </a:extLst>
        </xdr:cNvPr>
        <xdr:cNvSpPr txBox="1">
          <a:spLocks noChangeArrowheads="1"/>
        </xdr:cNvSpPr>
      </xdr:nvSpPr>
      <xdr:spPr bwMode="auto">
        <a:xfrm>
          <a:off x="9172575" y="2428875"/>
          <a:ext cx="76200" cy="190500"/>
        </a:xfrm>
        <a:prstGeom prst="rect">
          <a:avLst/>
        </a:prstGeom>
        <a:noFill/>
        <a:ln w="9525">
          <a:noFill/>
          <a:prstDash val="lgDashDot"/>
          <a:miter lim="800000"/>
          <a:headEnd/>
          <a:tailEnd/>
        </a:ln>
      </xdr:spPr>
    </xdr:sp>
    <xdr:clientData/>
  </xdr:twoCellAnchor>
  <xdr:twoCellAnchor editAs="oneCell">
    <xdr:from>
      <xdr:col>11</xdr:col>
      <xdr:colOff>266700</xdr:colOff>
      <xdr:row>16</xdr:row>
      <xdr:rowOff>76200</xdr:rowOff>
    </xdr:from>
    <xdr:to>
      <xdr:col>11</xdr:col>
      <xdr:colOff>342900</xdr:colOff>
      <xdr:row>17</xdr:row>
      <xdr:rowOff>104775</xdr:rowOff>
    </xdr:to>
    <xdr:sp macro="" textlink="">
      <xdr:nvSpPr>
        <xdr:cNvPr id="2729178" name="Text 2">
          <a:extLst>
            <a:ext uri="{FF2B5EF4-FFF2-40B4-BE49-F238E27FC236}">
              <a16:creationId xmlns:a16="http://schemas.microsoft.com/office/drawing/2014/main" id="{00000000-0008-0000-0400-0000DAA42900}"/>
            </a:ext>
          </a:extLst>
        </xdr:cNvPr>
        <xdr:cNvSpPr txBox="1">
          <a:spLocks noChangeArrowheads="1"/>
        </xdr:cNvSpPr>
      </xdr:nvSpPr>
      <xdr:spPr bwMode="auto">
        <a:xfrm>
          <a:off x="8524875" y="2686050"/>
          <a:ext cx="76200" cy="190500"/>
        </a:xfrm>
        <a:prstGeom prst="rect">
          <a:avLst/>
        </a:prstGeom>
        <a:noFill/>
        <a:ln w="9525">
          <a:noFill/>
          <a:miter lim="800000"/>
          <a:headEnd/>
          <a:tailEnd/>
        </a:ln>
      </xdr:spPr>
    </xdr:sp>
    <xdr:clientData/>
  </xdr:twoCellAnchor>
  <xdr:twoCellAnchor editAs="oneCell">
    <xdr:from>
      <xdr:col>25</xdr:col>
      <xdr:colOff>523875</xdr:colOff>
      <xdr:row>15</xdr:row>
      <xdr:rowOff>114300</xdr:rowOff>
    </xdr:from>
    <xdr:to>
      <xdr:col>25</xdr:col>
      <xdr:colOff>590550</xdr:colOff>
      <xdr:row>16</xdr:row>
      <xdr:rowOff>142875</xdr:rowOff>
    </xdr:to>
    <xdr:sp macro="" textlink="">
      <xdr:nvSpPr>
        <xdr:cNvPr id="2729179" name="Text 3">
          <a:extLst>
            <a:ext uri="{FF2B5EF4-FFF2-40B4-BE49-F238E27FC236}">
              <a16:creationId xmlns:a16="http://schemas.microsoft.com/office/drawing/2014/main" id="{00000000-0008-0000-0400-0000DBA42900}"/>
            </a:ext>
          </a:extLst>
        </xdr:cNvPr>
        <xdr:cNvSpPr txBox="1">
          <a:spLocks noChangeArrowheads="1"/>
        </xdr:cNvSpPr>
      </xdr:nvSpPr>
      <xdr:spPr bwMode="auto">
        <a:xfrm>
          <a:off x="17316450" y="2562225"/>
          <a:ext cx="66675" cy="190500"/>
        </a:xfrm>
        <a:prstGeom prst="rect">
          <a:avLst/>
        </a:prstGeom>
        <a:noFill/>
        <a:ln w="9525">
          <a:noFill/>
          <a:miter lim="800000"/>
          <a:headEnd/>
          <a:tailEnd/>
        </a:ln>
      </xdr:spPr>
    </xdr:sp>
    <xdr:clientData/>
  </xdr:twoCellAnchor>
  <xdr:twoCellAnchor>
    <xdr:from>
      <xdr:col>15</xdr:col>
      <xdr:colOff>361950</xdr:colOff>
      <xdr:row>6</xdr:row>
      <xdr:rowOff>104775</xdr:rowOff>
    </xdr:from>
    <xdr:to>
      <xdr:col>18</xdr:col>
      <xdr:colOff>123825</xdr:colOff>
      <xdr:row>15</xdr:row>
      <xdr:rowOff>95250</xdr:rowOff>
    </xdr:to>
    <xdr:grpSp>
      <xdr:nvGrpSpPr>
        <xdr:cNvPr id="2729180" name="Group 557">
          <a:extLst>
            <a:ext uri="{FF2B5EF4-FFF2-40B4-BE49-F238E27FC236}">
              <a16:creationId xmlns:a16="http://schemas.microsoft.com/office/drawing/2014/main" id="{00000000-0008-0000-0400-0000DCA42900}"/>
            </a:ext>
          </a:extLst>
        </xdr:cNvPr>
        <xdr:cNvGrpSpPr>
          <a:grpSpLocks/>
        </xdr:cNvGrpSpPr>
      </xdr:nvGrpSpPr>
      <xdr:grpSpPr bwMode="auto">
        <a:xfrm>
          <a:off x="11058525" y="1095375"/>
          <a:ext cx="1590675" cy="1447800"/>
          <a:chOff x="1126" y="115"/>
          <a:chExt cx="167" cy="152"/>
        </a:xfrm>
      </xdr:grpSpPr>
      <xdr:sp macro="" textlink="">
        <xdr:nvSpPr>
          <xdr:cNvPr id="3410" name="Text Box 338">
            <a:extLst>
              <a:ext uri="{FF2B5EF4-FFF2-40B4-BE49-F238E27FC236}">
                <a16:creationId xmlns:a16="http://schemas.microsoft.com/office/drawing/2014/main" id="{00000000-0008-0000-0400-0000520D0000}"/>
              </a:ext>
            </a:extLst>
          </xdr:cNvPr>
          <xdr:cNvSpPr txBox="1">
            <a:spLocks noChangeArrowheads="1"/>
          </xdr:cNvSpPr>
        </xdr:nvSpPr>
        <xdr:spPr bwMode="auto">
          <a:xfrm>
            <a:off x="1145" y="218"/>
            <a:ext cx="16" cy="15"/>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3411" name="Text Box 339">
            <a:extLst>
              <a:ext uri="{FF2B5EF4-FFF2-40B4-BE49-F238E27FC236}">
                <a16:creationId xmlns:a16="http://schemas.microsoft.com/office/drawing/2014/main" id="{00000000-0008-0000-0400-0000530D0000}"/>
              </a:ext>
            </a:extLst>
          </xdr:cNvPr>
          <xdr:cNvSpPr txBox="1">
            <a:spLocks noChangeArrowheads="1"/>
          </xdr:cNvSpPr>
        </xdr:nvSpPr>
        <xdr:spPr bwMode="auto">
          <a:xfrm>
            <a:off x="1177" y="204"/>
            <a:ext cx="14" cy="17"/>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3412" name="Text Box 340">
            <a:extLst>
              <a:ext uri="{FF2B5EF4-FFF2-40B4-BE49-F238E27FC236}">
                <a16:creationId xmlns:a16="http://schemas.microsoft.com/office/drawing/2014/main" id="{00000000-0008-0000-0400-0000540D0000}"/>
              </a:ext>
            </a:extLst>
          </xdr:cNvPr>
          <xdr:cNvSpPr txBox="1">
            <a:spLocks noChangeArrowheads="1"/>
          </xdr:cNvSpPr>
        </xdr:nvSpPr>
        <xdr:spPr bwMode="auto">
          <a:xfrm>
            <a:off x="1181" y="128"/>
            <a:ext cx="17" cy="18"/>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N</a:t>
            </a:r>
          </a:p>
        </xdr:txBody>
      </xdr:sp>
      <xdr:sp macro="" textlink="">
        <xdr:nvSpPr>
          <xdr:cNvPr id="3413" name="Text Box 341">
            <a:extLst>
              <a:ext uri="{FF2B5EF4-FFF2-40B4-BE49-F238E27FC236}">
                <a16:creationId xmlns:a16="http://schemas.microsoft.com/office/drawing/2014/main" id="{00000000-0008-0000-0400-0000550D0000}"/>
              </a:ext>
            </a:extLst>
          </xdr:cNvPr>
          <xdr:cNvSpPr txBox="1">
            <a:spLocks noChangeArrowheads="1"/>
          </xdr:cNvSpPr>
        </xdr:nvSpPr>
        <xdr:spPr bwMode="auto">
          <a:xfrm>
            <a:off x="1146" y="128"/>
            <a:ext cx="14" cy="25"/>
          </a:xfrm>
          <a:prstGeom prst="rect">
            <a:avLst/>
          </a:prstGeom>
          <a:solidFill>
            <a:srgbClr val="CCFFFF"/>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p>
        </xdr:txBody>
      </xdr:sp>
      <xdr:sp macro="" textlink="">
        <xdr:nvSpPr>
          <xdr:cNvPr id="3414" name="Text Box 342">
            <a:extLst>
              <a:ext uri="{FF2B5EF4-FFF2-40B4-BE49-F238E27FC236}">
                <a16:creationId xmlns:a16="http://schemas.microsoft.com/office/drawing/2014/main" id="{00000000-0008-0000-0400-0000560D0000}"/>
              </a:ext>
            </a:extLst>
          </xdr:cNvPr>
          <xdr:cNvSpPr txBox="1">
            <a:spLocks noChangeArrowheads="1"/>
          </xdr:cNvSpPr>
        </xdr:nvSpPr>
        <xdr:spPr bwMode="auto">
          <a:xfrm>
            <a:off x="1197" y="220"/>
            <a:ext cx="71" cy="20"/>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Angle  N0</a:t>
            </a:r>
            <a:r>
              <a:rPr lang="en-US" sz="800" b="0" i="1" strike="noStrike">
                <a:solidFill>
                  <a:srgbClr val="000000"/>
                </a:solidFill>
                <a:latin typeface="Arial"/>
                <a:cs typeface="Arial"/>
              </a:rPr>
              <a:t>V</a:t>
            </a:r>
          </a:p>
        </xdr:txBody>
      </xdr:sp>
      <xdr:sp macro="" textlink="">
        <xdr:nvSpPr>
          <xdr:cNvPr id="3415" name="Text Box 343">
            <a:extLst>
              <a:ext uri="{FF2B5EF4-FFF2-40B4-BE49-F238E27FC236}">
                <a16:creationId xmlns:a16="http://schemas.microsoft.com/office/drawing/2014/main" id="{00000000-0008-0000-0400-0000570D0000}"/>
              </a:ext>
            </a:extLst>
          </xdr:cNvPr>
          <xdr:cNvSpPr txBox="1">
            <a:spLocks noChangeArrowheads="1"/>
          </xdr:cNvSpPr>
        </xdr:nvSpPr>
        <xdr:spPr bwMode="auto">
          <a:xfrm>
            <a:off x="1230" y="200"/>
            <a:ext cx="63" cy="21"/>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Angle N0y</a:t>
            </a:r>
          </a:p>
        </xdr:txBody>
      </xdr:sp>
      <xdr:sp macro="" textlink="">
        <xdr:nvSpPr>
          <xdr:cNvPr id="3416" name="Text Box 344">
            <a:extLst>
              <a:ext uri="{FF2B5EF4-FFF2-40B4-BE49-F238E27FC236}">
                <a16:creationId xmlns:a16="http://schemas.microsoft.com/office/drawing/2014/main" id="{00000000-0008-0000-0400-0000580D0000}"/>
              </a:ext>
            </a:extLst>
          </xdr:cNvPr>
          <xdr:cNvSpPr txBox="1">
            <a:spLocks noChangeArrowheads="1"/>
          </xdr:cNvSpPr>
        </xdr:nvSpPr>
        <xdr:spPr bwMode="auto">
          <a:xfrm>
            <a:off x="1162" y="115"/>
            <a:ext cx="34" cy="1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North</a:t>
            </a:r>
          </a:p>
        </xdr:txBody>
      </xdr:sp>
      <xdr:grpSp>
        <xdr:nvGrpSpPr>
          <xdr:cNvPr id="2729262" name="Group 345">
            <a:extLst>
              <a:ext uri="{FF2B5EF4-FFF2-40B4-BE49-F238E27FC236}">
                <a16:creationId xmlns:a16="http://schemas.microsoft.com/office/drawing/2014/main" id="{00000000-0008-0000-0400-00002EA52900}"/>
              </a:ext>
            </a:extLst>
          </xdr:cNvPr>
          <xdr:cNvGrpSpPr>
            <a:grpSpLocks/>
          </xdr:cNvGrpSpPr>
        </xdr:nvGrpSpPr>
        <xdr:grpSpPr bwMode="auto">
          <a:xfrm>
            <a:off x="1126" y="132"/>
            <a:ext cx="105" cy="135"/>
            <a:chOff x="1057" y="133"/>
            <a:chExt cx="105" cy="135"/>
          </a:xfrm>
        </xdr:grpSpPr>
        <xdr:sp macro="" textlink="">
          <xdr:nvSpPr>
            <xdr:cNvPr id="2729263" name="Line 346">
              <a:extLst>
                <a:ext uri="{FF2B5EF4-FFF2-40B4-BE49-F238E27FC236}">
                  <a16:creationId xmlns:a16="http://schemas.microsoft.com/office/drawing/2014/main" id="{00000000-0008-0000-0400-00002FA52900}"/>
                </a:ext>
              </a:extLst>
            </xdr:cNvPr>
            <xdr:cNvSpPr>
              <a:spLocks noChangeShapeType="1"/>
            </xdr:cNvSpPr>
          </xdr:nvSpPr>
          <xdr:spPr bwMode="auto">
            <a:xfrm flipV="1">
              <a:off x="1107" y="133"/>
              <a:ext cx="0" cy="79"/>
            </a:xfrm>
            <a:prstGeom prst="line">
              <a:avLst/>
            </a:prstGeom>
            <a:noFill/>
            <a:ln w="12700">
              <a:solidFill>
                <a:srgbClr val="000000"/>
              </a:solidFill>
              <a:round/>
              <a:headEnd/>
              <a:tailEnd type="stealth" w="sm" len="med"/>
            </a:ln>
          </xdr:spPr>
        </xdr:sp>
        <xdr:grpSp>
          <xdr:nvGrpSpPr>
            <xdr:cNvPr id="2729264" name="Group 347">
              <a:extLst>
                <a:ext uri="{FF2B5EF4-FFF2-40B4-BE49-F238E27FC236}">
                  <a16:creationId xmlns:a16="http://schemas.microsoft.com/office/drawing/2014/main" id="{00000000-0008-0000-0400-000030A52900}"/>
                </a:ext>
              </a:extLst>
            </xdr:cNvPr>
            <xdr:cNvGrpSpPr>
              <a:grpSpLocks/>
            </xdr:cNvGrpSpPr>
          </xdr:nvGrpSpPr>
          <xdr:grpSpPr bwMode="auto">
            <a:xfrm>
              <a:off x="1073" y="212"/>
              <a:ext cx="34" cy="45"/>
              <a:chOff x="1579" y="280"/>
              <a:chExt cx="34" cy="45"/>
            </a:xfrm>
          </xdr:grpSpPr>
          <xdr:sp macro="" textlink="">
            <xdr:nvSpPr>
              <xdr:cNvPr id="2729268" name="Line 348">
                <a:extLst>
                  <a:ext uri="{FF2B5EF4-FFF2-40B4-BE49-F238E27FC236}">
                    <a16:creationId xmlns:a16="http://schemas.microsoft.com/office/drawing/2014/main" id="{00000000-0008-0000-0400-000034A52900}"/>
                  </a:ext>
                </a:extLst>
              </xdr:cNvPr>
              <xdr:cNvSpPr>
                <a:spLocks noChangeShapeType="1"/>
              </xdr:cNvSpPr>
            </xdr:nvSpPr>
            <xdr:spPr bwMode="auto">
              <a:xfrm flipV="1">
                <a:off x="1579" y="301"/>
                <a:ext cx="18" cy="24"/>
              </a:xfrm>
              <a:prstGeom prst="line">
                <a:avLst/>
              </a:prstGeom>
              <a:noFill/>
              <a:ln w="12700">
                <a:solidFill>
                  <a:srgbClr val="000000"/>
                </a:solidFill>
                <a:round/>
                <a:headEnd/>
                <a:tailEnd type="stealth" w="sm" len="med"/>
              </a:ln>
            </xdr:spPr>
          </xdr:sp>
          <xdr:sp macro="" textlink="">
            <xdr:nvSpPr>
              <xdr:cNvPr id="2729269" name="Line 349">
                <a:extLst>
                  <a:ext uri="{FF2B5EF4-FFF2-40B4-BE49-F238E27FC236}">
                    <a16:creationId xmlns:a16="http://schemas.microsoft.com/office/drawing/2014/main" id="{00000000-0008-0000-0400-000035A52900}"/>
                  </a:ext>
                </a:extLst>
              </xdr:cNvPr>
              <xdr:cNvSpPr>
                <a:spLocks noChangeShapeType="1"/>
              </xdr:cNvSpPr>
            </xdr:nvSpPr>
            <xdr:spPr bwMode="auto">
              <a:xfrm flipV="1">
                <a:off x="1595" y="280"/>
                <a:ext cx="18" cy="24"/>
              </a:xfrm>
              <a:prstGeom prst="line">
                <a:avLst/>
              </a:prstGeom>
              <a:noFill/>
              <a:ln w="12700">
                <a:solidFill>
                  <a:srgbClr val="000000"/>
                </a:solidFill>
                <a:round/>
                <a:headEnd/>
                <a:tailEnd type="none" w="sm" len="med"/>
              </a:ln>
            </xdr:spPr>
          </xdr:sp>
        </xdr:grpSp>
        <xdr:sp macro="" textlink="">
          <xdr:nvSpPr>
            <xdr:cNvPr id="2729265" name="Line 350">
              <a:extLst>
                <a:ext uri="{FF2B5EF4-FFF2-40B4-BE49-F238E27FC236}">
                  <a16:creationId xmlns:a16="http://schemas.microsoft.com/office/drawing/2014/main" id="{00000000-0008-0000-0400-000031A52900}"/>
                </a:ext>
              </a:extLst>
            </xdr:cNvPr>
            <xdr:cNvSpPr>
              <a:spLocks noChangeShapeType="1"/>
            </xdr:cNvSpPr>
          </xdr:nvSpPr>
          <xdr:spPr bwMode="auto">
            <a:xfrm>
              <a:off x="1091" y="140"/>
              <a:ext cx="16" cy="73"/>
            </a:xfrm>
            <a:prstGeom prst="line">
              <a:avLst/>
            </a:prstGeom>
            <a:noFill/>
            <a:ln w="12700">
              <a:solidFill>
                <a:srgbClr val="FF0000"/>
              </a:solidFill>
              <a:round/>
              <a:headEnd type="stealth" w="sm" len="med"/>
              <a:tailEnd/>
            </a:ln>
          </xdr:spPr>
        </xdr:sp>
        <xdr:sp macro="" textlink="">
          <xdr:nvSpPr>
            <xdr:cNvPr id="2729266" name="Freeform 351">
              <a:extLst>
                <a:ext uri="{FF2B5EF4-FFF2-40B4-BE49-F238E27FC236}">
                  <a16:creationId xmlns:a16="http://schemas.microsoft.com/office/drawing/2014/main" id="{00000000-0008-0000-0400-000032A52900}"/>
                </a:ext>
              </a:extLst>
            </xdr:cNvPr>
            <xdr:cNvSpPr>
              <a:spLocks/>
            </xdr:cNvSpPr>
          </xdr:nvSpPr>
          <xdr:spPr bwMode="auto">
            <a:xfrm>
              <a:off x="1057" y="160"/>
              <a:ext cx="105" cy="108"/>
            </a:xfrm>
            <a:custGeom>
              <a:avLst/>
              <a:gdLst>
                <a:gd name="T0" fmla="*/ 50 w 105"/>
                <a:gd name="T1" fmla="*/ 0 h 108"/>
                <a:gd name="T2" fmla="*/ 72 w 105"/>
                <a:gd name="T3" fmla="*/ 5 h 108"/>
                <a:gd name="T4" fmla="*/ 89 w 105"/>
                <a:gd name="T5" fmla="*/ 17 h 108"/>
                <a:gd name="T6" fmla="*/ 100 w 105"/>
                <a:gd name="T7" fmla="*/ 31 h 108"/>
                <a:gd name="T8" fmla="*/ 105 w 105"/>
                <a:gd name="T9" fmla="*/ 52 h 108"/>
                <a:gd name="T10" fmla="*/ 103 w 105"/>
                <a:gd name="T11" fmla="*/ 72 h 108"/>
                <a:gd name="T12" fmla="*/ 90 w 105"/>
                <a:gd name="T13" fmla="*/ 90 h 108"/>
                <a:gd name="T14" fmla="*/ 61 w 105"/>
                <a:gd name="T15" fmla="*/ 106 h 108"/>
                <a:gd name="T16" fmla="*/ 36 w 105"/>
                <a:gd name="T17" fmla="*/ 103 h 108"/>
                <a:gd name="T18" fmla="*/ 20 w 105"/>
                <a:gd name="T19" fmla="*/ 95 h 108"/>
                <a:gd name="T20" fmla="*/ 10 w 105"/>
                <a:gd name="T21" fmla="*/ 84 h 108"/>
                <a:gd name="T22" fmla="*/ 2 w 105"/>
                <a:gd name="T23" fmla="*/ 70 h 108"/>
                <a:gd name="T24" fmla="*/ 0 w 105"/>
                <a:gd name="T25" fmla="*/ 50 h 108"/>
                <a:gd name="T26" fmla="*/ 4 w 105"/>
                <a:gd name="T27" fmla="*/ 32 h 108"/>
                <a:gd name="T28" fmla="*/ 14 w 105"/>
                <a:gd name="T29" fmla="*/ 17 h 108"/>
                <a:gd name="T30" fmla="*/ 25 w 105"/>
                <a:gd name="T31" fmla="*/ 9 h 108"/>
                <a:gd name="T32" fmla="*/ 38 w 105"/>
                <a:gd name="T33" fmla="*/ 4 h 108"/>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w 105"/>
                <a:gd name="T52" fmla="*/ 0 h 108"/>
                <a:gd name="T53" fmla="*/ 105 w 105"/>
                <a:gd name="T54" fmla="*/ 108 h 108"/>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T51" t="T52" r="T53" b="T54"/>
              <a:pathLst>
                <a:path w="105" h="108">
                  <a:moveTo>
                    <a:pt x="50" y="0"/>
                  </a:moveTo>
                  <a:cubicBezTo>
                    <a:pt x="58" y="1"/>
                    <a:pt x="66" y="2"/>
                    <a:pt x="72" y="5"/>
                  </a:cubicBezTo>
                  <a:cubicBezTo>
                    <a:pt x="78" y="8"/>
                    <a:pt x="84" y="13"/>
                    <a:pt x="89" y="17"/>
                  </a:cubicBezTo>
                  <a:cubicBezTo>
                    <a:pt x="94" y="21"/>
                    <a:pt x="97" y="25"/>
                    <a:pt x="100" y="31"/>
                  </a:cubicBezTo>
                  <a:cubicBezTo>
                    <a:pt x="103" y="37"/>
                    <a:pt x="105" y="45"/>
                    <a:pt x="105" y="52"/>
                  </a:cubicBezTo>
                  <a:cubicBezTo>
                    <a:pt x="105" y="59"/>
                    <a:pt x="105" y="66"/>
                    <a:pt x="103" y="72"/>
                  </a:cubicBezTo>
                  <a:cubicBezTo>
                    <a:pt x="101" y="78"/>
                    <a:pt x="97" y="84"/>
                    <a:pt x="90" y="90"/>
                  </a:cubicBezTo>
                  <a:cubicBezTo>
                    <a:pt x="83" y="96"/>
                    <a:pt x="70" y="104"/>
                    <a:pt x="61" y="106"/>
                  </a:cubicBezTo>
                  <a:cubicBezTo>
                    <a:pt x="52" y="108"/>
                    <a:pt x="43" y="105"/>
                    <a:pt x="36" y="103"/>
                  </a:cubicBezTo>
                  <a:cubicBezTo>
                    <a:pt x="29" y="101"/>
                    <a:pt x="24" y="98"/>
                    <a:pt x="20" y="95"/>
                  </a:cubicBezTo>
                  <a:cubicBezTo>
                    <a:pt x="16" y="92"/>
                    <a:pt x="13" y="88"/>
                    <a:pt x="10" y="84"/>
                  </a:cubicBezTo>
                  <a:cubicBezTo>
                    <a:pt x="7" y="80"/>
                    <a:pt x="4" y="76"/>
                    <a:pt x="2" y="70"/>
                  </a:cubicBezTo>
                  <a:cubicBezTo>
                    <a:pt x="0" y="64"/>
                    <a:pt x="0" y="56"/>
                    <a:pt x="0" y="50"/>
                  </a:cubicBezTo>
                  <a:cubicBezTo>
                    <a:pt x="0" y="44"/>
                    <a:pt x="2" y="37"/>
                    <a:pt x="4" y="32"/>
                  </a:cubicBezTo>
                  <a:cubicBezTo>
                    <a:pt x="6" y="27"/>
                    <a:pt x="11" y="21"/>
                    <a:pt x="14" y="17"/>
                  </a:cubicBezTo>
                  <a:cubicBezTo>
                    <a:pt x="17" y="13"/>
                    <a:pt x="21" y="11"/>
                    <a:pt x="25" y="9"/>
                  </a:cubicBezTo>
                  <a:cubicBezTo>
                    <a:pt x="29" y="7"/>
                    <a:pt x="33" y="5"/>
                    <a:pt x="38" y="4"/>
                  </a:cubicBezTo>
                </a:path>
              </a:pathLst>
            </a:custGeom>
            <a:noFill/>
            <a:ln w="9525">
              <a:solidFill>
                <a:srgbClr val="000000"/>
              </a:solidFill>
              <a:round/>
              <a:headEnd/>
              <a:tailEnd type="stealth" w="sm" len="med"/>
            </a:ln>
          </xdr:spPr>
        </xdr:sp>
        <xdr:sp macro="" textlink="">
          <xdr:nvSpPr>
            <xdr:cNvPr id="2729267" name="Freeform 352">
              <a:extLst>
                <a:ext uri="{FF2B5EF4-FFF2-40B4-BE49-F238E27FC236}">
                  <a16:creationId xmlns:a16="http://schemas.microsoft.com/office/drawing/2014/main" id="{00000000-0008-0000-0400-000033A52900}"/>
                </a:ext>
              </a:extLst>
            </xdr:cNvPr>
            <xdr:cNvSpPr>
              <a:spLocks/>
            </xdr:cNvSpPr>
          </xdr:nvSpPr>
          <xdr:spPr bwMode="auto">
            <a:xfrm>
              <a:off x="1090" y="186"/>
              <a:ext cx="46" cy="57"/>
            </a:xfrm>
            <a:custGeom>
              <a:avLst/>
              <a:gdLst>
                <a:gd name="T0" fmla="*/ 18 w 46"/>
                <a:gd name="T1" fmla="*/ 0 h 57"/>
                <a:gd name="T2" fmla="*/ 28 w 46"/>
                <a:gd name="T3" fmla="*/ 2 h 57"/>
                <a:gd name="T4" fmla="*/ 35 w 46"/>
                <a:gd name="T5" fmla="*/ 6 h 57"/>
                <a:gd name="T6" fmla="*/ 41 w 46"/>
                <a:gd name="T7" fmla="*/ 13 h 57"/>
                <a:gd name="T8" fmla="*/ 45 w 46"/>
                <a:gd name="T9" fmla="*/ 24 h 57"/>
                <a:gd name="T10" fmla="*/ 45 w 46"/>
                <a:gd name="T11" fmla="*/ 36 h 57"/>
                <a:gd name="T12" fmla="*/ 40 w 46"/>
                <a:gd name="T13" fmla="*/ 46 h 57"/>
                <a:gd name="T14" fmla="*/ 34 w 46"/>
                <a:gd name="T15" fmla="*/ 51 h 57"/>
                <a:gd name="T16" fmla="*/ 27 w 46"/>
                <a:gd name="T17" fmla="*/ 55 h 57"/>
                <a:gd name="T18" fmla="*/ 20 w 46"/>
                <a:gd name="T19" fmla="*/ 57 h 57"/>
                <a:gd name="T20" fmla="*/ 12 w 46"/>
                <a:gd name="T21" fmla="*/ 56 h 57"/>
                <a:gd name="T22" fmla="*/ 5 w 46"/>
                <a:gd name="T23" fmla="*/ 53 h 57"/>
                <a:gd name="T24" fmla="*/ 0 w 46"/>
                <a:gd name="T25" fmla="*/ 50 h 5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46"/>
                <a:gd name="T40" fmla="*/ 0 h 57"/>
                <a:gd name="T41" fmla="*/ 46 w 46"/>
                <a:gd name="T42" fmla="*/ 57 h 5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46" h="57">
                  <a:moveTo>
                    <a:pt x="18" y="0"/>
                  </a:moveTo>
                  <a:cubicBezTo>
                    <a:pt x="21" y="0"/>
                    <a:pt x="25" y="1"/>
                    <a:pt x="28" y="2"/>
                  </a:cubicBezTo>
                  <a:cubicBezTo>
                    <a:pt x="31" y="3"/>
                    <a:pt x="33" y="4"/>
                    <a:pt x="35" y="6"/>
                  </a:cubicBezTo>
                  <a:cubicBezTo>
                    <a:pt x="37" y="8"/>
                    <a:pt x="39" y="10"/>
                    <a:pt x="41" y="13"/>
                  </a:cubicBezTo>
                  <a:cubicBezTo>
                    <a:pt x="43" y="16"/>
                    <a:pt x="44" y="20"/>
                    <a:pt x="45" y="24"/>
                  </a:cubicBezTo>
                  <a:cubicBezTo>
                    <a:pt x="46" y="28"/>
                    <a:pt x="46" y="32"/>
                    <a:pt x="45" y="36"/>
                  </a:cubicBezTo>
                  <a:cubicBezTo>
                    <a:pt x="44" y="40"/>
                    <a:pt x="42" y="44"/>
                    <a:pt x="40" y="46"/>
                  </a:cubicBezTo>
                  <a:cubicBezTo>
                    <a:pt x="38" y="48"/>
                    <a:pt x="36" y="50"/>
                    <a:pt x="34" y="51"/>
                  </a:cubicBezTo>
                  <a:cubicBezTo>
                    <a:pt x="32" y="52"/>
                    <a:pt x="29" y="54"/>
                    <a:pt x="27" y="55"/>
                  </a:cubicBezTo>
                  <a:cubicBezTo>
                    <a:pt x="25" y="56"/>
                    <a:pt x="22" y="57"/>
                    <a:pt x="20" y="57"/>
                  </a:cubicBezTo>
                  <a:cubicBezTo>
                    <a:pt x="18" y="57"/>
                    <a:pt x="14" y="57"/>
                    <a:pt x="12" y="56"/>
                  </a:cubicBezTo>
                  <a:cubicBezTo>
                    <a:pt x="10" y="55"/>
                    <a:pt x="7" y="54"/>
                    <a:pt x="5" y="53"/>
                  </a:cubicBezTo>
                  <a:cubicBezTo>
                    <a:pt x="3" y="52"/>
                    <a:pt x="1" y="51"/>
                    <a:pt x="0" y="50"/>
                  </a:cubicBezTo>
                </a:path>
              </a:pathLst>
            </a:custGeom>
            <a:noFill/>
            <a:ln w="9525">
              <a:solidFill>
                <a:srgbClr val="000000"/>
              </a:solidFill>
              <a:round/>
              <a:headEnd/>
              <a:tailEnd type="stealth" w="sm" len="med"/>
            </a:ln>
          </xdr:spPr>
        </xdr:sp>
      </xdr:grpSp>
    </xdr:grpSp>
    <xdr:clientData/>
  </xdr:twoCellAnchor>
  <xdr:twoCellAnchor>
    <xdr:from>
      <xdr:col>1</xdr:col>
      <xdr:colOff>1666875</xdr:colOff>
      <xdr:row>75</xdr:row>
      <xdr:rowOff>38100</xdr:rowOff>
    </xdr:from>
    <xdr:to>
      <xdr:col>6</xdr:col>
      <xdr:colOff>19050</xdr:colOff>
      <xdr:row>85</xdr:row>
      <xdr:rowOff>57150</xdr:rowOff>
    </xdr:to>
    <xdr:graphicFrame macro="">
      <xdr:nvGraphicFramePr>
        <xdr:cNvPr id="2729181" name="Chart 382">
          <a:extLst>
            <a:ext uri="{FF2B5EF4-FFF2-40B4-BE49-F238E27FC236}">
              <a16:creationId xmlns:a16="http://schemas.microsoft.com/office/drawing/2014/main" id="{00000000-0008-0000-0400-0000DD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485775</xdr:colOff>
      <xdr:row>75</xdr:row>
      <xdr:rowOff>9525</xdr:rowOff>
    </xdr:from>
    <xdr:to>
      <xdr:col>10</xdr:col>
      <xdr:colOff>66675</xdr:colOff>
      <xdr:row>85</xdr:row>
      <xdr:rowOff>38100</xdr:rowOff>
    </xdr:to>
    <xdr:graphicFrame macro="">
      <xdr:nvGraphicFramePr>
        <xdr:cNvPr id="2729182" name="Chart 385">
          <a:extLst>
            <a:ext uri="{FF2B5EF4-FFF2-40B4-BE49-F238E27FC236}">
              <a16:creationId xmlns:a16="http://schemas.microsoft.com/office/drawing/2014/main" id="{00000000-0008-0000-0400-0000DE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476250</xdr:colOff>
      <xdr:row>84</xdr:row>
      <xdr:rowOff>114300</xdr:rowOff>
    </xdr:from>
    <xdr:to>
      <xdr:col>10</xdr:col>
      <xdr:colOff>28575</xdr:colOff>
      <xdr:row>93</xdr:row>
      <xdr:rowOff>133350</xdr:rowOff>
    </xdr:to>
    <xdr:graphicFrame macro="">
      <xdr:nvGraphicFramePr>
        <xdr:cNvPr id="2729183" name="Chart 386">
          <a:extLst>
            <a:ext uri="{FF2B5EF4-FFF2-40B4-BE49-F238E27FC236}">
              <a16:creationId xmlns:a16="http://schemas.microsoft.com/office/drawing/2014/main" id="{00000000-0008-0000-0400-0000DF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1695450</xdr:colOff>
      <xdr:row>85</xdr:row>
      <xdr:rowOff>19050</xdr:rowOff>
    </xdr:from>
    <xdr:to>
      <xdr:col>6</xdr:col>
      <xdr:colOff>19050</xdr:colOff>
      <xdr:row>92</xdr:row>
      <xdr:rowOff>57150</xdr:rowOff>
    </xdr:to>
    <xdr:graphicFrame macro="">
      <xdr:nvGraphicFramePr>
        <xdr:cNvPr id="2729184" name="Chart 392">
          <a:extLst>
            <a:ext uri="{FF2B5EF4-FFF2-40B4-BE49-F238E27FC236}">
              <a16:creationId xmlns:a16="http://schemas.microsoft.com/office/drawing/2014/main" id="{00000000-0008-0000-0400-0000E0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504825</xdr:colOff>
      <xdr:row>83</xdr:row>
      <xdr:rowOff>142875</xdr:rowOff>
    </xdr:from>
    <xdr:to>
      <xdr:col>14</xdr:col>
      <xdr:colOff>85725</xdr:colOff>
      <xdr:row>94</xdr:row>
      <xdr:rowOff>9525</xdr:rowOff>
    </xdr:to>
    <xdr:graphicFrame macro="">
      <xdr:nvGraphicFramePr>
        <xdr:cNvPr id="2729185" name="Chart 465">
          <a:extLst>
            <a:ext uri="{FF2B5EF4-FFF2-40B4-BE49-F238E27FC236}">
              <a16:creationId xmlns:a16="http://schemas.microsoft.com/office/drawing/2014/main" id="{00000000-0008-0000-0400-0000E1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75</xdr:row>
      <xdr:rowOff>133350</xdr:rowOff>
    </xdr:from>
    <xdr:to>
      <xdr:col>14</xdr:col>
      <xdr:colOff>104775</xdr:colOff>
      <xdr:row>83</xdr:row>
      <xdr:rowOff>19050</xdr:rowOff>
    </xdr:to>
    <xdr:graphicFrame macro="">
      <xdr:nvGraphicFramePr>
        <xdr:cNvPr id="2729186" name="Chart 466">
          <a:extLst>
            <a:ext uri="{FF2B5EF4-FFF2-40B4-BE49-F238E27FC236}">
              <a16:creationId xmlns:a16="http://schemas.microsoft.com/office/drawing/2014/main" id="{00000000-0008-0000-0400-0000E2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542925</xdr:colOff>
      <xdr:row>75</xdr:row>
      <xdr:rowOff>38100</xdr:rowOff>
    </xdr:from>
    <xdr:to>
      <xdr:col>18</xdr:col>
      <xdr:colOff>123825</xdr:colOff>
      <xdr:row>85</xdr:row>
      <xdr:rowOff>66675</xdr:rowOff>
    </xdr:to>
    <xdr:graphicFrame macro="">
      <xdr:nvGraphicFramePr>
        <xdr:cNvPr id="2729187" name="Chart 467">
          <a:extLst>
            <a:ext uri="{FF2B5EF4-FFF2-40B4-BE49-F238E27FC236}">
              <a16:creationId xmlns:a16="http://schemas.microsoft.com/office/drawing/2014/main" id="{00000000-0008-0000-0400-0000E3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533400</xdr:colOff>
      <xdr:row>85</xdr:row>
      <xdr:rowOff>28575</xdr:rowOff>
    </xdr:from>
    <xdr:to>
      <xdr:col>18</xdr:col>
      <xdr:colOff>85725</xdr:colOff>
      <xdr:row>92</xdr:row>
      <xdr:rowOff>76200</xdr:rowOff>
    </xdr:to>
    <xdr:graphicFrame macro="">
      <xdr:nvGraphicFramePr>
        <xdr:cNvPr id="2729188" name="Chart 468">
          <a:extLst>
            <a:ext uri="{FF2B5EF4-FFF2-40B4-BE49-F238E27FC236}">
              <a16:creationId xmlns:a16="http://schemas.microsoft.com/office/drawing/2014/main" id="{00000000-0008-0000-0400-0000E4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523875</xdr:colOff>
      <xdr:row>83</xdr:row>
      <xdr:rowOff>152400</xdr:rowOff>
    </xdr:from>
    <xdr:to>
      <xdr:col>22</xdr:col>
      <xdr:colOff>114300</xdr:colOff>
      <xdr:row>94</xdr:row>
      <xdr:rowOff>28575</xdr:rowOff>
    </xdr:to>
    <xdr:graphicFrame macro="">
      <xdr:nvGraphicFramePr>
        <xdr:cNvPr id="2729189" name="Chart 470">
          <a:extLst>
            <a:ext uri="{FF2B5EF4-FFF2-40B4-BE49-F238E27FC236}">
              <a16:creationId xmlns:a16="http://schemas.microsoft.com/office/drawing/2014/main" id="{00000000-0008-0000-0400-0000E5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17</xdr:col>
      <xdr:colOff>561975</xdr:colOff>
      <xdr:row>75</xdr:row>
      <xdr:rowOff>47625</xdr:rowOff>
    </xdr:from>
    <xdr:to>
      <xdr:col>22</xdr:col>
      <xdr:colOff>142875</xdr:colOff>
      <xdr:row>85</xdr:row>
      <xdr:rowOff>76200</xdr:rowOff>
    </xdr:to>
    <xdr:graphicFrame macro="">
      <xdr:nvGraphicFramePr>
        <xdr:cNvPr id="2729190" name="Chart 471">
          <a:extLst>
            <a:ext uri="{FF2B5EF4-FFF2-40B4-BE49-F238E27FC236}">
              <a16:creationId xmlns:a16="http://schemas.microsoft.com/office/drawing/2014/main" id="{00000000-0008-0000-0400-0000E6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21</xdr:col>
      <xdr:colOff>561975</xdr:colOff>
      <xdr:row>75</xdr:row>
      <xdr:rowOff>76200</xdr:rowOff>
    </xdr:from>
    <xdr:to>
      <xdr:col>26</xdr:col>
      <xdr:colOff>152400</xdr:colOff>
      <xdr:row>84</xdr:row>
      <xdr:rowOff>95250</xdr:rowOff>
    </xdr:to>
    <xdr:graphicFrame macro="">
      <xdr:nvGraphicFramePr>
        <xdr:cNvPr id="2729191" name="Chart 472">
          <a:extLst>
            <a:ext uri="{FF2B5EF4-FFF2-40B4-BE49-F238E27FC236}">
              <a16:creationId xmlns:a16="http://schemas.microsoft.com/office/drawing/2014/main" id="{00000000-0008-0000-0400-0000E7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514350</xdr:colOff>
      <xdr:row>84</xdr:row>
      <xdr:rowOff>19050</xdr:rowOff>
    </xdr:from>
    <xdr:to>
      <xdr:col>26</xdr:col>
      <xdr:colOff>104775</xdr:colOff>
      <xdr:row>94</xdr:row>
      <xdr:rowOff>57150</xdr:rowOff>
    </xdr:to>
    <xdr:graphicFrame macro="">
      <xdr:nvGraphicFramePr>
        <xdr:cNvPr id="2729192" name="Chart 473">
          <a:extLst>
            <a:ext uri="{FF2B5EF4-FFF2-40B4-BE49-F238E27FC236}">
              <a16:creationId xmlns:a16="http://schemas.microsoft.com/office/drawing/2014/main" id="{00000000-0008-0000-0400-0000E8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542925</xdr:colOff>
      <xdr:row>75</xdr:row>
      <xdr:rowOff>85725</xdr:rowOff>
    </xdr:from>
    <xdr:to>
      <xdr:col>30</xdr:col>
      <xdr:colOff>133350</xdr:colOff>
      <xdr:row>85</xdr:row>
      <xdr:rowOff>123825</xdr:rowOff>
    </xdr:to>
    <xdr:graphicFrame macro="">
      <xdr:nvGraphicFramePr>
        <xdr:cNvPr id="2729193" name="Chart 474">
          <a:extLst>
            <a:ext uri="{FF2B5EF4-FFF2-40B4-BE49-F238E27FC236}">
              <a16:creationId xmlns:a16="http://schemas.microsoft.com/office/drawing/2014/main" id="{00000000-0008-0000-0400-0000E9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514350</xdr:colOff>
      <xdr:row>84</xdr:row>
      <xdr:rowOff>47625</xdr:rowOff>
    </xdr:from>
    <xdr:to>
      <xdr:col>30</xdr:col>
      <xdr:colOff>66675</xdr:colOff>
      <xdr:row>94</xdr:row>
      <xdr:rowOff>95250</xdr:rowOff>
    </xdr:to>
    <xdr:graphicFrame macro="">
      <xdr:nvGraphicFramePr>
        <xdr:cNvPr id="2729194" name="Chart 475">
          <a:extLst>
            <a:ext uri="{FF2B5EF4-FFF2-40B4-BE49-F238E27FC236}">
              <a16:creationId xmlns:a16="http://schemas.microsoft.com/office/drawing/2014/main" id="{00000000-0008-0000-0400-0000EA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29</xdr:col>
      <xdr:colOff>542925</xdr:colOff>
      <xdr:row>75</xdr:row>
      <xdr:rowOff>123825</xdr:rowOff>
    </xdr:from>
    <xdr:to>
      <xdr:col>34</xdr:col>
      <xdr:colOff>142875</xdr:colOff>
      <xdr:row>86</xdr:row>
      <xdr:rowOff>9525</xdr:rowOff>
    </xdr:to>
    <xdr:graphicFrame macro="">
      <xdr:nvGraphicFramePr>
        <xdr:cNvPr id="2729195" name="Chart 476">
          <a:extLst>
            <a:ext uri="{FF2B5EF4-FFF2-40B4-BE49-F238E27FC236}">
              <a16:creationId xmlns:a16="http://schemas.microsoft.com/office/drawing/2014/main" id="{00000000-0008-0000-0400-0000EB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29</xdr:col>
      <xdr:colOff>504825</xdr:colOff>
      <xdr:row>84</xdr:row>
      <xdr:rowOff>47625</xdr:rowOff>
    </xdr:from>
    <xdr:to>
      <xdr:col>34</xdr:col>
      <xdr:colOff>104775</xdr:colOff>
      <xdr:row>94</xdr:row>
      <xdr:rowOff>95250</xdr:rowOff>
    </xdr:to>
    <xdr:graphicFrame macro="">
      <xdr:nvGraphicFramePr>
        <xdr:cNvPr id="2729196" name="Chart 477">
          <a:extLst>
            <a:ext uri="{FF2B5EF4-FFF2-40B4-BE49-F238E27FC236}">
              <a16:creationId xmlns:a16="http://schemas.microsoft.com/office/drawing/2014/main" id="{00000000-0008-0000-0400-0000EC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33</xdr:col>
      <xdr:colOff>600075</xdr:colOff>
      <xdr:row>75</xdr:row>
      <xdr:rowOff>133350</xdr:rowOff>
    </xdr:from>
    <xdr:to>
      <xdr:col>38</xdr:col>
      <xdr:colOff>180975</xdr:colOff>
      <xdr:row>86</xdr:row>
      <xdr:rowOff>0</xdr:rowOff>
    </xdr:to>
    <xdr:graphicFrame macro="">
      <xdr:nvGraphicFramePr>
        <xdr:cNvPr id="2729197" name="Chart 478">
          <a:extLst>
            <a:ext uri="{FF2B5EF4-FFF2-40B4-BE49-F238E27FC236}">
              <a16:creationId xmlns:a16="http://schemas.microsoft.com/office/drawing/2014/main" id="{00000000-0008-0000-0400-0000ED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33</xdr:col>
      <xdr:colOff>552450</xdr:colOff>
      <xdr:row>84</xdr:row>
      <xdr:rowOff>38100</xdr:rowOff>
    </xdr:from>
    <xdr:to>
      <xdr:col>38</xdr:col>
      <xdr:colOff>133350</xdr:colOff>
      <xdr:row>94</xdr:row>
      <xdr:rowOff>66675</xdr:rowOff>
    </xdr:to>
    <xdr:graphicFrame macro="">
      <xdr:nvGraphicFramePr>
        <xdr:cNvPr id="2729198" name="Chart 479">
          <a:extLst>
            <a:ext uri="{FF2B5EF4-FFF2-40B4-BE49-F238E27FC236}">
              <a16:creationId xmlns:a16="http://schemas.microsoft.com/office/drawing/2014/main" id="{00000000-0008-0000-0400-0000EE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38</xdr:col>
      <xdr:colOff>0</xdr:colOff>
      <xdr:row>75</xdr:row>
      <xdr:rowOff>133350</xdr:rowOff>
    </xdr:from>
    <xdr:to>
      <xdr:col>42</xdr:col>
      <xdr:colOff>200025</xdr:colOff>
      <xdr:row>86</xdr:row>
      <xdr:rowOff>9525</xdr:rowOff>
    </xdr:to>
    <xdr:graphicFrame macro="">
      <xdr:nvGraphicFramePr>
        <xdr:cNvPr id="2729199" name="Chart 480">
          <a:extLst>
            <a:ext uri="{FF2B5EF4-FFF2-40B4-BE49-F238E27FC236}">
              <a16:creationId xmlns:a16="http://schemas.microsoft.com/office/drawing/2014/main" id="{00000000-0008-0000-0400-0000EF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37</xdr:col>
      <xdr:colOff>571500</xdr:colOff>
      <xdr:row>84</xdr:row>
      <xdr:rowOff>28575</xdr:rowOff>
    </xdr:from>
    <xdr:to>
      <xdr:col>42</xdr:col>
      <xdr:colOff>161925</xdr:colOff>
      <xdr:row>94</xdr:row>
      <xdr:rowOff>66675</xdr:rowOff>
    </xdr:to>
    <xdr:graphicFrame macro="">
      <xdr:nvGraphicFramePr>
        <xdr:cNvPr id="2729200" name="Chart 481">
          <a:extLst>
            <a:ext uri="{FF2B5EF4-FFF2-40B4-BE49-F238E27FC236}">
              <a16:creationId xmlns:a16="http://schemas.microsoft.com/office/drawing/2014/main" id="{00000000-0008-0000-0400-0000F0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152400</xdr:colOff>
      <xdr:row>4</xdr:row>
      <xdr:rowOff>104775</xdr:rowOff>
    </xdr:from>
    <xdr:to>
      <xdr:col>24</xdr:col>
      <xdr:colOff>457200</xdr:colOff>
      <xdr:row>18</xdr:row>
      <xdr:rowOff>47625</xdr:rowOff>
    </xdr:to>
    <xdr:grpSp>
      <xdr:nvGrpSpPr>
        <xdr:cNvPr id="2729201" name="Group 562">
          <a:extLst>
            <a:ext uri="{FF2B5EF4-FFF2-40B4-BE49-F238E27FC236}">
              <a16:creationId xmlns:a16="http://schemas.microsoft.com/office/drawing/2014/main" id="{00000000-0008-0000-0400-0000F1A42900}"/>
            </a:ext>
          </a:extLst>
        </xdr:cNvPr>
        <xdr:cNvGrpSpPr>
          <a:grpSpLocks/>
        </xdr:cNvGrpSpPr>
      </xdr:nvGrpSpPr>
      <xdr:grpSpPr bwMode="auto">
        <a:xfrm>
          <a:off x="12677775" y="771525"/>
          <a:ext cx="3962400" cy="2209800"/>
          <a:chOff x="1296" y="81"/>
          <a:chExt cx="416" cy="232"/>
        </a:xfrm>
      </xdr:grpSpPr>
      <xdr:grpSp>
        <xdr:nvGrpSpPr>
          <xdr:cNvPr id="2729230" name="Group 561">
            <a:extLst>
              <a:ext uri="{FF2B5EF4-FFF2-40B4-BE49-F238E27FC236}">
                <a16:creationId xmlns:a16="http://schemas.microsoft.com/office/drawing/2014/main" id="{00000000-0008-0000-0400-00000EA52900}"/>
              </a:ext>
            </a:extLst>
          </xdr:cNvPr>
          <xdr:cNvGrpSpPr>
            <a:grpSpLocks/>
          </xdr:cNvGrpSpPr>
        </xdr:nvGrpSpPr>
        <xdr:grpSpPr bwMode="auto">
          <a:xfrm>
            <a:off x="1296" y="81"/>
            <a:ext cx="416" cy="232"/>
            <a:chOff x="1296" y="81"/>
            <a:chExt cx="416" cy="232"/>
          </a:xfrm>
        </xdr:grpSpPr>
        <xdr:sp macro="" textlink="">
          <xdr:nvSpPr>
            <xdr:cNvPr id="2729232" name="Line 367">
              <a:extLst>
                <a:ext uri="{FF2B5EF4-FFF2-40B4-BE49-F238E27FC236}">
                  <a16:creationId xmlns:a16="http://schemas.microsoft.com/office/drawing/2014/main" id="{00000000-0008-0000-0400-000010A52900}"/>
                </a:ext>
              </a:extLst>
            </xdr:cNvPr>
            <xdr:cNvSpPr>
              <a:spLocks noChangeShapeType="1"/>
            </xdr:cNvSpPr>
          </xdr:nvSpPr>
          <xdr:spPr bwMode="auto">
            <a:xfrm rot="451304" flipV="1">
              <a:off x="1337" y="182"/>
              <a:ext cx="362" cy="131"/>
            </a:xfrm>
            <a:prstGeom prst="line">
              <a:avLst/>
            </a:prstGeom>
            <a:noFill/>
            <a:ln w="9525">
              <a:solidFill>
                <a:srgbClr val="FF6600"/>
              </a:solidFill>
              <a:round/>
              <a:headEnd/>
              <a:tailEnd/>
            </a:ln>
          </xdr:spPr>
        </xdr:sp>
        <xdr:grpSp>
          <xdr:nvGrpSpPr>
            <xdr:cNvPr id="2729233" name="Group 558">
              <a:extLst>
                <a:ext uri="{FF2B5EF4-FFF2-40B4-BE49-F238E27FC236}">
                  <a16:creationId xmlns:a16="http://schemas.microsoft.com/office/drawing/2014/main" id="{00000000-0008-0000-0400-000011A52900}"/>
                </a:ext>
              </a:extLst>
            </xdr:cNvPr>
            <xdr:cNvGrpSpPr>
              <a:grpSpLocks/>
            </xdr:cNvGrpSpPr>
          </xdr:nvGrpSpPr>
          <xdr:grpSpPr bwMode="auto">
            <a:xfrm>
              <a:off x="1296" y="81"/>
              <a:ext cx="416" cy="214"/>
              <a:chOff x="1296" y="81"/>
              <a:chExt cx="416" cy="214"/>
            </a:xfrm>
          </xdr:grpSpPr>
          <xdr:sp macro="" textlink="">
            <xdr:nvSpPr>
              <xdr:cNvPr id="3450" name="Text Box 378">
                <a:extLst>
                  <a:ext uri="{FF2B5EF4-FFF2-40B4-BE49-F238E27FC236}">
                    <a16:creationId xmlns:a16="http://schemas.microsoft.com/office/drawing/2014/main" id="{00000000-0008-0000-0400-00007A0D0000}"/>
                  </a:ext>
                </a:extLst>
              </xdr:cNvPr>
              <xdr:cNvSpPr txBox="1">
                <a:spLocks noChangeArrowheads="1"/>
              </xdr:cNvSpPr>
            </xdr:nvSpPr>
            <xdr:spPr bwMode="auto">
              <a:xfrm>
                <a:off x="1387" y="112"/>
                <a:ext cx="90" cy="18"/>
              </a:xfrm>
              <a:prstGeom prst="rect">
                <a:avLst/>
              </a:prstGeom>
              <a:solidFill>
                <a:srgbClr val="CCFFCC"/>
              </a:solidFill>
              <a:ln w="9525">
                <a:noFill/>
                <a:prstDash val="lgDashDot"/>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H</a:t>
                </a:r>
                <a:r>
                  <a:rPr lang="en-US" sz="1000" b="0" i="0" strike="noStrike">
                    <a:solidFill>
                      <a:srgbClr val="000000"/>
                    </a:solidFill>
                    <a:latin typeface="Arial"/>
                    <a:cs typeface="Arial"/>
                  </a:rPr>
                  <a:t>/2 contour</a:t>
                </a:r>
              </a:p>
            </xdr:txBody>
          </xdr:sp>
          <xdr:sp macro="" textlink="">
            <xdr:nvSpPr>
              <xdr:cNvPr id="2729237" name="Freeform 354">
                <a:extLst>
                  <a:ext uri="{FF2B5EF4-FFF2-40B4-BE49-F238E27FC236}">
                    <a16:creationId xmlns:a16="http://schemas.microsoft.com/office/drawing/2014/main" id="{00000000-0008-0000-0400-000015A52900}"/>
                  </a:ext>
                </a:extLst>
              </xdr:cNvPr>
              <xdr:cNvSpPr>
                <a:spLocks/>
              </xdr:cNvSpPr>
            </xdr:nvSpPr>
            <xdr:spPr bwMode="auto">
              <a:xfrm>
                <a:off x="1329" y="133"/>
                <a:ext cx="370" cy="135"/>
              </a:xfrm>
              <a:custGeom>
                <a:avLst/>
                <a:gdLst>
                  <a:gd name="T0" fmla="*/ 77 w 370"/>
                  <a:gd name="T1" fmla="*/ 43 h 135"/>
                  <a:gd name="T2" fmla="*/ 138 w 370"/>
                  <a:gd name="T3" fmla="*/ 22 h 135"/>
                  <a:gd name="T4" fmla="*/ 203 w 370"/>
                  <a:gd name="T5" fmla="*/ 8 h 135"/>
                  <a:gd name="T6" fmla="*/ 264 w 370"/>
                  <a:gd name="T7" fmla="*/ 1 h 135"/>
                  <a:gd name="T8" fmla="*/ 312 w 370"/>
                  <a:gd name="T9" fmla="*/ 4 h 135"/>
                  <a:gd name="T10" fmla="*/ 349 w 370"/>
                  <a:gd name="T11" fmla="*/ 25 h 135"/>
                  <a:gd name="T12" fmla="*/ 369 w 370"/>
                  <a:gd name="T13" fmla="*/ 48 h 135"/>
                  <a:gd name="T14" fmla="*/ 356 w 370"/>
                  <a:gd name="T15" fmla="*/ 65 h 135"/>
                  <a:gd name="T16" fmla="*/ 297 w 370"/>
                  <a:gd name="T17" fmla="*/ 90 h 135"/>
                  <a:gd name="T18" fmla="*/ 221 w 370"/>
                  <a:gd name="T19" fmla="*/ 108 h 135"/>
                  <a:gd name="T20" fmla="*/ 145 w 370"/>
                  <a:gd name="T21" fmla="*/ 123 h 135"/>
                  <a:gd name="T22" fmla="*/ 74 w 370"/>
                  <a:gd name="T23" fmla="*/ 134 h 135"/>
                  <a:gd name="T24" fmla="*/ 29 w 370"/>
                  <a:gd name="T25" fmla="*/ 131 h 135"/>
                  <a:gd name="T26" fmla="*/ 6 w 370"/>
                  <a:gd name="T27" fmla="*/ 115 h 135"/>
                  <a:gd name="T28" fmla="*/ 1 w 370"/>
                  <a:gd name="T29" fmla="*/ 91 h 135"/>
                  <a:gd name="T30" fmla="*/ 6 w 370"/>
                  <a:gd name="T31" fmla="*/ 74 h 135"/>
                  <a:gd name="T32" fmla="*/ 35 w 370"/>
                  <a:gd name="T33" fmla="*/ 59 h 135"/>
                  <a:gd name="T34" fmla="*/ 77 w 370"/>
                  <a:gd name="T35" fmla="*/ 43 h 135"/>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70"/>
                  <a:gd name="T55" fmla="*/ 0 h 135"/>
                  <a:gd name="T56" fmla="*/ 370 w 370"/>
                  <a:gd name="T57" fmla="*/ 135 h 135"/>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70" h="135">
                    <a:moveTo>
                      <a:pt x="77" y="43"/>
                    </a:moveTo>
                    <a:cubicBezTo>
                      <a:pt x="94" y="37"/>
                      <a:pt x="117" y="28"/>
                      <a:pt x="138" y="22"/>
                    </a:cubicBezTo>
                    <a:cubicBezTo>
                      <a:pt x="159" y="16"/>
                      <a:pt x="182" y="12"/>
                      <a:pt x="203" y="8"/>
                    </a:cubicBezTo>
                    <a:cubicBezTo>
                      <a:pt x="224" y="4"/>
                      <a:pt x="246" y="2"/>
                      <a:pt x="264" y="1"/>
                    </a:cubicBezTo>
                    <a:cubicBezTo>
                      <a:pt x="282" y="0"/>
                      <a:pt x="298" y="0"/>
                      <a:pt x="312" y="4"/>
                    </a:cubicBezTo>
                    <a:cubicBezTo>
                      <a:pt x="326" y="8"/>
                      <a:pt x="340" y="18"/>
                      <a:pt x="349" y="25"/>
                    </a:cubicBezTo>
                    <a:cubicBezTo>
                      <a:pt x="358" y="32"/>
                      <a:pt x="368" y="41"/>
                      <a:pt x="369" y="48"/>
                    </a:cubicBezTo>
                    <a:cubicBezTo>
                      <a:pt x="370" y="55"/>
                      <a:pt x="368" y="58"/>
                      <a:pt x="356" y="65"/>
                    </a:cubicBezTo>
                    <a:cubicBezTo>
                      <a:pt x="344" y="72"/>
                      <a:pt x="319" y="83"/>
                      <a:pt x="297" y="90"/>
                    </a:cubicBezTo>
                    <a:cubicBezTo>
                      <a:pt x="275" y="97"/>
                      <a:pt x="246" y="103"/>
                      <a:pt x="221" y="108"/>
                    </a:cubicBezTo>
                    <a:cubicBezTo>
                      <a:pt x="196" y="113"/>
                      <a:pt x="169" y="119"/>
                      <a:pt x="145" y="123"/>
                    </a:cubicBezTo>
                    <a:cubicBezTo>
                      <a:pt x="121" y="127"/>
                      <a:pt x="93" y="133"/>
                      <a:pt x="74" y="134"/>
                    </a:cubicBezTo>
                    <a:cubicBezTo>
                      <a:pt x="55" y="135"/>
                      <a:pt x="40" y="134"/>
                      <a:pt x="29" y="131"/>
                    </a:cubicBezTo>
                    <a:cubicBezTo>
                      <a:pt x="18" y="128"/>
                      <a:pt x="11" y="122"/>
                      <a:pt x="6" y="115"/>
                    </a:cubicBezTo>
                    <a:cubicBezTo>
                      <a:pt x="1" y="108"/>
                      <a:pt x="1" y="98"/>
                      <a:pt x="1" y="91"/>
                    </a:cubicBezTo>
                    <a:cubicBezTo>
                      <a:pt x="1" y="84"/>
                      <a:pt x="0" y="79"/>
                      <a:pt x="6" y="74"/>
                    </a:cubicBezTo>
                    <a:cubicBezTo>
                      <a:pt x="12" y="69"/>
                      <a:pt x="23" y="64"/>
                      <a:pt x="35" y="59"/>
                    </a:cubicBezTo>
                    <a:cubicBezTo>
                      <a:pt x="47" y="54"/>
                      <a:pt x="60" y="49"/>
                      <a:pt x="77" y="43"/>
                    </a:cubicBezTo>
                    <a:close/>
                  </a:path>
                </a:pathLst>
              </a:custGeom>
              <a:solidFill>
                <a:srgbClr val="339966"/>
              </a:solidFill>
              <a:ln w="9525">
                <a:solidFill>
                  <a:srgbClr val="000000"/>
                </a:solidFill>
                <a:round/>
                <a:headEnd/>
                <a:tailEnd/>
              </a:ln>
            </xdr:spPr>
          </xdr:sp>
          <xdr:sp macro="" textlink="">
            <xdr:nvSpPr>
              <xdr:cNvPr id="3448" name="Text Box 376">
                <a:extLst>
                  <a:ext uri="{FF2B5EF4-FFF2-40B4-BE49-F238E27FC236}">
                    <a16:creationId xmlns:a16="http://schemas.microsoft.com/office/drawing/2014/main" id="{00000000-0008-0000-0400-0000780D0000}"/>
                  </a:ext>
                </a:extLst>
              </xdr:cNvPr>
              <xdr:cNvSpPr txBox="1">
                <a:spLocks noChangeArrowheads="1"/>
              </xdr:cNvSpPr>
            </xdr:nvSpPr>
            <xdr:spPr bwMode="auto">
              <a:xfrm>
                <a:off x="1664" y="164"/>
                <a:ext cx="13" cy="20"/>
              </a:xfrm>
              <a:prstGeom prst="rect">
                <a:avLst/>
              </a:prstGeom>
              <a:solidFill>
                <a:srgbClr val="CCFFCC"/>
              </a:solidFill>
              <a:ln w="9525">
                <a:noFill/>
                <a:prstDash val="lgDashDot"/>
                <a:miter lim="800000"/>
                <a:headEnd/>
                <a:tailEnd/>
              </a:ln>
              <a:effectLst/>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x</a:t>
                </a:r>
              </a:p>
            </xdr:txBody>
          </xdr:sp>
          <xdr:sp macro="" textlink="">
            <xdr:nvSpPr>
              <xdr:cNvPr id="3447" name="Text Box 375">
                <a:extLst>
                  <a:ext uri="{FF2B5EF4-FFF2-40B4-BE49-F238E27FC236}">
                    <a16:creationId xmlns:a16="http://schemas.microsoft.com/office/drawing/2014/main" id="{00000000-0008-0000-0400-0000770D0000}"/>
                  </a:ext>
                </a:extLst>
              </xdr:cNvPr>
              <xdr:cNvSpPr txBox="1">
                <a:spLocks noChangeArrowheads="1"/>
              </xdr:cNvSpPr>
            </xdr:nvSpPr>
            <xdr:spPr bwMode="auto">
              <a:xfrm>
                <a:off x="1529" y="186"/>
                <a:ext cx="12" cy="17"/>
              </a:xfrm>
              <a:prstGeom prst="rect">
                <a:avLst/>
              </a:prstGeom>
              <a:solidFill>
                <a:srgbClr val="339966"/>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3442" name="Text Box 370">
                <a:extLst>
                  <a:ext uri="{FF2B5EF4-FFF2-40B4-BE49-F238E27FC236}">
                    <a16:creationId xmlns:a16="http://schemas.microsoft.com/office/drawing/2014/main" id="{00000000-0008-0000-0400-0000720D0000}"/>
                  </a:ext>
                </a:extLst>
              </xdr:cNvPr>
              <xdr:cNvSpPr txBox="1">
                <a:spLocks noChangeArrowheads="1"/>
              </xdr:cNvSpPr>
            </xdr:nvSpPr>
            <xdr:spPr bwMode="auto">
              <a:xfrm>
                <a:off x="1408" y="138"/>
                <a:ext cx="33" cy="22"/>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W</a:t>
                </a:r>
                <a:r>
                  <a:rPr lang="en-US" sz="1000" b="0" i="0" strike="noStrike" baseline="-25000">
                    <a:solidFill>
                      <a:srgbClr val="FF0000"/>
                    </a:solidFill>
                    <a:latin typeface="Arial"/>
                    <a:cs typeface="Arial"/>
                  </a:rPr>
                  <a:t>02</a:t>
                </a:r>
              </a:p>
            </xdr:txBody>
          </xdr:sp>
          <xdr:sp macro="" textlink="">
            <xdr:nvSpPr>
              <xdr:cNvPr id="3443" name="Text Box 371">
                <a:extLst>
                  <a:ext uri="{FF2B5EF4-FFF2-40B4-BE49-F238E27FC236}">
                    <a16:creationId xmlns:a16="http://schemas.microsoft.com/office/drawing/2014/main" id="{00000000-0008-0000-0400-0000730D0000}"/>
                  </a:ext>
                </a:extLst>
              </xdr:cNvPr>
              <xdr:cNvSpPr txBox="1">
                <a:spLocks noChangeArrowheads="1"/>
              </xdr:cNvSpPr>
            </xdr:nvSpPr>
            <xdr:spPr bwMode="auto">
              <a:xfrm>
                <a:off x="1568" y="103"/>
                <a:ext cx="34" cy="22"/>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W</a:t>
                </a:r>
                <a:r>
                  <a:rPr lang="en-US" sz="1000" b="0" i="0" strike="noStrike" baseline="-25000">
                    <a:solidFill>
                      <a:srgbClr val="FF0000"/>
                    </a:solidFill>
                    <a:latin typeface="Arial"/>
                    <a:cs typeface="Arial"/>
                  </a:rPr>
                  <a:t>01</a:t>
                </a:r>
              </a:p>
            </xdr:txBody>
          </xdr:sp>
          <xdr:sp macro="" textlink="">
            <xdr:nvSpPr>
              <xdr:cNvPr id="3444" name="Text Box 372">
                <a:extLst>
                  <a:ext uri="{FF2B5EF4-FFF2-40B4-BE49-F238E27FC236}">
                    <a16:creationId xmlns:a16="http://schemas.microsoft.com/office/drawing/2014/main" id="{00000000-0008-0000-0400-0000740D0000}"/>
                  </a:ext>
                </a:extLst>
              </xdr:cNvPr>
              <xdr:cNvSpPr txBox="1">
                <a:spLocks noChangeArrowheads="1"/>
              </xdr:cNvSpPr>
            </xdr:nvSpPr>
            <xdr:spPr bwMode="auto">
              <a:xfrm>
                <a:off x="1303" y="258"/>
                <a:ext cx="26" cy="21"/>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L</a:t>
                </a:r>
                <a:r>
                  <a:rPr lang="en-US" sz="1000" b="0" i="0" strike="noStrike" baseline="-25000">
                    <a:solidFill>
                      <a:srgbClr val="FF0000"/>
                    </a:solidFill>
                    <a:latin typeface="Arial"/>
                    <a:cs typeface="Arial"/>
                  </a:rPr>
                  <a:t>01</a:t>
                </a:r>
              </a:p>
            </xdr:txBody>
          </xdr:sp>
          <xdr:sp macro="" textlink="">
            <xdr:nvSpPr>
              <xdr:cNvPr id="3445" name="Text Box 373">
                <a:extLst>
                  <a:ext uri="{FF2B5EF4-FFF2-40B4-BE49-F238E27FC236}">
                    <a16:creationId xmlns:a16="http://schemas.microsoft.com/office/drawing/2014/main" id="{00000000-0008-0000-0400-0000750D0000}"/>
                  </a:ext>
                </a:extLst>
              </xdr:cNvPr>
              <xdr:cNvSpPr txBox="1">
                <a:spLocks noChangeArrowheads="1"/>
              </xdr:cNvSpPr>
            </xdr:nvSpPr>
            <xdr:spPr bwMode="auto">
              <a:xfrm>
                <a:off x="1296" y="209"/>
                <a:ext cx="25" cy="21"/>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L</a:t>
                </a:r>
                <a:r>
                  <a:rPr lang="en-US" sz="1000" b="0" i="0" strike="noStrike" baseline="-25000">
                    <a:solidFill>
                      <a:srgbClr val="FF0000"/>
                    </a:solidFill>
                    <a:latin typeface="Arial"/>
                    <a:cs typeface="Arial"/>
                  </a:rPr>
                  <a:t>02</a:t>
                </a:r>
              </a:p>
            </xdr:txBody>
          </xdr:sp>
          <xdr:sp macro="" textlink="">
            <xdr:nvSpPr>
              <xdr:cNvPr id="3449" name="Text Box 377">
                <a:extLst>
                  <a:ext uri="{FF2B5EF4-FFF2-40B4-BE49-F238E27FC236}">
                    <a16:creationId xmlns:a16="http://schemas.microsoft.com/office/drawing/2014/main" id="{00000000-0008-0000-0400-0000790D0000}"/>
                  </a:ext>
                </a:extLst>
              </xdr:cNvPr>
              <xdr:cNvSpPr txBox="1">
                <a:spLocks noChangeArrowheads="1"/>
              </xdr:cNvSpPr>
            </xdr:nvSpPr>
            <xdr:spPr bwMode="auto">
              <a:xfrm>
                <a:off x="1457" y="271"/>
                <a:ext cx="234" cy="24"/>
              </a:xfrm>
              <a:prstGeom prst="rect">
                <a:avLst/>
              </a:prstGeom>
              <a:solidFill>
                <a:srgbClr val="CCFFCC"/>
              </a:solidFill>
              <a:ln w="9525">
                <a:noFill/>
                <a:prstDash val="lgDashDot"/>
                <a:miter lim="800000"/>
                <a:headEnd/>
                <a:tailEnd/>
              </a:ln>
              <a:effectLst/>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a:t>
                </a: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site</a:t>
                </a:r>
                <a:r>
                  <a:rPr lang="en-US" sz="1000" b="0" i="0" strike="noStrike">
                    <a:solidFill>
                      <a:srgbClr val="000000"/>
                    </a:solidFill>
                    <a:latin typeface="Arial"/>
                    <a:cs typeface="Arial"/>
                  </a:rPr>
                  <a:t>, </a:t>
                </a:r>
                <a:r>
                  <a:rPr lang="en-US" sz="1000" b="0" i="1" strike="noStrike">
                    <a:solidFill>
                      <a:srgbClr val="000000"/>
                    </a:solidFill>
                    <a:latin typeface="Arial"/>
                    <a:cs typeface="Arial"/>
                  </a:rPr>
                  <a:t>y</a:t>
                </a:r>
                <a:r>
                  <a:rPr lang="en-US" sz="1000" b="0" i="0" strike="noStrike" baseline="-25000">
                    <a:solidFill>
                      <a:srgbClr val="000000"/>
                    </a:solidFill>
                    <a:latin typeface="Arial"/>
                    <a:cs typeface="Arial"/>
                  </a:rPr>
                  <a:t>site</a:t>
                </a:r>
                <a:r>
                  <a:rPr lang="en-US" sz="1000" b="0" i="0" strike="noStrike">
                    <a:solidFill>
                      <a:srgbClr val="000000"/>
                    </a:solidFill>
                    <a:latin typeface="Arial"/>
                    <a:cs typeface="Arial"/>
                  </a:rPr>
                  <a:t>) relative to </a:t>
                </a:r>
                <a:r>
                  <a:rPr lang="en-US" sz="1000" b="0" i="1" strike="noStrike">
                    <a:solidFill>
                      <a:srgbClr val="000000"/>
                    </a:solidFill>
                    <a:latin typeface="Arial"/>
                    <a:cs typeface="Arial"/>
                  </a:rPr>
                  <a:t>x</a:t>
                </a:r>
                <a:r>
                  <a:rPr lang="en-US" sz="1000" b="0" i="0" strike="noStrike">
                    <a:solidFill>
                      <a:srgbClr val="000000"/>
                    </a:solidFill>
                    <a:latin typeface="Arial"/>
                    <a:cs typeface="Arial"/>
                  </a:rPr>
                  <a:t>0</a:t>
                </a:r>
                <a:r>
                  <a:rPr lang="en-US" sz="1000" b="0" i="1" strike="noStrike">
                    <a:solidFill>
                      <a:srgbClr val="000000"/>
                    </a:solidFill>
                    <a:latin typeface="Arial"/>
                    <a:cs typeface="Arial"/>
                  </a:rPr>
                  <a:t>y </a:t>
                </a:r>
                <a:r>
                  <a:rPr lang="en-US" sz="1000" b="0" i="0" strike="noStrike">
                    <a:solidFill>
                      <a:srgbClr val="000000"/>
                    </a:solidFill>
                    <a:latin typeface="Arial"/>
                    <a:cs typeface="Arial"/>
                  </a:rPr>
                  <a:t>axis system</a:t>
                </a:r>
              </a:p>
            </xdr:txBody>
          </xdr:sp>
          <xdr:sp macro="" textlink="">
            <xdr:nvSpPr>
              <xdr:cNvPr id="3446" name="Text Box 374">
                <a:extLst>
                  <a:ext uri="{FF2B5EF4-FFF2-40B4-BE49-F238E27FC236}">
                    <a16:creationId xmlns:a16="http://schemas.microsoft.com/office/drawing/2014/main" id="{00000000-0008-0000-0400-0000760D0000}"/>
                  </a:ext>
                </a:extLst>
              </xdr:cNvPr>
              <xdr:cNvSpPr txBox="1">
                <a:spLocks noChangeArrowheads="1"/>
              </xdr:cNvSpPr>
            </xdr:nvSpPr>
            <xdr:spPr bwMode="auto">
              <a:xfrm>
                <a:off x="1486" y="81"/>
                <a:ext cx="13" cy="18"/>
              </a:xfrm>
              <a:prstGeom prst="rect">
                <a:avLst/>
              </a:prstGeom>
              <a:solidFill>
                <a:srgbClr val="CCFFCC"/>
              </a:solidFill>
              <a:ln w="9525">
                <a:noFill/>
                <a:miter lim="800000"/>
                <a:headEnd/>
                <a:tailEnd/>
              </a:ln>
            </xdr:spPr>
            <xdr:txBody>
              <a:bodyPr vertOverflow="clip" wrap="square" lIns="36576" tIns="27432" rIns="0" bIns="0" anchor="t" upright="1"/>
              <a:lstStyle/>
              <a:p>
                <a:pPr algn="l" rtl="0">
                  <a:defRPr sz="1000"/>
                </a:pPr>
                <a:r>
                  <a:rPr lang="en-US" sz="1000" b="0" i="1" strike="noStrike">
                    <a:solidFill>
                      <a:srgbClr val="FF0000"/>
                    </a:solidFill>
                    <a:latin typeface="Arial"/>
                    <a:cs typeface="Arial"/>
                  </a:rPr>
                  <a:t>y</a:t>
                </a:r>
              </a:p>
            </xdr:txBody>
          </xdr:sp>
          <xdr:sp macro="" textlink="">
            <xdr:nvSpPr>
              <xdr:cNvPr id="2729246" name="Line 357">
                <a:extLst>
                  <a:ext uri="{FF2B5EF4-FFF2-40B4-BE49-F238E27FC236}">
                    <a16:creationId xmlns:a16="http://schemas.microsoft.com/office/drawing/2014/main" id="{00000000-0008-0000-0400-00001EA52900}"/>
                  </a:ext>
                </a:extLst>
              </xdr:cNvPr>
              <xdr:cNvSpPr>
                <a:spLocks noChangeShapeType="1"/>
              </xdr:cNvSpPr>
            </xdr:nvSpPr>
            <xdr:spPr bwMode="auto">
              <a:xfrm rot="512411">
                <a:off x="1316" y="186"/>
                <a:ext cx="22" cy="59"/>
              </a:xfrm>
              <a:prstGeom prst="line">
                <a:avLst/>
              </a:prstGeom>
              <a:noFill/>
              <a:ln w="9525">
                <a:solidFill>
                  <a:srgbClr val="FF6600"/>
                </a:solidFill>
                <a:round/>
                <a:headEnd type="stealth" w="sm" len="med"/>
                <a:tailEnd type="stealth" w="sm" len="med"/>
              </a:ln>
            </xdr:spPr>
          </xdr:sp>
          <xdr:sp macro="" textlink="">
            <xdr:nvSpPr>
              <xdr:cNvPr id="2729247" name="Line 358">
                <a:extLst>
                  <a:ext uri="{FF2B5EF4-FFF2-40B4-BE49-F238E27FC236}">
                    <a16:creationId xmlns:a16="http://schemas.microsoft.com/office/drawing/2014/main" id="{00000000-0008-0000-0400-00001FA52900}"/>
                  </a:ext>
                </a:extLst>
              </xdr:cNvPr>
              <xdr:cNvSpPr>
                <a:spLocks noChangeShapeType="1"/>
              </xdr:cNvSpPr>
            </xdr:nvSpPr>
            <xdr:spPr bwMode="auto">
              <a:xfrm rot="451304" flipV="1">
                <a:off x="1323" y="132"/>
                <a:ext cx="185" cy="67"/>
              </a:xfrm>
              <a:prstGeom prst="line">
                <a:avLst/>
              </a:prstGeom>
              <a:noFill/>
              <a:ln w="9525">
                <a:solidFill>
                  <a:srgbClr val="FF6600"/>
                </a:solidFill>
                <a:round/>
                <a:headEnd type="stealth" w="sm" len="med"/>
                <a:tailEnd type="stealth" w="sm" len="med"/>
              </a:ln>
            </xdr:spPr>
          </xdr:sp>
          <xdr:sp macro="" textlink="">
            <xdr:nvSpPr>
              <xdr:cNvPr id="2729248" name="Line 359">
                <a:extLst>
                  <a:ext uri="{FF2B5EF4-FFF2-40B4-BE49-F238E27FC236}">
                    <a16:creationId xmlns:a16="http://schemas.microsoft.com/office/drawing/2014/main" id="{00000000-0008-0000-0400-000020A52900}"/>
                  </a:ext>
                </a:extLst>
              </xdr:cNvPr>
              <xdr:cNvSpPr>
                <a:spLocks noChangeShapeType="1"/>
              </xdr:cNvSpPr>
            </xdr:nvSpPr>
            <xdr:spPr bwMode="auto">
              <a:xfrm rot="312244">
                <a:off x="1671" y="98"/>
                <a:ext cx="41" cy="118"/>
              </a:xfrm>
              <a:prstGeom prst="line">
                <a:avLst/>
              </a:prstGeom>
              <a:noFill/>
              <a:ln w="9525">
                <a:solidFill>
                  <a:srgbClr val="FF6600"/>
                </a:solidFill>
                <a:round/>
                <a:headEnd/>
                <a:tailEnd/>
              </a:ln>
            </xdr:spPr>
          </xdr:sp>
          <xdr:sp macro="" textlink="">
            <xdr:nvSpPr>
              <xdr:cNvPr id="2729249" name="Line 360">
                <a:extLst>
                  <a:ext uri="{FF2B5EF4-FFF2-40B4-BE49-F238E27FC236}">
                    <a16:creationId xmlns:a16="http://schemas.microsoft.com/office/drawing/2014/main" id="{00000000-0008-0000-0400-000021A52900}"/>
                  </a:ext>
                </a:extLst>
              </xdr:cNvPr>
              <xdr:cNvSpPr>
                <a:spLocks noChangeShapeType="1"/>
              </xdr:cNvSpPr>
            </xdr:nvSpPr>
            <xdr:spPr bwMode="auto">
              <a:xfrm rot="451304" flipV="1">
                <a:off x="1517" y="97"/>
                <a:ext cx="157" cy="57"/>
              </a:xfrm>
              <a:prstGeom prst="line">
                <a:avLst/>
              </a:prstGeom>
              <a:noFill/>
              <a:ln w="9525">
                <a:solidFill>
                  <a:srgbClr val="FF6600"/>
                </a:solidFill>
                <a:round/>
                <a:headEnd type="stealth" w="sm" len="med"/>
                <a:tailEnd type="stealth" w="sm" len="med"/>
              </a:ln>
            </xdr:spPr>
          </xdr:sp>
          <xdr:sp macro="" textlink="">
            <xdr:nvSpPr>
              <xdr:cNvPr id="2729250" name="Line 362">
                <a:extLst>
                  <a:ext uri="{FF2B5EF4-FFF2-40B4-BE49-F238E27FC236}">
                    <a16:creationId xmlns:a16="http://schemas.microsoft.com/office/drawing/2014/main" id="{00000000-0008-0000-0400-000022A52900}"/>
                  </a:ext>
                </a:extLst>
              </xdr:cNvPr>
              <xdr:cNvSpPr>
                <a:spLocks noChangeShapeType="1"/>
              </xdr:cNvSpPr>
            </xdr:nvSpPr>
            <xdr:spPr bwMode="auto">
              <a:xfrm rot="512411">
                <a:off x="1329" y="244"/>
                <a:ext cx="16" cy="40"/>
              </a:xfrm>
              <a:prstGeom prst="line">
                <a:avLst/>
              </a:prstGeom>
              <a:noFill/>
              <a:ln w="9525">
                <a:solidFill>
                  <a:srgbClr val="FF6600"/>
                </a:solidFill>
                <a:round/>
                <a:headEnd type="stealth" w="sm" len="med"/>
                <a:tailEnd type="stealth" w="sm" len="med"/>
              </a:ln>
            </xdr:spPr>
          </xdr:sp>
          <xdr:sp macro="" textlink="">
            <xdr:nvSpPr>
              <xdr:cNvPr id="2729251" name="Line 364">
                <a:extLst>
                  <a:ext uri="{FF2B5EF4-FFF2-40B4-BE49-F238E27FC236}">
                    <a16:creationId xmlns:a16="http://schemas.microsoft.com/office/drawing/2014/main" id="{00000000-0008-0000-0400-000023A52900}"/>
                  </a:ext>
                </a:extLst>
              </xdr:cNvPr>
              <xdr:cNvSpPr>
                <a:spLocks noChangeShapeType="1"/>
              </xdr:cNvSpPr>
            </xdr:nvSpPr>
            <xdr:spPr bwMode="auto">
              <a:xfrm>
                <a:off x="1413" y="192"/>
                <a:ext cx="13" cy="66"/>
              </a:xfrm>
              <a:prstGeom prst="line">
                <a:avLst/>
              </a:prstGeom>
              <a:noFill/>
              <a:ln w="9525">
                <a:solidFill>
                  <a:srgbClr val="000000"/>
                </a:solidFill>
                <a:prstDash val="lgDashDot"/>
                <a:round/>
                <a:headEnd/>
                <a:tailEnd/>
              </a:ln>
            </xdr:spPr>
          </xdr:sp>
          <xdr:sp macro="" textlink="">
            <xdr:nvSpPr>
              <xdr:cNvPr id="2729252" name="Line 365">
                <a:extLst>
                  <a:ext uri="{FF2B5EF4-FFF2-40B4-BE49-F238E27FC236}">
                    <a16:creationId xmlns:a16="http://schemas.microsoft.com/office/drawing/2014/main" id="{00000000-0008-0000-0400-000024A52900}"/>
                  </a:ext>
                </a:extLst>
              </xdr:cNvPr>
              <xdr:cNvSpPr>
                <a:spLocks noChangeShapeType="1"/>
              </xdr:cNvSpPr>
            </xdr:nvSpPr>
            <xdr:spPr bwMode="auto">
              <a:xfrm rot="451304" flipV="1">
                <a:off x="1375" y="218"/>
                <a:ext cx="117" cy="44"/>
              </a:xfrm>
              <a:prstGeom prst="line">
                <a:avLst/>
              </a:prstGeom>
              <a:noFill/>
              <a:ln w="9525">
                <a:solidFill>
                  <a:srgbClr val="000000"/>
                </a:solidFill>
                <a:prstDash val="lgDashDot"/>
                <a:round/>
                <a:headEnd/>
                <a:tailEnd/>
              </a:ln>
            </xdr:spPr>
          </xdr:sp>
          <xdr:sp macro="" textlink="">
            <xdr:nvSpPr>
              <xdr:cNvPr id="2729253" name="Line 366">
                <a:extLst>
                  <a:ext uri="{FF2B5EF4-FFF2-40B4-BE49-F238E27FC236}">
                    <a16:creationId xmlns:a16="http://schemas.microsoft.com/office/drawing/2014/main" id="{00000000-0008-0000-0400-000025A52900}"/>
                  </a:ext>
                </a:extLst>
              </xdr:cNvPr>
              <xdr:cNvSpPr>
                <a:spLocks noChangeShapeType="1"/>
              </xdr:cNvSpPr>
            </xdr:nvSpPr>
            <xdr:spPr bwMode="auto">
              <a:xfrm>
                <a:off x="1501" y="89"/>
                <a:ext cx="41" cy="184"/>
              </a:xfrm>
              <a:prstGeom prst="line">
                <a:avLst/>
              </a:prstGeom>
              <a:noFill/>
              <a:ln w="6350">
                <a:solidFill>
                  <a:srgbClr val="FF0000"/>
                </a:solidFill>
                <a:prstDash val="lgDashDot"/>
                <a:round/>
                <a:headEnd type="stealth" w="sm" len="med"/>
                <a:tailEnd/>
              </a:ln>
            </xdr:spPr>
          </xdr:sp>
          <xdr:sp macro="" textlink="">
            <xdr:nvSpPr>
              <xdr:cNvPr id="3440" name="AutoShape 368">
                <a:extLst>
                  <a:ext uri="{FF2B5EF4-FFF2-40B4-BE49-F238E27FC236}">
                    <a16:creationId xmlns:a16="http://schemas.microsoft.com/office/drawing/2014/main" id="{00000000-0008-0000-0400-0000700D0000}"/>
                  </a:ext>
                </a:extLst>
              </xdr:cNvPr>
              <xdr:cNvSpPr>
                <a:spLocks noChangeArrowheads="1"/>
              </xdr:cNvSpPr>
            </xdr:nvSpPr>
            <xdr:spPr bwMode="auto">
              <a:xfrm>
                <a:off x="1522" y="196"/>
                <a:ext cx="9" cy="10"/>
              </a:xfrm>
              <a:prstGeom prst="triangle">
                <a:avLst>
                  <a:gd name="adj" fmla="val 50000"/>
                </a:avLst>
              </a:prstGeom>
              <a:solidFill>
                <a:srgbClr val="000000"/>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xdr:txBody>
          </xdr:sp>
        </xdr:grpSp>
        <xdr:sp macro="" textlink="">
          <xdr:nvSpPr>
            <xdr:cNvPr id="2729234" name="Line 379">
              <a:extLst>
                <a:ext uri="{FF2B5EF4-FFF2-40B4-BE49-F238E27FC236}">
                  <a16:creationId xmlns:a16="http://schemas.microsoft.com/office/drawing/2014/main" id="{00000000-0008-0000-0400-000012A52900}"/>
                </a:ext>
              </a:extLst>
            </xdr:cNvPr>
            <xdr:cNvSpPr>
              <a:spLocks noChangeShapeType="1"/>
            </xdr:cNvSpPr>
          </xdr:nvSpPr>
          <xdr:spPr bwMode="auto">
            <a:xfrm flipH="1" flipV="1">
              <a:off x="1425" y="244"/>
              <a:ext cx="33" cy="31"/>
            </a:xfrm>
            <a:prstGeom prst="line">
              <a:avLst/>
            </a:prstGeom>
            <a:noFill/>
            <a:ln w="9525">
              <a:solidFill>
                <a:srgbClr val="000000"/>
              </a:solidFill>
              <a:round/>
              <a:headEnd/>
              <a:tailEnd type="stealth" w="sm" len="med"/>
            </a:ln>
          </xdr:spPr>
        </xdr:sp>
        <xdr:sp macro="" textlink="">
          <xdr:nvSpPr>
            <xdr:cNvPr id="2729235" name="Line 361">
              <a:extLst>
                <a:ext uri="{FF2B5EF4-FFF2-40B4-BE49-F238E27FC236}">
                  <a16:creationId xmlns:a16="http://schemas.microsoft.com/office/drawing/2014/main" id="{00000000-0008-0000-0400-000013A52900}"/>
                </a:ext>
              </a:extLst>
            </xdr:cNvPr>
            <xdr:cNvSpPr>
              <a:spLocks noChangeShapeType="1"/>
            </xdr:cNvSpPr>
          </xdr:nvSpPr>
          <xdr:spPr bwMode="auto">
            <a:xfrm rot="451304" flipV="1">
              <a:off x="1304" y="150"/>
              <a:ext cx="352" cy="125"/>
            </a:xfrm>
            <a:prstGeom prst="line">
              <a:avLst/>
            </a:prstGeom>
            <a:noFill/>
            <a:ln w="9525">
              <a:solidFill>
                <a:srgbClr val="FF6600"/>
              </a:solidFill>
              <a:prstDash val="lgDashDot"/>
              <a:round/>
              <a:headEnd type="none" w="sm" len="med"/>
              <a:tailEnd type="stealth" w="med" len="med"/>
            </a:ln>
          </xdr:spPr>
        </xdr:sp>
      </xdr:grpSp>
      <xdr:sp macro="" textlink="">
        <xdr:nvSpPr>
          <xdr:cNvPr id="2729231" name="AutoShape 363">
            <a:extLst>
              <a:ext uri="{FF2B5EF4-FFF2-40B4-BE49-F238E27FC236}">
                <a16:creationId xmlns:a16="http://schemas.microsoft.com/office/drawing/2014/main" id="{00000000-0008-0000-0400-00000FA52900}"/>
              </a:ext>
            </a:extLst>
          </xdr:cNvPr>
          <xdr:cNvSpPr>
            <a:spLocks noChangeArrowheads="1"/>
          </xdr:cNvSpPr>
        </xdr:nvSpPr>
        <xdr:spPr bwMode="auto">
          <a:xfrm>
            <a:off x="1419" y="238"/>
            <a:ext cx="8" cy="8"/>
          </a:xfrm>
          <a:prstGeom prst="diamond">
            <a:avLst/>
          </a:prstGeom>
          <a:solidFill>
            <a:srgbClr val="000000"/>
          </a:solidFill>
          <a:ln w="9525">
            <a:solidFill>
              <a:srgbClr val="000000"/>
            </a:solidFill>
            <a:miter lim="800000"/>
            <a:headEnd/>
            <a:tailEnd/>
          </a:ln>
        </xdr:spPr>
      </xdr:sp>
    </xdr:grpSp>
    <xdr:clientData/>
  </xdr:twoCellAnchor>
  <xdr:twoCellAnchor>
    <xdr:from>
      <xdr:col>42</xdr:col>
      <xdr:colOff>0</xdr:colOff>
      <xdr:row>77</xdr:row>
      <xdr:rowOff>0</xdr:rowOff>
    </xdr:from>
    <xdr:to>
      <xdr:col>45</xdr:col>
      <xdr:colOff>409575</xdr:colOff>
      <xdr:row>85</xdr:row>
      <xdr:rowOff>76200</xdr:rowOff>
    </xdr:to>
    <xdr:graphicFrame macro="">
      <xdr:nvGraphicFramePr>
        <xdr:cNvPr id="2729202" name="Chart 547">
          <a:extLst>
            <a:ext uri="{FF2B5EF4-FFF2-40B4-BE49-F238E27FC236}">
              <a16:creationId xmlns:a16="http://schemas.microsoft.com/office/drawing/2014/main" id="{00000000-0008-0000-0400-0000F2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42</xdr:col>
      <xdr:colOff>0</xdr:colOff>
      <xdr:row>86</xdr:row>
      <xdr:rowOff>0</xdr:rowOff>
    </xdr:from>
    <xdr:to>
      <xdr:col>45</xdr:col>
      <xdr:colOff>400050</xdr:colOff>
      <xdr:row>94</xdr:row>
      <xdr:rowOff>76200</xdr:rowOff>
    </xdr:to>
    <xdr:graphicFrame macro="">
      <xdr:nvGraphicFramePr>
        <xdr:cNvPr id="2729203" name="Chart 548">
          <a:extLst>
            <a:ext uri="{FF2B5EF4-FFF2-40B4-BE49-F238E27FC236}">
              <a16:creationId xmlns:a16="http://schemas.microsoft.com/office/drawing/2014/main" id="{00000000-0008-0000-0400-0000F3A42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15</xdr:col>
      <xdr:colOff>51435</xdr:colOff>
      <xdr:row>6</xdr:row>
      <xdr:rowOff>127635</xdr:rowOff>
    </xdr:from>
    <xdr:to>
      <xdr:col>15</xdr:col>
      <xdr:colOff>196215</xdr:colOff>
      <xdr:row>7</xdr:row>
      <xdr:rowOff>129966</xdr:rowOff>
    </xdr:to>
    <xdr:sp macro="" textlink="">
      <xdr:nvSpPr>
        <xdr:cNvPr id="3625" name="Text Box 553">
          <a:extLst>
            <a:ext uri="{FF2B5EF4-FFF2-40B4-BE49-F238E27FC236}">
              <a16:creationId xmlns:a16="http://schemas.microsoft.com/office/drawing/2014/main" id="{00000000-0008-0000-0400-0000290E0000}"/>
            </a:ext>
          </a:extLst>
        </xdr:cNvPr>
        <xdr:cNvSpPr txBox="1">
          <a:spLocks noChangeArrowheads="1"/>
        </xdr:cNvSpPr>
      </xdr:nvSpPr>
      <xdr:spPr bwMode="auto">
        <a:xfrm>
          <a:off x="11033760" y="1158240"/>
          <a:ext cx="144780" cy="160020"/>
        </a:xfrm>
        <a:prstGeom prst="rect">
          <a:avLst/>
        </a:prstGeom>
        <a:solidFill>
          <a:srgbClr val="CCFFCC"/>
        </a:solidFill>
        <a:ln w="9525">
          <a:noFill/>
          <a:miter lim="800000"/>
          <a:headEnd/>
          <a:tailEnd/>
        </a:ln>
        <a:effectLst/>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p>
      </xdr:txBody>
    </xdr:sp>
    <xdr:clientData/>
  </xdr:twoCellAnchor>
  <xdr:twoCellAnchor>
    <xdr:from>
      <xdr:col>0</xdr:col>
      <xdr:colOff>685800</xdr:colOff>
      <xdr:row>9</xdr:row>
      <xdr:rowOff>28575</xdr:rowOff>
    </xdr:from>
    <xdr:to>
      <xdr:col>6</xdr:col>
      <xdr:colOff>409575</xdr:colOff>
      <xdr:row>18</xdr:row>
      <xdr:rowOff>95250</xdr:rowOff>
    </xdr:to>
    <xdr:grpSp>
      <xdr:nvGrpSpPr>
        <xdr:cNvPr id="2729205" name="Group 577">
          <a:extLst>
            <a:ext uri="{FF2B5EF4-FFF2-40B4-BE49-F238E27FC236}">
              <a16:creationId xmlns:a16="http://schemas.microsoft.com/office/drawing/2014/main" id="{00000000-0008-0000-0400-0000F5A42900}"/>
            </a:ext>
          </a:extLst>
        </xdr:cNvPr>
        <xdr:cNvGrpSpPr>
          <a:grpSpLocks/>
        </xdr:cNvGrpSpPr>
      </xdr:nvGrpSpPr>
      <xdr:grpSpPr bwMode="auto">
        <a:xfrm>
          <a:off x="685800" y="1504950"/>
          <a:ext cx="4933950" cy="1524000"/>
          <a:chOff x="52" y="158"/>
          <a:chExt cx="483" cy="160"/>
        </a:xfrm>
      </xdr:grpSpPr>
      <xdr:sp macro="" textlink="">
        <xdr:nvSpPr>
          <xdr:cNvPr id="2729210" name="Rectangle 425">
            <a:extLst>
              <a:ext uri="{FF2B5EF4-FFF2-40B4-BE49-F238E27FC236}">
                <a16:creationId xmlns:a16="http://schemas.microsoft.com/office/drawing/2014/main" id="{00000000-0008-0000-0400-0000FAA42900}"/>
              </a:ext>
            </a:extLst>
          </xdr:cNvPr>
          <xdr:cNvSpPr>
            <a:spLocks noChangeArrowheads="1"/>
          </xdr:cNvSpPr>
        </xdr:nvSpPr>
        <xdr:spPr bwMode="auto">
          <a:xfrm>
            <a:off x="52" y="158"/>
            <a:ext cx="483" cy="160"/>
          </a:xfrm>
          <a:prstGeom prst="rect">
            <a:avLst/>
          </a:prstGeom>
          <a:noFill/>
          <a:ln w="9525">
            <a:solidFill>
              <a:srgbClr val="000000"/>
            </a:solidFill>
            <a:miter lim="800000"/>
            <a:headEnd/>
            <a:tailEnd/>
          </a:ln>
        </xdr:spPr>
      </xdr:sp>
      <xdr:grpSp>
        <xdr:nvGrpSpPr>
          <xdr:cNvPr id="2729211" name="Group 576">
            <a:extLst>
              <a:ext uri="{FF2B5EF4-FFF2-40B4-BE49-F238E27FC236}">
                <a16:creationId xmlns:a16="http://schemas.microsoft.com/office/drawing/2014/main" id="{00000000-0008-0000-0400-0000FBA42900}"/>
              </a:ext>
            </a:extLst>
          </xdr:cNvPr>
          <xdr:cNvGrpSpPr>
            <a:grpSpLocks/>
          </xdr:cNvGrpSpPr>
        </xdr:nvGrpSpPr>
        <xdr:grpSpPr bwMode="auto">
          <a:xfrm>
            <a:off x="56" y="164"/>
            <a:ext cx="477" cy="139"/>
            <a:chOff x="56" y="164"/>
            <a:chExt cx="477" cy="139"/>
          </a:xfrm>
        </xdr:grpSpPr>
        <xdr:sp macro="" textlink="">
          <xdr:nvSpPr>
            <xdr:cNvPr id="2729212" name="Line 430">
              <a:extLst>
                <a:ext uri="{FF2B5EF4-FFF2-40B4-BE49-F238E27FC236}">
                  <a16:creationId xmlns:a16="http://schemas.microsoft.com/office/drawing/2014/main" id="{00000000-0008-0000-0400-0000FCA42900}"/>
                </a:ext>
              </a:extLst>
            </xdr:cNvPr>
            <xdr:cNvSpPr>
              <a:spLocks noChangeShapeType="1"/>
            </xdr:cNvSpPr>
          </xdr:nvSpPr>
          <xdr:spPr bwMode="auto">
            <a:xfrm flipH="1">
              <a:off x="56" y="274"/>
              <a:ext cx="200" cy="0"/>
            </a:xfrm>
            <a:prstGeom prst="line">
              <a:avLst/>
            </a:prstGeom>
            <a:noFill/>
            <a:ln w="9525">
              <a:solidFill>
                <a:srgbClr val="000000"/>
              </a:solidFill>
              <a:round/>
              <a:headEnd/>
              <a:tailEnd type="none" w="sm" len="med"/>
            </a:ln>
          </xdr:spPr>
        </xdr:sp>
        <xdr:grpSp>
          <xdr:nvGrpSpPr>
            <xdr:cNvPr id="2729213" name="Group 572">
              <a:extLst>
                <a:ext uri="{FF2B5EF4-FFF2-40B4-BE49-F238E27FC236}">
                  <a16:creationId xmlns:a16="http://schemas.microsoft.com/office/drawing/2014/main" id="{00000000-0008-0000-0400-0000FDA42900}"/>
                </a:ext>
              </a:extLst>
            </xdr:cNvPr>
            <xdr:cNvGrpSpPr>
              <a:grpSpLocks/>
            </xdr:cNvGrpSpPr>
          </xdr:nvGrpSpPr>
          <xdr:grpSpPr bwMode="auto">
            <a:xfrm>
              <a:off x="58" y="164"/>
              <a:ext cx="475" cy="139"/>
              <a:chOff x="59" y="164"/>
              <a:chExt cx="475" cy="139"/>
            </a:xfrm>
          </xdr:grpSpPr>
          <xdr:sp macro="" textlink="">
            <xdr:nvSpPr>
              <xdr:cNvPr id="3504" name="Text 289">
                <a:extLst>
                  <a:ext uri="{FF2B5EF4-FFF2-40B4-BE49-F238E27FC236}">
                    <a16:creationId xmlns:a16="http://schemas.microsoft.com/office/drawing/2014/main" id="{00000000-0008-0000-0400-0000B00D0000}"/>
                  </a:ext>
                </a:extLst>
              </xdr:cNvPr>
              <xdr:cNvSpPr txBox="1">
                <a:spLocks noChangeArrowheads="1"/>
              </xdr:cNvSpPr>
            </xdr:nvSpPr>
            <xdr:spPr bwMode="auto">
              <a:xfrm>
                <a:off x="176" y="181"/>
                <a:ext cx="72" cy="23"/>
              </a:xfrm>
              <a:prstGeom prst="rect">
                <a:avLst/>
              </a:prstGeom>
              <a:solidFill>
                <a:srgbClr val="CCFFFF"/>
              </a:solidFill>
              <a:ln w="9525">
                <a:no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AB</a:t>
                </a:r>
                <a:r>
                  <a:rPr lang="en-US" sz="1000" b="0" i="0" strike="noStrike">
                    <a:solidFill>
                      <a:srgbClr val="000000"/>
                    </a:solidFill>
                    <a:latin typeface="Arial"/>
                    <a:cs typeface="Arial"/>
                  </a:rPr>
                  <a:t> or </a:t>
                </a: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CD</a:t>
                </a:r>
                <a:r>
                  <a:rPr lang="en-US" sz="1000" b="0" i="0" strike="noStrike">
                    <a:solidFill>
                      <a:srgbClr val="000000"/>
                    </a:solidFill>
                    <a:latin typeface="Arial"/>
                    <a:cs typeface="Arial"/>
                  </a:rPr>
                  <a:t> </a:t>
                </a:r>
              </a:p>
            </xdr:txBody>
          </xdr:sp>
          <xdr:sp macro="" textlink="">
            <xdr:nvSpPr>
              <xdr:cNvPr id="3578" name="Text Box 506">
                <a:extLst>
                  <a:ext uri="{FF2B5EF4-FFF2-40B4-BE49-F238E27FC236}">
                    <a16:creationId xmlns:a16="http://schemas.microsoft.com/office/drawing/2014/main" id="{00000000-0008-0000-0400-0000FA0D0000}"/>
                  </a:ext>
                </a:extLst>
              </xdr:cNvPr>
              <xdr:cNvSpPr txBox="1">
                <a:spLocks noChangeArrowheads="1"/>
              </xdr:cNvSpPr>
            </xdr:nvSpPr>
            <xdr:spPr bwMode="auto">
              <a:xfrm>
                <a:off x="59" y="276"/>
                <a:ext cx="20" cy="19"/>
              </a:xfrm>
              <a:prstGeom prst="rect">
                <a:avLst/>
              </a:prstGeom>
              <a:solidFill>
                <a:srgbClr val="CCFFFF"/>
              </a:solidFill>
              <a:ln w="9525">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C</a:t>
                </a:r>
              </a:p>
            </xdr:txBody>
          </xdr:sp>
          <xdr:sp macro="" textlink="">
            <xdr:nvSpPr>
              <xdr:cNvPr id="3507" name="Text 293">
                <a:extLst>
                  <a:ext uri="{FF2B5EF4-FFF2-40B4-BE49-F238E27FC236}">
                    <a16:creationId xmlns:a16="http://schemas.microsoft.com/office/drawing/2014/main" id="{00000000-0008-0000-0400-0000B30D0000}"/>
                  </a:ext>
                </a:extLst>
              </xdr:cNvPr>
              <xdr:cNvSpPr txBox="1">
                <a:spLocks noChangeArrowheads="1"/>
              </xdr:cNvSpPr>
            </xdr:nvSpPr>
            <xdr:spPr bwMode="auto">
              <a:xfrm>
                <a:off x="420" y="276"/>
                <a:ext cx="21" cy="18"/>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B </a:t>
                </a:r>
              </a:p>
            </xdr:txBody>
          </xdr:sp>
          <xdr:sp macro="" textlink="">
            <xdr:nvSpPr>
              <xdr:cNvPr id="3509" name="Text 292">
                <a:extLst>
                  <a:ext uri="{FF2B5EF4-FFF2-40B4-BE49-F238E27FC236}">
                    <a16:creationId xmlns:a16="http://schemas.microsoft.com/office/drawing/2014/main" id="{00000000-0008-0000-0400-0000B50D0000}"/>
                  </a:ext>
                </a:extLst>
              </xdr:cNvPr>
              <xdr:cNvSpPr txBox="1">
                <a:spLocks noChangeArrowheads="1"/>
              </xdr:cNvSpPr>
            </xdr:nvSpPr>
            <xdr:spPr bwMode="auto">
              <a:xfrm>
                <a:off x="99" y="277"/>
                <a:ext cx="19" cy="17"/>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 </a:t>
                </a:r>
              </a:p>
            </xdr:txBody>
          </xdr:sp>
          <xdr:sp macro="" textlink="">
            <xdr:nvSpPr>
              <xdr:cNvPr id="3579" name="Text Box 507">
                <a:extLst>
                  <a:ext uri="{FF2B5EF4-FFF2-40B4-BE49-F238E27FC236}">
                    <a16:creationId xmlns:a16="http://schemas.microsoft.com/office/drawing/2014/main" id="{00000000-0008-0000-0400-0000FB0D0000}"/>
                  </a:ext>
                </a:extLst>
              </xdr:cNvPr>
              <xdr:cNvSpPr txBox="1">
                <a:spLocks noChangeArrowheads="1"/>
              </xdr:cNvSpPr>
            </xdr:nvSpPr>
            <xdr:spPr bwMode="auto">
              <a:xfrm>
                <a:off x="515" y="276"/>
                <a:ext cx="19" cy="20"/>
              </a:xfrm>
              <a:prstGeom prst="rect">
                <a:avLst/>
              </a:prstGeom>
              <a:solidFill>
                <a:srgbClr val="CCFFFF"/>
              </a:solidFill>
              <a:ln w="9525">
                <a:noFill/>
                <a:miter lim="800000"/>
                <a:headEnd/>
                <a:tailEn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a:t>
                </a:r>
              </a:p>
            </xdr:txBody>
          </xdr:sp>
          <xdr:sp macro="" textlink="">
            <xdr:nvSpPr>
              <xdr:cNvPr id="3505" name="Text 290">
                <a:extLst>
                  <a:ext uri="{FF2B5EF4-FFF2-40B4-BE49-F238E27FC236}">
                    <a16:creationId xmlns:a16="http://schemas.microsoft.com/office/drawing/2014/main" id="{00000000-0008-0000-0400-0000B10D0000}"/>
                  </a:ext>
                </a:extLst>
              </xdr:cNvPr>
              <xdr:cNvSpPr txBox="1">
                <a:spLocks noChangeArrowheads="1"/>
              </xdr:cNvSpPr>
            </xdr:nvSpPr>
            <xdr:spPr bwMode="auto">
              <a:xfrm>
                <a:off x="322" y="283"/>
                <a:ext cx="66" cy="20"/>
              </a:xfrm>
              <a:prstGeom prst="rect">
                <a:avLst/>
              </a:prstGeom>
              <a:solidFill>
                <a:srgbClr val="CCFFFF"/>
              </a:solidFill>
              <a:ln w="9525">
                <a:solidFill>
                  <a:srgbClr val="CCFFFF"/>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y</a:t>
                </a:r>
                <a:r>
                  <a:rPr lang="en-US" sz="1000" b="0" i="0" strike="noStrike" baseline="-25000">
                    <a:solidFill>
                      <a:srgbClr val="000000"/>
                    </a:solidFill>
                    <a:latin typeface="Arial"/>
                    <a:cs typeface="Arial"/>
                  </a:rPr>
                  <a:t>AB </a:t>
                </a:r>
                <a:r>
                  <a:rPr lang="en-US" sz="1000" b="0" i="0" strike="noStrike">
                    <a:solidFill>
                      <a:srgbClr val="000000"/>
                    </a:solidFill>
                    <a:latin typeface="Arial"/>
                    <a:cs typeface="Arial"/>
                  </a:rPr>
                  <a:t>or </a:t>
                </a: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CD</a:t>
                </a:r>
                <a:r>
                  <a:rPr lang="en-US" sz="1000" b="0" i="0" strike="noStrike">
                    <a:solidFill>
                      <a:srgbClr val="000000"/>
                    </a:solidFill>
                    <a:latin typeface="Arial"/>
                    <a:cs typeface="Arial"/>
                  </a:rPr>
                  <a:t> </a:t>
                </a:r>
              </a:p>
            </xdr:txBody>
          </xdr:sp>
          <xdr:sp macro="" textlink="">
            <xdr:nvSpPr>
              <xdr:cNvPr id="2729223" name="Drawing 285">
                <a:extLst>
                  <a:ext uri="{FF2B5EF4-FFF2-40B4-BE49-F238E27FC236}">
                    <a16:creationId xmlns:a16="http://schemas.microsoft.com/office/drawing/2014/main" id="{00000000-0008-0000-0400-000007A52900}"/>
                  </a:ext>
                </a:extLst>
              </xdr:cNvPr>
              <xdr:cNvSpPr>
                <a:spLocks/>
              </xdr:cNvSpPr>
            </xdr:nvSpPr>
            <xdr:spPr bwMode="auto">
              <a:xfrm>
                <a:off x="70" y="201"/>
                <a:ext cx="456" cy="72"/>
              </a:xfrm>
              <a:custGeom>
                <a:avLst/>
                <a:gdLst>
                  <a:gd name="T0" fmla="*/ 0 w 16384"/>
                  <a:gd name="T1" fmla="*/ 0 h 16384"/>
                  <a:gd name="T2" fmla="*/ 0 w 16384"/>
                  <a:gd name="T3" fmla="*/ 0 h 16384"/>
                  <a:gd name="T4" fmla="*/ 0 w 16384"/>
                  <a:gd name="T5" fmla="*/ 0 h 16384"/>
                  <a:gd name="T6" fmla="*/ 0 w 16384"/>
                  <a:gd name="T7" fmla="*/ 0 h 16384"/>
                  <a:gd name="T8" fmla="*/ 0 w 16384"/>
                  <a:gd name="T9" fmla="*/ 0 h 16384"/>
                  <a:gd name="T10" fmla="*/ 0 w 16384"/>
                  <a:gd name="T11" fmla="*/ 0 h 16384"/>
                  <a:gd name="T12" fmla="*/ 0 w 16384"/>
                  <a:gd name="T13" fmla="*/ 0 h 16384"/>
                  <a:gd name="T14" fmla="*/ 0 w 16384"/>
                  <a:gd name="T15" fmla="*/ 0 h 16384"/>
                  <a:gd name="T16" fmla="*/ 0 w 16384"/>
                  <a:gd name="T17" fmla="*/ 0 h 16384"/>
                  <a:gd name="T18" fmla="*/ 0 w 16384"/>
                  <a:gd name="T19" fmla="*/ 0 h 16384"/>
                  <a:gd name="T20" fmla="*/ 0 w 16384"/>
                  <a:gd name="T21" fmla="*/ 0 h 16384"/>
                  <a:gd name="T22" fmla="*/ 0 w 16384"/>
                  <a:gd name="T23" fmla="*/ 0 h 16384"/>
                  <a:gd name="T24" fmla="*/ 0 w 16384"/>
                  <a:gd name="T25" fmla="*/ 0 h 16384"/>
                  <a:gd name="T26" fmla="*/ 0 w 16384"/>
                  <a:gd name="T27" fmla="*/ 0 h 16384"/>
                  <a:gd name="T28" fmla="*/ 0 w 16384"/>
                  <a:gd name="T29" fmla="*/ 0 h 16384"/>
                  <a:gd name="T30" fmla="*/ 0 w 16384"/>
                  <a:gd name="T31" fmla="*/ 0 h 16384"/>
                  <a:gd name="T32" fmla="*/ 0 w 16384"/>
                  <a:gd name="T33" fmla="*/ 0 h 16384"/>
                  <a:gd name="T34" fmla="*/ 0 w 16384"/>
                  <a:gd name="T35" fmla="*/ 0 h 16384"/>
                  <a:gd name="T36" fmla="*/ 0 w 16384"/>
                  <a:gd name="T37" fmla="*/ 0 h 16384"/>
                  <a:gd name="T38" fmla="*/ 0 w 16384"/>
                  <a:gd name="T39" fmla="*/ 0 h 16384"/>
                  <a:gd name="T40" fmla="*/ 0 w 16384"/>
                  <a:gd name="T41" fmla="*/ 0 h 16384"/>
                  <a:gd name="T42" fmla="*/ 0 w 16384"/>
                  <a:gd name="T43" fmla="*/ 0 h 16384"/>
                  <a:gd name="T44" fmla="*/ 0 w 16384"/>
                  <a:gd name="T45" fmla="*/ 0 h 16384"/>
                  <a:gd name="T46" fmla="*/ 0 w 16384"/>
                  <a:gd name="T47" fmla="*/ 0 h 16384"/>
                  <a:gd name="T48" fmla="*/ 0 w 16384"/>
                  <a:gd name="T49" fmla="*/ 0 h 16384"/>
                  <a:gd name="T50" fmla="*/ 0 w 16384"/>
                  <a:gd name="T51" fmla="*/ 0 h 16384"/>
                  <a:gd name="T52" fmla="*/ 0 w 16384"/>
                  <a:gd name="T53" fmla="*/ 0 h 16384"/>
                  <a:gd name="T54" fmla="*/ 0 w 16384"/>
                  <a:gd name="T55" fmla="*/ 0 h 16384"/>
                  <a:gd name="T56" fmla="*/ 0 w 16384"/>
                  <a:gd name="T57" fmla="*/ 0 h 16384"/>
                  <a:gd name="T58" fmla="*/ 0 w 16384"/>
                  <a:gd name="T59" fmla="*/ 0 h 16384"/>
                  <a:gd name="T60" fmla="*/ 0 w 16384"/>
                  <a:gd name="T61" fmla="*/ 0 h 16384"/>
                  <a:gd name="T62" fmla="*/ 0 w 16384"/>
                  <a:gd name="T63" fmla="*/ 0 h 16384"/>
                  <a:gd name="T64" fmla="*/ 0 w 16384"/>
                  <a:gd name="T65" fmla="*/ 0 h 16384"/>
                  <a:gd name="T66" fmla="*/ 0 w 16384"/>
                  <a:gd name="T67" fmla="*/ 0 h 16384"/>
                  <a:gd name="T68" fmla="*/ 0 w 16384"/>
                  <a:gd name="T69" fmla="*/ 0 h 16384"/>
                  <a:gd name="T70" fmla="*/ 0 w 16384"/>
                  <a:gd name="T71" fmla="*/ 0 h 16384"/>
                  <a:gd name="T72" fmla="*/ 0 w 16384"/>
                  <a:gd name="T73" fmla="*/ 0 h 16384"/>
                  <a:gd name="T74" fmla="*/ 0 w 16384"/>
                  <a:gd name="T75" fmla="*/ 0 h 16384"/>
                  <a:gd name="T76" fmla="*/ 0 w 16384"/>
                  <a:gd name="T77" fmla="*/ 0 h 16384"/>
                  <a:gd name="T78" fmla="*/ 0 w 16384"/>
                  <a:gd name="T79" fmla="*/ 0 h 16384"/>
                  <a:gd name="T80" fmla="*/ 0 w 16384"/>
                  <a:gd name="T81" fmla="*/ 0 h 16384"/>
                  <a:gd name="T82" fmla="*/ 0 w 16384"/>
                  <a:gd name="T83" fmla="*/ 0 h 16384"/>
                  <a:gd name="T84" fmla="*/ 0 w 16384"/>
                  <a:gd name="T85" fmla="*/ 0 h 1638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6384"/>
                  <a:gd name="T130" fmla="*/ 0 h 16384"/>
                  <a:gd name="T131" fmla="*/ 16384 w 16384"/>
                  <a:gd name="T132" fmla="*/ 16384 h 1638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6384" h="16384">
                    <a:moveTo>
                      <a:pt x="0" y="16384"/>
                    </a:moveTo>
                    <a:lnTo>
                      <a:pt x="339" y="16384"/>
                    </a:lnTo>
                    <a:lnTo>
                      <a:pt x="484" y="16384"/>
                    </a:lnTo>
                    <a:lnTo>
                      <a:pt x="630" y="16384"/>
                    </a:lnTo>
                    <a:lnTo>
                      <a:pt x="824" y="16156"/>
                    </a:lnTo>
                    <a:lnTo>
                      <a:pt x="1018" y="15929"/>
                    </a:lnTo>
                    <a:lnTo>
                      <a:pt x="1163" y="15701"/>
                    </a:lnTo>
                    <a:lnTo>
                      <a:pt x="1406" y="15473"/>
                    </a:lnTo>
                    <a:lnTo>
                      <a:pt x="1648" y="15018"/>
                    </a:lnTo>
                    <a:lnTo>
                      <a:pt x="1891" y="14563"/>
                    </a:lnTo>
                    <a:lnTo>
                      <a:pt x="2133" y="14109"/>
                    </a:lnTo>
                    <a:lnTo>
                      <a:pt x="2424" y="13425"/>
                    </a:lnTo>
                    <a:lnTo>
                      <a:pt x="2715" y="12971"/>
                    </a:lnTo>
                    <a:lnTo>
                      <a:pt x="3005" y="12060"/>
                    </a:lnTo>
                    <a:lnTo>
                      <a:pt x="3296" y="11378"/>
                    </a:lnTo>
                    <a:lnTo>
                      <a:pt x="3587" y="10467"/>
                    </a:lnTo>
                    <a:lnTo>
                      <a:pt x="3732" y="10012"/>
                    </a:lnTo>
                    <a:lnTo>
                      <a:pt x="3877" y="9557"/>
                    </a:lnTo>
                    <a:lnTo>
                      <a:pt x="4023" y="9103"/>
                    </a:lnTo>
                    <a:lnTo>
                      <a:pt x="4217" y="8647"/>
                    </a:lnTo>
                    <a:lnTo>
                      <a:pt x="4508" y="7510"/>
                    </a:lnTo>
                    <a:lnTo>
                      <a:pt x="4847" y="6372"/>
                    </a:lnTo>
                    <a:lnTo>
                      <a:pt x="5186" y="5234"/>
                    </a:lnTo>
                    <a:lnTo>
                      <a:pt x="5332" y="4779"/>
                    </a:lnTo>
                    <a:lnTo>
                      <a:pt x="5477" y="4097"/>
                    </a:lnTo>
                    <a:lnTo>
                      <a:pt x="5672" y="3641"/>
                    </a:lnTo>
                    <a:lnTo>
                      <a:pt x="5768" y="3186"/>
                    </a:lnTo>
                    <a:lnTo>
                      <a:pt x="5913" y="2731"/>
                    </a:lnTo>
                    <a:lnTo>
                      <a:pt x="6059" y="2504"/>
                    </a:lnTo>
                    <a:lnTo>
                      <a:pt x="6156" y="2048"/>
                    </a:lnTo>
                    <a:lnTo>
                      <a:pt x="6253" y="1821"/>
                    </a:lnTo>
                    <a:lnTo>
                      <a:pt x="6350" y="1593"/>
                    </a:lnTo>
                    <a:lnTo>
                      <a:pt x="6447" y="1366"/>
                    </a:lnTo>
                    <a:lnTo>
                      <a:pt x="6592" y="911"/>
                    </a:lnTo>
                    <a:lnTo>
                      <a:pt x="6738" y="683"/>
                    </a:lnTo>
                    <a:lnTo>
                      <a:pt x="6883" y="455"/>
                    </a:lnTo>
                    <a:lnTo>
                      <a:pt x="6980" y="228"/>
                    </a:lnTo>
                    <a:lnTo>
                      <a:pt x="7174" y="0"/>
                    </a:lnTo>
                    <a:lnTo>
                      <a:pt x="7319" y="0"/>
                    </a:lnTo>
                    <a:lnTo>
                      <a:pt x="7562" y="0"/>
                    </a:lnTo>
                    <a:lnTo>
                      <a:pt x="7756" y="0"/>
                    </a:lnTo>
                    <a:lnTo>
                      <a:pt x="7949" y="0"/>
                    </a:lnTo>
                    <a:lnTo>
                      <a:pt x="8192" y="0"/>
                    </a:lnTo>
                    <a:lnTo>
                      <a:pt x="8386" y="228"/>
                    </a:lnTo>
                    <a:lnTo>
                      <a:pt x="8628" y="683"/>
                    </a:lnTo>
                    <a:lnTo>
                      <a:pt x="8774" y="911"/>
                    </a:lnTo>
                    <a:lnTo>
                      <a:pt x="8870" y="1138"/>
                    </a:lnTo>
                    <a:lnTo>
                      <a:pt x="9015" y="1366"/>
                    </a:lnTo>
                    <a:lnTo>
                      <a:pt x="9113" y="1593"/>
                    </a:lnTo>
                    <a:lnTo>
                      <a:pt x="9258" y="1821"/>
                    </a:lnTo>
                    <a:lnTo>
                      <a:pt x="9404" y="2275"/>
                    </a:lnTo>
                    <a:lnTo>
                      <a:pt x="9597" y="2731"/>
                    </a:lnTo>
                    <a:lnTo>
                      <a:pt x="9743" y="3186"/>
                    </a:lnTo>
                    <a:lnTo>
                      <a:pt x="9937" y="3868"/>
                    </a:lnTo>
                    <a:lnTo>
                      <a:pt x="10131" y="4324"/>
                    </a:lnTo>
                    <a:lnTo>
                      <a:pt x="10470" y="5689"/>
                    </a:lnTo>
                    <a:lnTo>
                      <a:pt x="10858" y="6827"/>
                    </a:lnTo>
                    <a:lnTo>
                      <a:pt x="11003" y="7510"/>
                    </a:lnTo>
                    <a:lnTo>
                      <a:pt x="11197" y="8192"/>
                    </a:lnTo>
                    <a:lnTo>
                      <a:pt x="11342" y="8647"/>
                    </a:lnTo>
                    <a:lnTo>
                      <a:pt x="11537" y="9103"/>
                    </a:lnTo>
                    <a:lnTo>
                      <a:pt x="11682" y="9785"/>
                    </a:lnTo>
                    <a:lnTo>
                      <a:pt x="11828" y="10012"/>
                    </a:lnTo>
                    <a:lnTo>
                      <a:pt x="11924" y="10467"/>
                    </a:lnTo>
                    <a:lnTo>
                      <a:pt x="12021" y="10695"/>
                    </a:lnTo>
                    <a:lnTo>
                      <a:pt x="12119" y="11150"/>
                    </a:lnTo>
                    <a:lnTo>
                      <a:pt x="12215" y="11378"/>
                    </a:lnTo>
                    <a:lnTo>
                      <a:pt x="12312" y="11605"/>
                    </a:lnTo>
                    <a:lnTo>
                      <a:pt x="12360" y="11832"/>
                    </a:lnTo>
                    <a:lnTo>
                      <a:pt x="12555" y="12060"/>
                    </a:lnTo>
                    <a:lnTo>
                      <a:pt x="12651" y="12287"/>
                    </a:lnTo>
                    <a:lnTo>
                      <a:pt x="12796" y="12743"/>
                    </a:lnTo>
                    <a:lnTo>
                      <a:pt x="12894" y="12971"/>
                    </a:lnTo>
                    <a:lnTo>
                      <a:pt x="13039" y="13198"/>
                    </a:lnTo>
                    <a:lnTo>
                      <a:pt x="13185" y="13653"/>
                    </a:lnTo>
                    <a:lnTo>
                      <a:pt x="13330" y="13880"/>
                    </a:lnTo>
                    <a:lnTo>
                      <a:pt x="13475" y="14109"/>
                    </a:lnTo>
                    <a:lnTo>
                      <a:pt x="13621" y="14336"/>
                    </a:lnTo>
                    <a:lnTo>
                      <a:pt x="13912" y="14791"/>
                    </a:lnTo>
                    <a:lnTo>
                      <a:pt x="14203" y="15018"/>
                    </a:lnTo>
                    <a:lnTo>
                      <a:pt x="14348" y="15246"/>
                    </a:lnTo>
                    <a:lnTo>
                      <a:pt x="14493" y="15246"/>
                    </a:lnTo>
                    <a:lnTo>
                      <a:pt x="14735" y="15473"/>
                    </a:lnTo>
                    <a:lnTo>
                      <a:pt x="15026" y="15701"/>
                    </a:lnTo>
                    <a:lnTo>
                      <a:pt x="15269" y="15701"/>
                    </a:lnTo>
                    <a:lnTo>
                      <a:pt x="15802" y="16156"/>
                    </a:lnTo>
                    <a:lnTo>
                      <a:pt x="16384" y="16384"/>
                    </a:lnTo>
                  </a:path>
                </a:pathLst>
              </a:custGeom>
              <a:solidFill>
                <a:srgbClr val="CCFFCC"/>
              </a:solidFill>
              <a:ln w="9525">
                <a:solidFill>
                  <a:srgbClr val="000000"/>
                </a:solidFill>
                <a:prstDash val="lgDashDot"/>
                <a:round/>
                <a:headEnd/>
                <a:tailEnd/>
              </a:ln>
            </xdr:spPr>
          </xdr:sp>
          <xdr:sp macro="" textlink="">
            <xdr:nvSpPr>
              <xdr:cNvPr id="2729224" name="Drawing 285">
                <a:extLst>
                  <a:ext uri="{FF2B5EF4-FFF2-40B4-BE49-F238E27FC236}">
                    <a16:creationId xmlns:a16="http://schemas.microsoft.com/office/drawing/2014/main" id="{00000000-0008-0000-0400-000008A52900}"/>
                  </a:ext>
                </a:extLst>
              </xdr:cNvPr>
              <xdr:cNvSpPr>
                <a:spLocks/>
              </xdr:cNvSpPr>
            </xdr:nvSpPr>
            <xdr:spPr bwMode="auto">
              <a:xfrm>
                <a:off x="102" y="212"/>
                <a:ext cx="323" cy="61"/>
              </a:xfrm>
              <a:custGeom>
                <a:avLst/>
                <a:gdLst>
                  <a:gd name="T0" fmla="*/ 0 w 16384"/>
                  <a:gd name="T1" fmla="*/ 0 h 16384"/>
                  <a:gd name="T2" fmla="*/ 0 w 16384"/>
                  <a:gd name="T3" fmla="*/ 0 h 16384"/>
                  <a:gd name="T4" fmla="*/ 0 w 16384"/>
                  <a:gd name="T5" fmla="*/ 0 h 16384"/>
                  <a:gd name="T6" fmla="*/ 0 w 16384"/>
                  <a:gd name="T7" fmla="*/ 0 h 16384"/>
                  <a:gd name="T8" fmla="*/ 0 w 16384"/>
                  <a:gd name="T9" fmla="*/ 0 h 16384"/>
                  <a:gd name="T10" fmla="*/ 0 w 16384"/>
                  <a:gd name="T11" fmla="*/ 0 h 16384"/>
                  <a:gd name="T12" fmla="*/ 0 w 16384"/>
                  <a:gd name="T13" fmla="*/ 0 h 16384"/>
                  <a:gd name="T14" fmla="*/ 0 w 16384"/>
                  <a:gd name="T15" fmla="*/ 0 h 16384"/>
                  <a:gd name="T16" fmla="*/ 0 w 16384"/>
                  <a:gd name="T17" fmla="*/ 0 h 16384"/>
                  <a:gd name="T18" fmla="*/ 0 w 16384"/>
                  <a:gd name="T19" fmla="*/ 0 h 16384"/>
                  <a:gd name="T20" fmla="*/ 0 w 16384"/>
                  <a:gd name="T21" fmla="*/ 0 h 16384"/>
                  <a:gd name="T22" fmla="*/ 0 w 16384"/>
                  <a:gd name="T23" fmla="*/ 0 h 16384"/>
                  <a:gd name="T24" fmla="*/ 0 w 16384"/>
                  <a:gd name="T25" fmla="*/ 0 h 16384"/>
                  <a:gd name="T26" fmla="*/ 0 w 16384"/>
                  <a:gd name="T27" fmla="*/ 0 h 16384"/>
                  <a:gd name="T28" fmla="*/ 0 w 16384"/>
                  <a:gd name="T29" fmla="*/ 0 h 16384"/>
                  <a:gd name="T30" fmla="*/ 0 w 16384"/>
                  <a:gd name="T31" fmla="*/ 0 h 16384"/>
                  <a:gd name="T32" fmla="*/ 0 w 16384"/>
                  <a:gd name="T33" fmla="*/ 0 h 16384"/>
                  <a:gd name="T34" fmla="*/ 0 w 16384"/>
                  <a:gd name="T35" fmla="*/ 0 h 16384"/>
                  <a:gd name="T36" fmla="*/ 0 w 16384"/>
                  <a:gd name="T37" fmla="*/ 0 h 16384"/>
                  <a:gd name="T38" fmla="*/ 0 w 16384"/>
                  <a:gd name="T39" fmla="*/ 0 h 16384"/>
                  <a:gd name="T40" fmla="*/ 0 w 16384"/>
                  <a:gd name="T41" fmla="*/ 0 h 16384"/>
                  <a:gd name="T42" fmla="*/ 0 w 16384"/>
                  <a:gd name="T43" fmla="*/ 0 h 16384"/>
                  <a:gd name="T44" fmla="*/ 0 w 16384"/>
                  <a:gd name="T45" fmla="*/ 0 h 16384"/>
                  <a:gd name="T46" fmla="*/ 0 w 16384"/>
                  <a:gd name="T47" fmla="*/ 0 h 16384"/>
                  <a:gd name="T48" fmla="*/ 0 w 16384"/>
                  <a:gd name="T49" fmla="*/ 0 h 16384"/>
                  <a:gd name="T50" fmla="*/ 0 w 16384"/>
                  <a:gd name="T51" fmla="*/ 0 h 16384"/>
                  <a:gd name="T52" fmla="*/ 0 w 16384"/>
                  <a:gd name="T53" fmla="*/ 0 h 16384"/>
                  <a:gd name="T54" fmla="*/ 0 w 16384"/>
                  <a:gd name="T55" fmla="*/ 0 h 16384"/>
                  <a:gd name="T56" fmla="*/ 0 w 16384"/>
                  <a:gd name="T57" fmla="*/ 0 h 16384"/>
                  <a:gd name="T58" fmla="*/ 0 w 16384"/>
                  <a:gd name="T59" fmla="*/ 0 h 16384"/>
                  <a:gd name="T60" fmla="*/ 0 w 16384"/>
                  <a:gd name="T61" fmla="*/ 0 h 16384"/>
                  <a:gd name="T62" fmla="*/ 0 w 16384"/>
                  <a:gd name="T63" fmla="*/ 0 h 16384"/>
                  <a:gd name="T64" fmla="*/ 0 w 16384"/>
                  <a:gd name="T65" fmla="*/ 0 h 16384"/>
                  <a:gd name="T66" fmla="*/ 0 w 16384"/>
                  <a:gd name="T67" fmla="*/ 0 h 16384"/>
                  <a:gd name="T68" fmla="*/ 0 w 16384"/>
                  <a:gd name="T69" fmla="*/ 0 h 16384"/>
                  <a:gd name="T70" fmla="*/ 0 w 16384"/>
                  <a:gd name="T71" fmla="*/ 0 h 16384"/>
                  <a:gd name="T72" fmla="*/ 0 w 16384"/>
                  <a:gd name="T73" fmla="*/ 0 h 16384"/>
                  <a:gd name="T74" fmla="*/ 0 w 16384"/>
                  <a:gd name="T75" fmla="*/ 0 h 16384"/>
                  <a:gd name="T76" fmla="*/ 0 w 16384"/>
                  <a:gd name="T77" fmla="*/ 0 h 16384"/>
                  <a:gd name="T78" fmla="*/ 0 w 16384"/>
                  <a:gd name="T79" fmla="*/ 0 h 16384"/>
                  <a:gd name="T80" fmla="*/ 0 w 16384"/>
                  <a:gd name="T81" fmla="*/ 0 h 16384"/>
                  <a:gd name="T82" fmla="*/ 0 w 16384"/>
                  <a:gd name="T83" fmla="*/ 0 h 16384"/>
                  <a:gd name="T84" fmla="*/ 0 w 16384"/>
                  <a:gd name="T85" fmla="*/ 0 h 16384"/>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w 16384"/>
                  <a:gd name="T130" fmla="*/ 0 h 16384"/>
                  <a:gd name="T131" fmla="*/ 16384 w 16384"/>
                  <a:gd name="T132" fmla="*/ 16384 h 16384"/>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T129" t="T130" r="T131" b="T132"/>
                <a:pathLst>
                  <a:path w="16384" h="16384">
                    <a:moveTo>
                      <a:pt x="0" y="16384"/>
                    </a:moveTo>
                    <a:lnTo>
                      <a:pt x="339" y="16384"/>
                    </a:lnTo>
                    <a:lnTo>
                      <a:pt x="484" y="16384"/>
                    </a:lnTo>
                    <a:lnTo>
                      <a:pt x="630" y="16384"/>
                    </a:lnTo>
                    <a:lnTo>
                      <a:pt x="824" y="16156"/>
                    </a:lnTo>
                    <a:lnTo>
                      <a:pt x="1018" y="15929"/>
                    </a:lnTo>
                    <a:lnTo>
                      <a:pt x="1163" y="15701"/>
                    </a:lnTo>
                    <a:lnTo>
                      <a:pt x="1406" y="15473"/>
                    </a:lnTo>
                    <a:lnTo>
                      <a:pt x="1648" y="15018"/>
                    </a:lnTo>
                    <a:lnTo>
                      <a:pt x="1891" y="14563"/>
                    </a:lnTo>
                    <a:lnTo>
                      <a:pt x="2133" y="14109"/>
                    </a:lnTo>
                    <a:lnTo>
                      <a:pt x="2424" y="13425"/>
                    </a:lnTo>
                    <a:lnTo>
                      <a:pt x="2715" y="12971"/>
                    </a:lnTo>
                    <a:lnTo>
                      <a:pt x="3005" y="12060"/>
                    </a:lnTo>
                    <a:lnTo>
                      <a:pt x="3296" y="11378"/>
                    </a:lnTo>
                    <a:lnTo>
                      <a:pt x="3587" y="10467"/>
                    </a:lnTo>
                    <a:lnTo>
                      <a:pt x="3732" y="10012"/>
                    </a:lnTo>
                    <a:lnTo>
                      <a:pt x="3877" y="9557"/>
                    </a:lnTo>
                    <a:lnTo>
                      <a:pt x="4023" y="9103"/>
                    </a:lnTo>
                    <a:lnTo>
                      <a:pt x="4217" y="8647"/>
                    </a:lnTo>
                    <a:lnTo>
                      <a:pt x="4508" y="7510"/>
                    </a:lnTo>
                    <a:lnTo>
                      <a:pt x="4847" y="6372"/>
                    </a:lnTo>
                    <a:lnTo>
                      <a:pt x="5186" y="5234"/>
                    </a:lnTo>
                    <a:lnTo>
                      <a:pt x="5332" y="4779"/>
                    </a:lnTo>
                    <a:lnTo>
                      <a:pt x="5477" y="4097"/>
                    </a:lnTo>
                    <a:lnTo>
                      <a:pt x="5672" y="3641"/>
                    </a:lnTo>
                    <a:lnTo>
                      <a:pt x="5768" y="3186"/>
                    </a:lnTo>
                    <a:lnTo>
                      <a:pt x="5913" y="2731"/>
                    </a:lnTo>
                    <a:lnTo>
                      <a:pt x="6059" y="2504"/>
                    </a:lnTo>
                    <a:lnTo>
                      <a:pt x="6156" y="2048"/>
                    </a:lnTo>
                    <a:lnTo>
                      <a:pt x="6253" y="1821"/>
                    </a:lnTo>
                    <a:lnTo>
                      <a:pt x="6350" y="1593"/>
                    </a:lnTo>
                    <a:lnTo>
                      <a:pt x="6447" y="1366"/>
                    </a:lnTo>
                    <a:lnTo>
                      <a:pt x="6592" y="911"/>
                    </a:lnTo>
                    <a:lnTo>
                      <a:pt x="6738" y="683"/>
                    </a:lnTo>
                    <a:lnTo>
                      <a:pt x="6883" y="455"/>
                    </a:lnTo>
                    <a:lnTo>
                      <a:pt x="6980" y="228"/>
                    </a:lnTo>
                    <a:lnTo>
                      <a:pt x="7174" y="0"/>
                    </a:lnTo>
                    <a:lnTo>
                      <a:pt x="7319" y="0"/>
                    </a:lnTo>
                    <a:lnTo>
                      <a:pt x="7562" y="0"/>
                    </a:lnTo>
                    <a:lnTo>
                      <a:pt x="7756" y="0"/>
                    </a:lnTo>
                    <a:lnTo>
                      <a:pt x="7949" y="0"/>
                    </a:lnTo>
                    <a:lnTo>
                      <a:pt x="8192" y="0"/>
                    </a:lnTo>
                    <a:lnTo>
                      <a:pt x="8386" y="228"/>
                    </a:lnTo>
                    <a:lnTo>
                      <a:pt x="8628" y="683"/>
                    </a:lnTo>
                    <a:lnTo>
                      <a:pt x="8774" y="911"/>
                    </a:lnTo>
                    <a:lnTo>
                      <a:pt x="8870" y="1138"/>
                    </a:lnTo>
                    <a:lnTo>
                      <a:pt x="9015" y="1366"/>
                    </a:lnTo>
                    <a:lnTo>
                      <a:pt x="9113" y="1593"/>
                    </a:lnTo>
                    <a:lnTo>
                      <a:pt x="9258" y="1821"/>
                    </a:lnTo>
                    <a:lnTo>
                      <a:pt x="9404" y="2275"/>
                    </a:lnTo>
                    <a:lnTo>
                      <a:pt x="9597" y="2731"/>
                    </a:lnTo>
                    <a:lnTo>
                      <a:pt x="9743" y="3186"/>
                    </a:lnTo>
                    <a:lnTo>
                      <a:pt x="9937" y="3868"/>
                    </a:lnTo>
                    <a:lnTo>
                      <a:pt x="10131" y="4324"/>
                    </a:lnTo>
                    <a:lnTo>
                      <a:pt x="10470" y="5689"/>
                    </a:lnTo>
                    <a:lnTo>
                      <a:pt x="10858" y="6827"/>
                    </a:lnTo>
                    <a:lnTo>
                      <a:pt x="11003" y="7510"/>
                    </a:lnTo>
                    <a:lnTo>
                      <a:pt x="11197" y="8192"/>
                    </a:lnTo>
                    <a:lnTo>
                      <a:pt x="11342" y="8647"/>
                    </a:lnTo>
                    <a:lnTo>
                      <a:pt x="11537" y="9103"/>
                    </a:lnTo>
                    <a:lnTo>
                      <a:pt x="11682" y="9785"/>
                    </a:lnTo>
                    <a:lnTo>
                      <a:pt x="11828" y="10012"/>
                    </a:lnTo>
                    <a:lnTo>
                      <a:pt x="11924" y="10467"/>
                    </a:lnTo>
                    <a:lnTo>
                      <a:pt x="12021" y="10695"/>
                    </a:lnTo>
                    <a:lnTo>
                      <a:pt x="12119" y="11150"/>
                    </a:lnTo>
                    <a:lnTo>
                      <a:pt x="12215" y="11378"/>
                    </a:lnTo>
                    <a:lnTo>
                      <a:pt x="12312" y="11605"/>
                    </a:lnTo>
                    <a:lnTo>
                      <a:pt x="12360" y="11832"/>
                    </a:lnTo>
                    <a:lnTo>
                      <a:pt x="12555" y="12060"/>
                    </a:lnTo>
                    <a:lnTo>
                      <a:pt x="12651" y="12287"/>
                    </a:lnTo>
                    <a:lnTo>
                      <a:pt x="12796" y="12743"/>
                    </a:lnTo>
                    <a:lnTo>
                      <a:pt x="12894" y="12971"/>
                    </a:lnTo>
                    <a:lnTo>
                      <a:pt x="13039" y="13198"/>
                    </a:lnTo>
                    <a:lnTo>
                      <a:pt x="13185" y="13653"/>
                    </a:lnTo>
                    <a:lnTo>
                      <a:pt x="13330" y="13880"/>
                    </a:lnTo>
                    <a:lnTo>
                      <a:pt x="13475" y="14109"/>
                    </a:lnTo>
                    <a:lnTo>
                      <a:pt x="13621" y="14336"/>
                    </a:lnTo>
                    <a:lnTo>
                      <a:pt x="13912" y="14791"/>
                    </a:lnTo>
                    <a:lnTo>
                      <a:pt x="14203" y="15018"/>
                    </a:lnTo>
                    <a:lnTo>
                      <a:pt x="14348" y="15246"/>
                    </a:lnTo>
                    <a:lnTo>
                      <a:pt x="14493" y="15246"/>
                    </a:lnTo>
                    <a:lnTo>
                      <a:pt x="14735" y="15473"/>
                    </a:lnTo>
                    <a:lnTo>
                      <a:pt x="15026" y="15701"/>
                    </a:lnTo>
                    <a:lnTo>
                      <a:pt x="15269" y="15701"/>
                    </a:lnTo>
                    <a:lnTo>
                      <a:pt x="15802" y="16156"/>
                    </a:lnTo>
                    <a:lnTo>
                      <a:pt x="16384" y="16384"/>
                    </a:lnTo>
                  </a:path>
                </a:pathLst>
              </a:custGeom>
              <a:solidFill>
                <a:srgbClr val="CCFFCC"/>
              </a:solidFill>
              <a:ln w="9525">
                <a:solidFill>
                  <a:srgbClr val="000000"/>
                </a:solidFill>
                <a:round/>
                <a:headEnd/>
                <a:tailEnd/>
              </a:ln>
            </xdr:spPr>
          </xdr:sp>
          <xdr:sp macro="" textlink="">
            <xdr:nvSpPr>
              <xdr:cNvPr id="3506" name="Text 291">
                <a:extLst>
                  <a:ext uri="{FF2B5EF4-FFF2-40B4-BE49-F238E27FC236}">
                    <a16:creationId xmlns:a16="http://schemas.microsoft.com/office/drawing/2014/main" id="{00000000-0008-0000-0400-0000B20D0000}"/>
                  </a:ext>
                </a:extLst>
              </xdr:cNvPr>
              <xdr:cNvSpPr txBox="1">
                <a:spLocks noChangeArrowheads="1"/>
              </xdr:cNvSpPr>
            </xdr:nvSpPr>
            <xdr:spPr bwMode="auto">
              <a:xfrm>
                <a:off x="366" y="202"/>
                <a:ext cx="143" cy="20"/>
              </a:xfrm>
              <a:prstGeom prst="rect">
                <a:avLst/>
              </a:prstGeom>
              <a:solidFill>
                <a:srgbClr val="FFFFFF"/>
              </a:solidFill>
              <a:ln w="9525">
                <a:solidFill>
                  <a:srgbClr val="CCFFFF"/>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If valley, then </a:t>
                </a:r>
                <a:r>
                  <a:rPr lang="en-US" sz="800" b="0" i="1" strike="noStrike">
                    <a:solidFill>
                      <a:srgbClr val="000000"/>
                    </a:solidFill>
                    <a:latin typeface="Arial"/>
                    <a:cs typeface="Arial"/>
                  </a:rPr>
                  <a:t>z</a:t>
                </a:r>
                <a:r>
                  <a:rPr lang="en-US" sz="800" b="0" i="0" strike="noStrike">
                    <a:solidFill>
                      <a:srgbClr val="000000"/>
                    </a:solidFill>
                    <a:latin typeface="Arial"/>
                    <a:cs typeface="Arial"/>
                  </a:rPr>
                  <a:t> is negative</a:t>
                </a:r>
                <a:r>
                  <a:rPr lang="en-US" sz="1000" b="0" i="0" strike="noStrike">
                    <a:solidFill>
                      <a:srgbClr val="000000"/>
                    </a:solidFill>
                    <a:latin typeface="Arial"/>
                    <a:cs typeface="Arial"/>
                  </a:rPr>
                  <a:t>.</a:t>
                </a:r>
              </a:p>
            </xdr:txBody>
          </xdr:sp>
          <xdr:sp macro="" textlink="">
            <xdr:nvSpPr>
              <xdr:cNvPr id="3508" name="Text 294">
                <a:extLst>
                  <a:ext uri="{FF2B5EF4-FFF2-40B4-BE49-F238E27FC236}">
                    <a16:creationId xmlns:a16="http://schemas.microsoft.com/office/drawing/2014/main" id="{00000000-0008-0000-0400-0000B40D0000}"/>
                  </a:ext>
                </a:extLst>
              </xdr:cNvPr>
              <xdr:cNvSpPr txBox="1">
                <a:spLocks noChangeArrowheads="1"/>
              </xdr:cNvSpPr>
            </xdr:nvSpPr>
            <xdr:spPr bwMode="auto">
              <a:xfrm>
                <a:off x="153" y="164"/>
                <a:ext cx="355" cy="23"/>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Hill coordinates along sections AB, CD relative to Summit </a:t>
                </a:r>
              </a:p>
            </xdr:txBody>
          </xdr:sp>
          <xdr:sp macro="" textlink="">
            <xdr:nvSpPr>
              <xdr:cNvPr id="3582" name="Text Box 510">
                <a:extLst>
                  <a:ext uri="{FF2B5EF4-FFF2-40B4-BE49-F238E27FC236}">
                    <a16:creationId xmlns:a16="http://schemas.microsoft.com/office/drawing/2014/main" id="{00000000-0008-0000-0400-0000FE0D0000}"/>
                  </a:ext>
                </a:extLst>
              </xdr:cNvPr>
              <xdr:cNvSpPr txBox="1">
                <a:spLocks noChangeArrowheads="1"/>
              </xdr:cNvSpPr>
            </xdr:nvSpPr>
            <xdr:spPr bwMode="auto">
              <a:xfrm>
                <a:off x="212" y="236"/>
                <a:ext cx="24" cy="16"/>
              </a:xfrm>
              <a:prstGeom prst="rect">
                <a:avLst/>
              </a:prstGeom>
              <a:solidFill>
                <a:srgbClr val="CC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site</a:t>
                </a:r>
              </a:p>
            </xdr:txBody>
          </xdr:sp>
          <xdr:sp macro="" textlink="">
            <xdr:nvSpPr>
              <xdr:cNvPr id="2729228" name="Line 428">
                <a:extLst>
                  <a:ext uri="{FF2B5EF4-FFF2-40B4-BE49-F238E27FC236}">
                    <a16:creationId xmlns:a16="http://schemas.microsoft.com/office/drawing/2014/main" id="{00000000-0008-0000-0400-00000CA52900}"/>
                  </a:ext>
                </a:extLst>
              </xdr:cNvPr>
              <xdr:cNvSpPr>
                <a:spLocks noChangeShapeType="1"/>
              </xdr:cNvSpPr>
            </xdr:nvSpPr>
            <xdr:spPr bwMode="auto">
              <a:xfrm>
                <a:off x="257" y="274"/>
                <a:ext cx="101" cy="0"/>
              </a:xfrm>
              <a:prstGeom prst="line">
                <a:avLst/>
              </a:prstGeom>
              <a:noFill/>
              <a:ln w="9525">
                <a:solidFill>
                  <a:srgbClr val="000000"/>
                </a:solidFill>
                <a:round/>
                <a:headEnd/>
                <a:tailEnd type="triangle" w="sm" len="med"/>
              </a:ln>
            </xdr:spPr>
          </xdr:sp>
          <xdr:sp macro="" textlink="">
            <xdr:nvSpPr>
              <xdr:cNvPr id="3638" name="Line 566">
                <a:extLst>
                  <a:ext uri="{FF2B5EF4-FFF2-40B4-BE49-F238E27FC236}">
                    <a16:creationId xmlns:a16="http://schemas.microsoft.com/office/drawing/2014/main" id="{00000000-0008-0000-0400-0000360E0000}"/>
                  </a:ext>
                </a:extLst>
              </xdr:cNvPr>
              <xdr:cNvSpPr>
                <a:spLocks noChangeShapeType="1"/>
              </xdr:cNvSpPr>
            </xdr:nvSpPr>
            <xdr:spPr bwMode="auto">
              <a:xfrm>
                <a:off x="225" y="221"/>
                <a:ext cx="0" cy="16"/>
              </a:xfrm>
              <a:prstGeom prst="line">
                <a:avLst/>
              </a:prstGeom>
              <a:noFill/>
              <a:ln w="6350">
                <a:solidFill>
                  <a:srgbClr val="000000"/>
                </a:solidFill>
                <a:round/>
                <a:headEnd/>
                <a:tailEnd/>
              </a:ln>
              <a:effectLst>
                <a:outerShdw dist="35921" dir="2700000" algn="ctr" rotWithShape="0">
                  <a:srgbClr val="000000"/>
                </a:outerShdw>
              </a:effectLst>
            </xdr:spPr>
            <xdr:txBody>
              <a:bodyPr/>
              <a:lstStyle/>
              <a:p>
                <a:endParaRPr lang="en-US"/>
              </a:p>
            </xdr:txBody>
          </xdr:sp>
        </xdr:grpSp>
        <xdr:sp macro="" textlink="">
          <xdr:nvSpPr>
            <xdr:cNvPr id="2729214" name="Line 429">
              <a:extLst>
                <a:ext uri="{FF2B5EF4-FFF2-40B4-BE49-F238E27FC236}">
                  <a16:creationId xmlns:a16="http://schemas.microsoft.com/office/drawing/2014/main" id="{00000000-0008-0000-0400-0000FEA42900}"/>
                </a:ext>
              </a:extLst>
            </xdr:cNvPr>
            <xdr:cNvSpPr>
              <a:spLocks noChangeShapeType="1"/>
            </xdr:cNvSpPr>
          </xdr:nvSpPr>
          <xdr:spPr bwMode="auto">
            <a:xfrm>
              <a:off x="256" y="274"/>
              <a:ext cx="271" cy="0"/>
            </a:xfrm>
            <a:prstGeom prst="line">
              <a:avLst/>
            </a:prstGeom>
            <a:noFill/>
            <a:ln w="9525">
              <a:solidFill>
                <a:srgbClr val="000000"/>
              </a:solidFill>
              <a:round/>
              <a:headEnd/>
              <a:tailEnd type="none" w="sm" len="med"/>
            </a:ln>
          </xdr:spPr>
        </xdr:sp>
        <xdr:sp macro="" textlink="">
          <xdr:nvSpPr>
            <xdr:cNvPr id="3513" name="Text Box 441">
              <a:extLst>
                <a:ext uri="{FF2B5EF4-FFF2-40B4-BE49-F238E27FC236}">
                  <a16:creationId xmlns:a16="http://schemas.microsoft.com/office/drawing/2014/main" id="{00000000-0008-0000-0400-0000B90D0000}"/>
                </a:ext>
              </a:extLst>
            </xdr:cNvPr>
            <xdr:cNvSpPr txBox="1">
              <a:spLocks noChangeArrowheads="1"/>
            </xdr:cNvSpPr>
          </xdr:nvSpPr>
          <xdr:spPr bwMode="auto">
            <a:xfrm>
              <a:off x="242" y="260"/>
              <a:ext cx="7" cy="16"/>
            </a:xfrm>
            <a:prstGeom prst="rect">
              <a:avLst/>
            </a:prstGeom>
            <a:solidFill>
              <a:srgbClr val="CCFFCC"/>
            </a:solidFill>
            <a:ln w="9525">
              <a:solidFill>
                <a:srgbClr val="CCFFCC"/>
              </a:solidFill>
              <a:miter lim="800000"/>
              <a:headEnd/>
              <a:tailEnd type="none" w="sm" len="med"/>
            </a:ln>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0</a:t>
              </a:r>
            </a:p>
          </xdr:txBody>
        </xdr:sp>
        <xdr:sp macro="" textlink="">
          <xdr:nvSpPr>
            <xdr:cNvPr id="2729216" name="Line 427">
              <a:extLst>
                <a:ext uri="{FF2B5EF4-FFF2-40B4-BE49-F238E27FC236}">
                  <a16:creationId xmlns:a16="http://schemas.microsoft.com/office/drawing/2014/main" id="{00000000-0008-0000-0400-000000A52900}"/>
                </a:ext>
              </a:extLst>
            </xdr:cNvPr>
            <xdr:cNvSpPr>
              <a:spLocks noChangeShapeType="1"/>
            </xdr:cNvSpPr>
          </xdr:nvSpPr>
          <xdr:spPr bwMode="auto">
            <a:xfrm flipV="1">
              <a:off x="257" y="189"/>
              <a:ext cx="0" cy="84"/>
            </a:xfrm>
            <a:prstGeom prst="line">
              <a:avLst/>
            </a:prstGeom>
            <a:noFill/>
            <a:ln w="9525">
              <a:solidFill>
                <a:srgbClr val="000000"/>
              </a:solidFill>
              <a:round/>
              <a:headEnd/>
              <a:tailEnd type="triangle" w="sm" len="med"/>
            </a:ln>
          </xdr:spPr>
        </xdr:sp>
      </xdr:grpSp>
    </xdr:grpSp>
    <xdr:clientData/>
  </xdr:twoCellAnchor>
  <xdr:twoCellAnchor>
    <xdr:from>
      <xdr:col>1</xdr:col>
      <xdr:colOff>1129665</xdr:colOff>
      <xdr:row>73</xdr:row>
      <xdr:rowOff>91440</xdr:rowOff>
    </xdr:from>
    <xdr:to>
      <xdr:col>1</xdr:col>
      <xdr:colOff>1514741</xdr:colOff>
      <xdr:row>73</xdr:row>
      <xdr:rowOff>91440</xdr:rowOff>
    </xdr:to>
    <xdr:sp macro="" textlink="">
      <xdr:nvSpPr>
        <xdr:cNvPr id="3658" name="Line 586">
          <a:extLst>
            <a:ext uri="{FF2B5EF4-FFF2-40B4-BE49-F238E27FC236}">
              <a16:creationId xmlns:a16="http://schemas.microsoft.com/office/drawing/2014/main" id="{00000000-0008-0000-0400-00004A0E0000}"/>
            </a:ext>
          </a:extLst>
        </xdr:cNvPr>
        <xdr:cNvSpPr>
          <a:spLocks noChangeShapeType="1"/>
        </xdr:cNvSpPr>
      </xdr:nvSpPr>
      <xdr:spPr bwMode="auto">
        <a:xfrm flipH="1">
          <a:off x="2125980" y="12466320"/>
          <a:ext cx="403860" cy="0"/>
        </a:xfrm>
        <a:prstGeom prst="line">
          <a:avLst/>
        </a:prstGeom>
        <a:noFill/>
        <a:ln w="6350">
          <a:solidFill>
            <a:srgbClr val="000000"/>
          </a:solidFill>
          <a:round/>
          <a:headEnd/>
          <a:tailEnd type="stealth"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1129665</xdr:colOff>
      <xdr:row>71</xdr:row>
      <xdr:rowOff>121920</xdr:rowOff>
    </xdr:from>
    <xdr:to>
      <xdr:col>1</xdr:col>
      <xdr:colOff>1514741</xdr:colOff>
      <xdr:row>71</xdr:row>
      <xdr:rowOff>121920</xdr:rowOff>
    </xdr:to>
    <xdr:sp macro="" textlink="">
      <xdr:nvSpPr>
        <xdr:cNvPr id="3667" name="Line 595">
          <a:extLst>
            <a:ext uri="{FF2B5EF4-FFF2-40B4-BE49-F238E27FC236}">
              <a16:creationId xmlns:a16="http://schemas.microsoft.com/office/drawing/2014/main" id="{00000000-0008-0000-0400-0000530E0000}"/>
            </a:ext>
          </a:extLst>
        </xdr:cNvPr>
        <xdr:cNvSpPr>
          <a:spLocks noChangeShapeType="1"/>
        </xdr:cNvSpPr>
      </xdr:nvSpPr>
      <xdr:spPr bwMode="auto">
        <a:xfrm flipH="1">
          <a:off x="2125980" y="12161520"/>
          <a:ext cx="403860" cy="0"/>
        </a:xfrm>
        <a:prstGeom prst="line">
          <a:avLst/>
        </a:prstGeom>
        <a:noFill/>
        <a:ln w="6350">
          <a:solidFill>
            <a:srgbClr val="000000"/>
          </a:solidFill>
          <a:round/>
          <a:headEnd/>
          <a:tailEnd type="stealth"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1137285</xdr:colOff>
      <xdr:row>70</xdr:row>
      <xdr:rowOff>81915</xdr:rowOff>
    </xdr:from>
    <xdr:to>
      <xdr:col>1</xdr:col>
      <xdr:colOff>1516426</xdr:colOff>
      <xdr:row>70</xdr:row>
      <xdr:rowOff>81915</xdr:rowOff>
    </xdr:to>
    <xdr:sp macro="" textlink="">
      <xdr:nvSpPr>
        <xdr:cNvPr id="3669" name="Line 597">
          <a:extLst>
            <a:ext uri="{FF2B5EF4-FFF2-40B4-BE49-F238E27FC236}">
              <a16:creationId xmlns:a16="http://schemas.microsoft.com/office/drawing/2014/main" id="{00000000-0008-0000-0400-0000550E0000}"/>
            </a:ext>
          </a:extLst>
        </xdr:cNvPr>
        <xdr:cNvSpPr>
          <a:spLocks noChangeShapeType="1"/>
        </xdr:cNvSpPr>
      </xdr:nvSpPr>
      <xdr:spPr bwMode="auto">
        <a:xfrm>
          <a:off x="2133600" y="11963400"/>
          <a:ext cx="388620" cy="0"/>
        </a:xfrm>
        <a:prstGeom prst="line">
          <a:avLst/>
        </a:prstGeom>
        <a:noFill/>
        <a:ln w="6350">
          <a:solidFill>
            <a:srgbClr val="000000"/>
          </a:solidFill>
          <a:round/>
          <a:headEnd/>
          <a:tailEnd type="stealth" w="med" len="med"/>
        </a:ln>
        <a:effectLst>
          <a:outerShdw dist="35921" dir="2700000" algn="ctr" rotWithShape="0">
            <a:srgbClr val="000000"/>
          </a:outerShdw>
        </a:effectLst>
      </xdr:spPr>
      <xdr:txBody>
        <a:bodyPr/>
        <a:lstStyle/>
        <a:p>
          <a:endParaRPr lang="en-US"/>
        </a:p>
      </xdr:txBody>
    </xdr:sp>
    <xdr:clientData/>
  </xdr:twoCellAnchor>
  <xdr:twoCellAnchor>
    <xdr:from>
      <xdr:col>1</xdr:col>
      <xdr:colOff>1137285</xdr:colOff>
      <xdr:row>72</xdr:row>
      <xdr:rowOff>81915</xdr:rowOff>
    </xdr:from>
    <xdr:to>
      <xdr:col>1</xdr:col>
      <xdr:colOff>1516426</xdr:colOff>
      <xdr:row>72</xdr:row>
      <xdr:rowOff>81915</xdr:rowOff>
    </xdr:to>
    <xdr:sp macro="" textlink="">
      <xdr:nvSpPr>
        <xdr:cNvPr id="3670" name="Line 598">
          <a:extLst>
            <a:ext uri="{FF2B5EF4-FFF2-40B4-BE49-F238E27FC236}">
              <a16:creationId xmlns:a16="http://schemas.microsoft.com/office/drawing/2014/main" id="{00000000-0008-0000-0400-0000560E0000}"/>
            </a:ext>
          </a:extLst>
        </xdr:cNvPr>
        <xdr:cNvSpPr>
          <a:spLocks noChangeShapeType="1"/>
        </xdr:cNvSpPr>
      </xdr:nvSpPr>
      <xdr:spPr bwMode="auto">
        <a:xfrm>
          <a:off x="2133600" y="12298680"/>
          <a:ext cx="388620" cy="0"/>
        </a:xfrm>
        <a:prstGeom prst="line">
          <a:avLst/>
        </a:prstGeom>
        <a:noFill/>
        <a:ln w="6350">
          <a:solidFill>
            <a:srgbClr val="000000"/>
          </a:solidFill>
          <a:round/>
          <a:headEnd/>
          <a:tailEnd type="stealth" w="med" len="med"/>
        </a:ln>
        <a:effectLst>
          <a:outerShdw dist="35921" dir="2700000" algn="ctr" rotWithShape="0">
            <a:srgbClr val="000000"/>
          </a:outerShdw>
        </a:effectLst>
      </xdr:spPr>
      <xdr:txBody>
        <a:bodyPr/>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182880</xdr:colOff>
      <xdr:row>1</xdr:row>
      <xdr:rowOff>135255</xdr:rowOff>
    </xdr:from>
    <xdr:to>
      <xdr:col>1</xdr:col>
      <xdr:colOff>440040</xdr:colOff>
      <xdr:row>3</xdr:row>
      <xdr:rowOff>76482</xdr:rowOff>
    </xdr:to>
    <xdr:sp macro="" textlink="">
      <xdr:nvSpPr>
        <xdr:cNvPr id="35841" name="Text Box 1">
          <a:extLst>
            <a:ext uri="{FF2B5EF4-FFF2-40B4-BE49-F238E27FC236}">
              <a16:creationId xmlns:a16="http://schemas.microsoft.com/office/drawing/2014/main" id="{00000000-0008-0000-0A00-0000018C0000}"/>
            </a:ext>
          </a:extLst>
        </xdr:cNvPr>
        <xdr:cNvSpPr txBox="1">
          <a:spLocks noChangeArrowheads="1"/>
        </xdr:cNvSpPr>
      </xdr:nvSpPr>
      <xdr:spPr bwMode="auto">
        <a:xfrm>
          <a:off x="182880" y="312420"/>
          <a:ext cx="1783080" cy="2667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100" b="0" i="0" strike="noStrike">
              <a:solidFill>
                <a:srgbClr val="000000"/>
              </a:solidFill>
              <a:latin typeface="Symbol"/>
            </a:rPr>
            <a:t>f</a:t>
          </a:r>
          <a:r>
            <a:rPr lang="en-US" sz="1100" b="0" i="0" strike="noStrike" baseline="-25000">
              <a:solidFill>
                <a:srgbClr val="000000"/>
              </a:solidFill>
              <a:latin typeface="Arial"/>
              <a:cs typeface="Arial"/>
            </a:rPr>
            <a:t>ii</a:t>
          </a:r>
          <a:r>
            <a:rPr lang="en-US" sz="1100" b="0" i="0" strike="noStrike">
              <a:solidFill>
                <a:srgbClr val="000000"/>
              </a:solidFill>
              <a:latin typeface="Arial"/>
              <a:cs typeface="Arial"/>
            </a:rPr>
            <a:t> = n S</a:t>
          </a:r>
          <a:r>
            <a:rPr lang="en-US" sz="1100" b="0" i="0" strike="noStrike" baseline="-25000">
              <a:solidFill>
                <a:srgbClr val="000000"/>
              </a:solidFill>
              <a:latin typeface="Arial"/>
              <a:cs typeface="Arial"/>
            </a:rPr>
            <a:t>ii</a:t>
          </a:r>
          <a:r>
            <a:rPr lang="en-US" sz="1100" b="0" i="0" strike="noStrike">
              <a:solidFill>
                <a:srgbClr val="000000"/>
              </a:solidFill>
              <a:latin typeface="Arial"/>
              <a:cs typeface="Arial"/>
            </a:rPr>
            <a:t> </a:t>
          </a:r>
          <a:r>
            <a:rPr lang="en-US" sz="1100" b="0" i="1" strike="noStrike">
              <a:solidFill>
                <a:srgbClr val="000000"/>
              </a:solidFill>
              <a:latin typeface="Arial"/>
              <a:cs typeface="Arial"/>
            </a:rPr>
            <a:t>/</a:t>
          </a:r>
          <a:r>
            <a:rPr lang="en-US" sz="1100" b="0" i="1" strike="noStrike">
              <a:solidFill>
                <a:srgbClr val="000000"/>
              </a:solidFill>
              <a:latin typeface="Symbol"/>
            </a:rPr>
            <a:t> s</a:t>
          </a:r>
          <a:r>
            <a:rPr lang="en-US" sz="1100" b="0" i="0" strike="noStrike" baseline="-25000">
              <a:solidFill>
                <a:srgbClr val="000000"/>
              </a:solidFill>
              <a:latin typeface="Arial"/>
              <a:cs typeface="Arial"/>
            </a:rPr>
            <a:t>i</a:t>
          </a:r>
          <a:r>
            <a:rPr lang="en-US" sz="1100" b="0" i="0" strike="noStrike" baseline="30000">
              <a:solidFill>
                <a:srgbClr val="000000"/>
              </a:solidFill>
              <a:latin typeface="Arial"/>
              <a:cs typeface="Arial"/>
            </a:rPr>
            <a:t>2</a:t>
          </a:r>
          <a:r>
            <a:rPr lang="en-US" sz="1100" b="0" i="1" strike="noStrike">
              <a:solidFill>
                <a:srgbClr val="000000"/>
              </a:solidFill>
              <a:latin typeface="Arial"/>
              <a:cs typeface="Arial"/>
            </a:rPr>
            <a:t> : </a:t>
          </a:r>
          <a:r>
            <a:rPr lang="en-US" sz="1100" b="0" i="0" strike="noStrike">
              <a:solidFill>
                <a:srgbClr val="000000"/>
              </a:solidFill>
              <a:latin typeface="Arial"/>
              <a:cs typeface="Arial"/>
            </a:rPr>
            <a:t>i = u, v, w</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31</xdr:row>
          <xdr:rowOff>38100</xdr:rowOff>
        </xdr:from>
        <xdr:to>
          <xdr:col>3</xdr:col>
          <xdr:colOff>476250</xdr:colOff>
          <xdr:row>34</xdr:row>
          <xdr:rowOff>28575</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C00-000009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Export ESDUView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638175</xdr:colOff>
      <xdr:row>5</xdr:row>
      <xdr:rowOff>66675</xdr:rowOff>
    </xdr:from>
    <xdr:to>
      <xdr:col>14</xdr:col>
      <xdr:colOff>361950</xdr:colOff>
      <xdr:row>9</xdr:row>
      <xdr:rowOff>142875</xdr:rowOff>
    </xdr:to>
    <xdr:grpSp>
      <xdr:nvGrpSpPr>
        <xdr:cNvPr id="1929565" name="Group 7">
          <a:extLst>
            <a:ext uri="{FF2B5EF4-FFF2-40B4-BE49-F238E27FC236}">
              <a16:creationId xmlns:a16="http://schemas.microsoft.com/office/drawing/2014/main" id="{00000000-0008-0000-0D00-00005D711D00}"/>
            </a:ext>
          </a:extLst>
        </xdr:cNvPr>
        <xdr:cNvGrpSpPr>
          <a:grpSpLocks/>
        </xdr:cNvGrpSpPr>
      </xdr:nvGrpSpPr>
      <xdr:grpSpPr bwMode="auto">
        <a:xfrm>
          <a:off x="8557532" y="1141639"/>
          <a:ext cx="4962525" cy="906236"/>
          <a:chOff x="291" y="255"/>
          <a:chExt cx="509" cy="81"/>
        </a:xfrm>
      </xdr:grpSpPr>
      <xdr:grpSp>
        <xdr:nvGrpSpPr>
          <xdr:cNvPr id="1929569" name="Group 8">
            <a:extLst>
              <a:ext uri="{FF2B5EF4-FFF2-40B4-BE49-F238E27FC236}">
                <a16:creationId xmlns:a16="http://schemas.microsoft.com/office/drawing/2014/main" id="{00000000-0008-0000-0D00-000061711D00}"/>
              </a:ext>
            </a:extLst>
          </xdr:cNvPr>
          <xdr:cNvGrpSpPr>
            <a:grpSpLocks/>
          </xdr:cNvGrpSpPr>
        </xdr:nvGrpSpPr>
        <xdr:grpSpPr bwMode="auto">
          <a:xfrm>
            <a:off x="291" y="255"/>
            <a:ext cx="509" cy="81"/>
            <a:chOff x="291" y="255"/>
            <a:chExt cx="509" cy="81"/>
          </a:xfrm>
        </xdr:grpSpPr>
        <xdr:sp macro="" textlink="">
          <xdr:nvSpPr>
            <xdr:cNvPr id="1929571" name="Rectangle 9">
              <a:extLst>
                <a:ext uri="{FF2B5EF4-FFF2-40B4-BE49-F238E27FC236}">
                  <a16:creationId xmlns:a16="http://schemas.microsoft.com/office/drawing/2014/main" id="{00000000-0008-0000-0D00-000063711D00}"/>
                </a:ext>
              </a:extLst>
            </xdr:cNvPr>
            <xdr:cNvSpPr>
              <a:spLocks noChangeArrowheads="1"/>
            </xdr:cNvSpPr>
          </xdr:nvSpPr>
          <xdr:spPr bwMode="auto">
            <a:xfrm>
              <a:off x="291" y="255"/>
              <a:ext cx="509" cy="81"/>
            </a:xfrm>
            <a:prstGeom prst="rect">
              <a:avLst/>
            </a:prstGeom>
            <a:solidFill>
              <a:srgbClr val="FFFFCC"/>
            </a:solidFill>
            <a:ln w="9525">
              <a:solidFill>
                <a:srgbClr val="000000"/>
              </a:solidFill>
              <a:miter lim="800000"/>
              <a:headEnd/>
              <a:tailEnd/>
            </a:ln>
          </xdr:spPr>
        </xdr:sp>
        <xdr:sp macro="" textlink="">
          <xdr:nvSpPr>
            <xdr:cNvPr id="43018" name="Text 38">
              <a:extLst>
                <a:ext uri="{FF2B5EF4-FFF2-40B4-BE49-F238E27FC236}">
                  <a16:creationId xmlns:a16="http://schemas.microsoft.com/office/drawing/2014/main" id="{00000000-0008-0000-0D00-00000AA80000}"/>
                </a:ext>
              </a:extLst>
            </xdr:cNvPr>
            <xdr:cNvSpPr txBox="1">
              <a:spLocks noChangeArrowheads="1"/>
            </xdr:cNvSpPr>
          </xdr:nvSpPr>
          <xdr:spPr bwMode="auto">
            <a:xfrm>
              <a:off x="718" y="259"/>
              <a:ext cx="63" cy="1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Target Site</a:t>
              </a:r>
            </a:p>
          </xdr:txBody>
        </xdr:sp>
        <xdr:sp macro="" textlink="">
          <xdr:nvSpPr>
            <xdr:cNvPr id="43019" name="Text 39">
              <a:extLst>
                <a:ext uri="{FF2B5EF4-FFF2-40B4-BE49-F238E27FC236}">
                  <a16:creationId xmlns:a16="http://schemas.microsoft.com/office/drawing/2014/main" id="{00000000-0008-0000-0D00-00000BA80000}"/>
                </a:ext>
              </a:extLst>
            </xdr:cNvPr>
            <xdr:cNvSpPr txBox="1">
              <a:spLocks noChangeArrowheads="1"/>
            </xdr:cNvSpPr>
          </xdr:nvSpPr>
          <xdr:spPr bwMode="auto">
            <a:xfrm>
              <a:off x="657" y="284"/>
              <a:ext cx="74" cy="18"/>
            </a:xfrm>
            <a:prstGeom prst="rect">
              <a:avLst/>
            </a:prstGeom>
            <a:solidFill>
              <a:srgbClr val="FFFFCC"/>
            </a:solidFill>
            <a:ln w="9525">
              <a:solidFill>
                <a:srgbClr val="FFFFCC"/>
              </a:solidFill>
              <a:miter lim="800000"/>
              <a:headEnd/>
              <a:tailEnd/>
            </a:ln>
          </xdr:spPr>
          <xdr:txBody>
            <a:bodyPr vertOverflow="clip" wrap="square" lIns="36576" tIns="27432" rIns="0" bIns="0" anchor="t" upright="1"/>
            <a:lstStyle/>
            <a:p>
              <a:pPr algn="l" rtl="0">
                <a:defRPr sz="1000"/>
              </a:pPr>
              <a:r>
                <a:rPr lang="en-US" sz="1000" b="0" i="0" strike="noStrike">
                  <a:solidFill>
                    <a:srgbClr val="000000"/>
                  </a:solidFill>
                  <a:latin typeface="Arial"/>
                  <a:cs typeface="Arial"/>
                </a:rPr>
                <a:t>Terrain</a:t>
              </a:r>
              <a:r>
                <a:rPr lang="en-US" sz="1000" b="0" i="1" strike="noStrike">
                  <a:solidFill>
                    <a:srgbClr val="000000"/>
                  </a:solidFill>
                  <a:latin typeface="Arial"/>
                  <a:cs typeface="Arial"/>
                </a:rPr>
                <a:t> z</a:t>
              </a:r>
              <a:r>
                <a:rPr lang="en-US" sz="1000" b="0" i="0" strike="noStrike" baseline="-25000">
                  <a:solidFill>
                    <a:srgbClr val="000000"/>
                  </a:solidFill>
                  <a:latin typeface="Arial"/>
                  <a:cs typeface="Arial"/>
                </a:rPr>
                <a:t>0</a:t>
              </a:r>
            </a:p>
          </xdr:txBody>
        </xdr:sp>
        <xdr:sp macro="" textlink="">
          <xdr:nvSpPr>
            <xdr:cNvPr id="43020" name="Text 40">
              <a:extLst>
                <a:ext uri="{FF2B5EF4-FFF2-40B4-BE49-F238E27FC236}">
                  <a16:creationId xmlns:a16="http://schemas.microsoft.com/office/drawing/2014/main" id="{00000000-0008-0000-0D00-00000CA80000}"/>
                </a:ext>
              </a:extLst>
            </xdr:cNvPr>
            <xdr:cNvSpPr txBox="1">
              <a:spLocks noChangeArrowheads="1"/>
            </xdr:cNvSpPr>
          </xdr:nvSpPr>
          <xdr:spPr bwMode="auto">
            <a:xfrm>
              <a:off x="569"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01</a:t>
              </a:r>
            </a:p>
          </xdr:txBody>
        </xdr:sp>
        <xdr:sp macro="" textlink="">
          <xdr:nvSpPr>
            <xdr:cNvPr id="43021" name="Text 41">
              <a:extLst>
                <a:ext uri="{FF2B5EF4-FFF2-40B4-BE49-F238E27FC236}">
                  <a16:creationId xmlns:a16="http://schemas.microsoft.com/office/drawing/2014/main" id="{00000000-0008-0000-0D00-00000DA80000}"/>
                </a:ext>
              </a:extLst>
            </xdr:cNvPr>
            <xdr:cNvSpPr txBox="1">
              <a:spLocks noChangeArrowheads="1"/>
            </xdr:cNvSpPr>
          </xdr:nvSpPr>
          <xdr:spPr bwMode="auto">
            <a:xfrm>
              <a:off x="453" y="282"/>
              <a:ext cx="28"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02</a:t>
              </a:r>
            </a:p>
          </xdr:txBody>
        </xdr:sp>
        <xdr:sp macro="" textlink="">
          <xdr:nvSpPr>
            <xdr:cNvPr id="43022" name="Text 45">
              <a:extLst>
                <a:ext uri="{FF2B5EF4-FFF2-40B4-BE49-F238E27FC236}">
                  <a16:creationId xmlns:a16="http://schemas.microsoft.com/office/drawing/2014/main" id="{00000000-0008-0000-0D00-00000EA80000}"/>
                </a:ext>
              </a:extLst>
            </xdr:cNvPr>
            <xdr:cNvSpPr txBox="1">
              <a:spLocks noChangeArrowheads="1"/>
            </xdr:cNvSpPr>
          </xdr:nvSpPr>
          <xdr:spPr bwMode="auto">
            <a:xfrm>
              <a:off x="685" y="314"/>
              <a:ext cx="20" cy="16"/>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 </a:t>
              </a:r>
            </a:p>
          </xdr:txBody>
        </xdr:sp>
        <xdr:sp macro="" textlink="">
          <xdr:nvSpPr>
            <xdr:cNvPr id="43023" name="Text 47">
              <a:extLst>
                <a:ext uri="{FF2B5EF4-FFF2-40B4-BE49-F238E27FC236}">
                  <a16:creationId xmlns:a16="http://schemas.microsoft.com/office/drawing/2014/main" id="{00000000-0008-0000-0D00-00000FA80000}"/>
                </a:ext>
              </a:extLst>
            </xdr:cNvPr>
            <xdr:cNvSpPr txBox="1">
              <a:spLocks noChangeArrowheads="1"/>
            </xdr:cNvSpPr>
          </xdr:nvSpPr>
          <xdr:spPr bwMode="auto">
            <a:xfrm>
              <a:off x="562" y="312"/>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1</a:t>
              </a:r>
            </a:p>
          </xdr:txBody>
        </xdr:sp>
        <xdr:sp macro="" textlink="">
          <xdr:nvSpPr>
            <xdr:cNvPr id="43024" name="Text 51">
              <a:extLst>
                <a:ext uri="{FF2B5EF4-FFF2-40B4-BE49-F238E27FC236}">
                  <a16:creationId xmlns:a16="http://schemas.microsoft.com/office/drawing/2014/main" id="{00000000-0008-0000-0D00-000010A80000}"/>
                </a:ext>
              </a:extLst>
            </xdr:cNvPr>
            <xdr:cNvSpPr txBox="1">
              <a:spLocks noChangeArrowheads="1"/>
            </xdr:cNvSpPr>
          </xdr:nvSpPr>
          <xdr:spPr bwMode="auto">
            <a:xfrm>
              <a:off x="461" y="313"/>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x</a:t>
              </a:r>
              <a:r>
                <a:rPr lang="en-US" sz="1000" b="0" i="0" strike="noStrike" baseline="-25000">
                  <a:solidFill>
                    <a:srgbClr val="000000"/>
                  </a:solidFill>
                  <a:latin typeface="Arial"/>
                  <a:cs typeface="Arial"/>
                </a:rPr>
                <a:t>2</a:t>
              </a:r>
            </a:p>
          </xdr:txBody>
        </xdr:sp>
        <xdr:sp macro="" textlink="">
          <xdr:nvSpPr>
            <xdr:cNvPr id="43025" name="Text 54">
              <a:extLst>
                <a:ext uri="{FF2B5EF4-FFF2-40B4-BE49-F238E27FC236}">
                  <a16:creationId xmlns:a16="http://schemas.microsoft.com/office/drawing/2014/main" id="{00000000-0008-0000-0D00-000011A80000}"/>
                </a:ext>
              </a:extLst>
            </xdr:cNvPr>
            <xdr:cNvSpPr txBox="1">
              <a:spLocks noChangeArrowheads="1"/>
            </xdr:cNvSpPr>
          </xdr:nvSpPr>
          <xdr:spPr bwMode="auto">
            <a:xfrm>
              <a:off x="296" y="310"/>
              <a:ext cx="64" cy="18"/>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900" b="0" i="1" strike="noStrike">
                  <a:solidFill>
                    <a:srgbClr val="000000"/>
                  </a:solidFill>
                  <a:latin typeface="Arial"/>
                  <a:cs typeface="Arial"/>
                </a:rPr>
                <a:t>x</a:t>
              </a:r>
              <a:r>
                <a:rPr lang="en-US" sz="1000" b="0" i="0" strike="noStrike" baseline="-25000">
                  <a:solidFill>
                    <a:srgbClr val="000000"/>
                  </a:solidFill>
                  <a:latin typeface="Arial"/>
                  <a:cs typeface="Arial"/>
                </a:rPr>
                <a:t>3</a:t>
              </a:r>
              <a:r>
                <a:rPr lang="en-US" sz="900" b="0" i="0" strike="noStrike">
                  <a:solidFill>
                    <a:srgbClr val="000000"/>
                  </a:solidFill>
                  <a:latin typeface="Arial"/>
                  <a:cs typeface="Arial"/>
                </a:rPr>
                <a:t> &gt; 50km</a:t>
              </a:r>
            </a:p>
          </xdr:txBody>
        </xdr:sp>
        <xdr:sp macro="" textlink="">
          <xdr:nvSpPr>
            <xdr:cNvPr id="1929580" name="Line 18">
              <a:extLst>
                <a:ext uri="{FF2B5EF4-FFF2-40B4-BE49-F238E27FC236}">
                  <a16:creationId xmlns:a16="http://schemas.microsoft.com/office/drawing/2014/main" id="{00000000-0008-0000-0D00-00006C711D00}"/>
                </a:ext>
              </a:extLst>
            </xdr:cNvPr>
            <xdr:cNvSpPr>
              <a:spLocks noChangeShapeType="1"/>
            </xdr:cNvSpPr>
          </xdr:nvSpPr>
          <xdr:spPr bwMode="auto">
            <a:xfrm>
              <a:off x="320" y="276"/>
              <a:ext cx="51" cy="0"/>
            </a:xfrm>
            <a:prstGeom prst="line">
              <a:avLst/>
            </a:prstGeom>
            <a:noFill/>
            <a:ln w="9525">
              <a:solidFill>
                <a:srgbClr val="000000"/>
              </a:solidFill>
              <a:round/>
              <a:headEnd/>
              <a:tailEnd type="triangle" w="sm" len="med"/>
            </a:ln>
          </xdr:spPr>
        </xdr:sp>
        <xdr:sp macro="" textlink="">
          <xdr:nvSpPr>
            <xdr:cNvPr id="43027" name="Text 56">
              <a:extLst>
                <a:ext uri="{FF2B5EF4-FFF2-40B4-BE49-F238E27FC236}">
                  <a16:creationId xmlns:a16="http://schemas.microsoft.com/office/drawing/2014/main" id="{00000000-0008-0000-0D00-000013A80000}"/>
                </a:ext>
              </a:extLst>
            </xdr:cNvPr>
            <xdr:cNvSpPr txBox="1">
              <a:spLocks noChangeArrowheads="1"/>
            </xdr:cNvSpPr>
          </xdr:nvSpPr>
          <xdr:spPr bwMode="auto">
            <a:xfrm>
              <a:off x="301" y="268"/>
              <a:ext cx="17" cy="21"/>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V</a:t>
              </a:r>
            </a:p>
          </xdr:txBody>
        </xdr:sp>
        <xdr:sp macro="" textlink="">
          <xdr:nvSpPr>
            <xdr:cNvPr id="43028" name="Text Box 20">
              <a:extLst>
                <a:ext uri="{FF2B5EF4-FFF2-40B4-BE49-F238E27FC236}">
                  <a16:creationId xmlns:a16="http://schemas.microsoft.com/office/drawing/2014/main" id="{00000000-0008-0000-0D00-000014A80000}"/>
                </a:ext>
              </a:extLst>
            </xdr:cNvPr>
            <xdr:cNvSpPr txBox="1">
              <a:spLocks noChangeArrowheads="1"/>
            </xdr:cNvSpPr>
          </xdr:nvSpPr>
          <xdr:spPr bwMode="auto">
            <a:xfrm>
              <a:off x="406" y="262"/>
              <a:ext cx="297" cy="18"/>
            </a:xfrm>
            <a:prstGeom prst="rect">
              <a:avLst/>
            </a:prstGeom>
            <a:solidFill>
              <a:srgbClr val="FFFFCC"/>
            </a:solidFill>
            <a:ln w="9525">
              <a:noFill/>
              <a:miter lim="800000"/>
              <a:headEnd/>
              <a:tailEnd/>
            </a:ln>
            <a:effectLst/>
          </xdr:spPr>
          <xdr:txBody>
            <a:bodyPr vertOverflow="clip" wrap="square" lIns="27432" tIns="22860" rIns="0" bIns="0" anchor="t" upright="1"/>
            <a:lstStyle/>
            <a:p>
              <a:pPr algn="l" rtl="0">
                <a:defRPr sz="1000"/>
              </a:pPr>
              <a:r>
                <a:rPr lang="en-US" sz="800" b="0" i="0" strike="noStrike">
                  <a:solidFill>
                    <a:srgbClr val="000000"/>
                  </a:solidFill>
                  <a:latin typeface="Arial"/>
                  <a:cs typeface="Arial"/>
                </a:rPr>
                <a:t>Example showing terrain with 3 changes in roughness: n=3</a:t>
              </a:r>
            </a:p>
          </xdr:txBody>
        </xdr:sp>
        <xdr:grpSp>
          <xdr:nvGrpSpPr>
            <xdr:cNvPr id="1929583" name="Group 21">
              <a:extLst>
                <a:ext uri="{FF2B5EF4-FFF2-40B4-BE49-F238E27FC236}">
                  <a16:creationId xmlns:a16="http://schemas.microsoft.com/office/drawing/2014/main" id="{00000000-0008-0000-0D00-00006F711D00}"/>
                </a:ext>
              </a:extLst>
            </xdr:cNvPr>
            <xdr:cNvGrpSpPr>
              <a:grpSpLocks/>
            </xdr:cNvGrpSpPr>
          </xdr:nvGrpSpPr>
          <xdr:grpSpPr bwMode="auto">
            <a:xfrm>
              <a:off x="298" y="275"/>
              <a:ext cx="494" cy="51"/>
              <a:chOff x="298" y="275"/>
              <a:chExt cx="494" cy="51"/>
            </a:xfrm>
          </xdr:grpSpPr>
          <xdr:grpSp>
            <xdr:nvGrpSpPr>
              <xdr:cNvPr id="1929584" name="Group 22">
                <a:extLst>
                  <a:ext uri="{FF2B5EF4-FFF2-40B4-BE49-F238E27FC236}">
                    <a16:creationId xmlns:a16="http://schemas.microsoft.com/office/drawing/2014/main" id="{00000000-0008-0000-0D00-000070711D00}"/>
                  </a:ext>
                </a:extLst>
              </xdr:cNvPr>
              <xdr:cNvGrpSpPr>
                <a:grpSpLocks/>
              </xdr:cNvGrpSpPr>
            </xdr:nvGrpSpPr>
            <xdr:grpSpPr bwMode="auto">
              <a:xfrm>
                <a:off x="298" y="275"/>
                <a:ext cx="494" cy="51"/>
                <a:chOff x="298" y="272"/>
                <a:chExt cx="494" cy="51"/>
              </a:xfrm>
            </xdr:grpSpPr>
            <xdr:sp macro="" textlink="">
              <xdr:nvSpPr>
                <xdr:cNvPr id="1929588" name="Line 23">
                  <a:extLst>
                    <a:ext uri="{FF2B5EF4-FFF2-40B4-BE49-F238E27FC236}">
                      <a16:creationId xmlns:a16="http://schemas.microsoft.com/office/drawing/2014/main" id="{00000000-0008-0000-0D00-000074711D00}"/>
                    </a:ext>
                  </a:extLst>
                </xdr:cNvPr>
                <xdr:cNvSpPr>
                  <a:spLocks noChangeShapeType="1"/>
                </xdr:cNvSpPr>
              </xdr:nvSpPr>
              <xdr:spPr bwMode="auto">
                <a:xfrm>
                  <a:off x="750" y="272"/>
                  <a:ext cx="0" cy="29"/>
                </a:xfrm>
                <a:prstGeom prst="line">
                  <a:avLst/>
                </a:prstGeom>
                <a:noFill/>
                <a:ln w="9525">
                  <a:solidFill>
                    <a:srgbClr val="000000"/>
                  </a:solidFill>
                  <a:round/>
                  <a:headEnd/>
                  <a:tailEnd/>
                </a:ln>
              </xdr:spPr>
            </xdr:sp>
            <xdr:sp macro="" textlink="">
              <xdr:nvSpPr>
                <xdr:cNvPr id="1929589" name="Line 24">
                  <a:extLst>
                    <a:ext uri="{FF2B5EF4-FFF2-40B4-BE49-F238E27FC236}">
                      <a16:creationId xmlns:a16="http://schemas.microsoft.com/office/drawing/2014/main" id="{00000000-0008-0000-0D00-000075711D00}"/>
                    </a:ext>
                  </a:extLst>
                </xdr:cNvPr>
                <xdr:cNvSpPr>
                  <a:spLocks noChangeShapeType="1"/>
                </xdr:cNvSpPr>
              </xdr:nvSpPr>
              <xdr:spPr bwMode="auto">
                <a:xfrm>
                  <a:off x="750" y="304"/>
                  <a:ext cx="0" cy="19"/>
                </a:xfrm>
                <a:prstGeom prst="line">
                  <a:avLst/>
                </a:prstGeom>
                <a:noFill/>
                <a:ln w="9525">
                  <a:solidFill>
                    <a:srgbClr val="000000"/>
                  </a:solidFill>
                  <a:round/>
                  <a:headEnd/>
                  <a:tailEnd/>
                </a:ln>
              </xdr:spPr>
            </xdr:sp>
            <xdr:grpSp>
              <xdr:nvGrpSpPr>
                <xdr:cNvPr id="1929590" name="Group 25">
                  <a:extLst>
                    <a:ext uri="{FF2B5EF4-FFF2-40B4-BE49-F238E27FC236}">
                      <a16:creationId xmlns:a16="http://schemas.microsoft.com/office/drawing/2014/main" id="{00000000-0008-0000-0D00-000076711D00}"/>
                    </a:ext>
                  </a:extLst>
                </xdr:cNvPr>
                <xdr:cNvGrpSpPr>
                  <a:grpSpLocks/>
                </xdr:cNvGrpSpPr>
              </xdr:nvGrpSpPr>
              <xdr:grpSpPr bwMode="auto">
                <a:xfrm>
                  <a:off x="413" y="303"/>
                  <a:ext cx="379" cy="0"/>
                  <a:chOff x="-191" y="-26502"/>
                  <a:chExt cx="19708" cy="0"/>
                </a:xfrm>
              </xdr:grpSpPr>
              <xdr:sp macro="" textlink="">
                <xdr:nvSpPr>
                  <xdr:cNvPr id="1929595" name="Line 26">
                    <a:extLst>
                      <a:ext uri="{FF2B5EF4-FFF2-40B4-BE49-F238E27FC236}">
                        <a16:creationId xmlns:a16="http://schemas.microsoft.com/office/drawing/2014/main" id="{00000000-0008-0000-0D00-00007B711D00}"/>
                      </a:ext>
                    </a:extLst>
                  </xdr:cNvPr>
                  <xdr:cNvSpPr>
                    <a:spLocks noChangeShapeType="1"/>
                  </xdr:cNvSpPr>
                </xdr:nvSpPr>
                <xdr:spPr bwMode="auto">
                  <a:xfrm>
                    <a:off x="-191" y="-26502"/>
                    <a:ext cx="5876" cy="0"/>
                  </a:xfrm>
                  <a:prstGeom prst="line">
                    <a:avLst/>
                  </a:prstGeom>
                  <a:noFill/>
                  <a:ln w="24765">
                    <a:solidFill>
                      <a:srgbClr val="339966"/>
                    </a:solidFill>
                    <a:round/>
                    <a:headEnd/>
                    <a:tailEnd/>
                  </a:ln>
                </xdr:spPr>
              </xdr:sp>
              <xdr:sp macro="" textlink="">
                <xdr:nvSpPr>
                  <xdr:cNvPr id="1929596" name="Line 27">
                    <a:extLst>
                      <a:ext uri="{FF2B5EF4-FFF2-40B4-BE49-F238E27FC236}">
                        <a16:creationId xmlns:a16="http://schemas.microsoft.com/office/drawing/2014/main" id="{00000000-0008-0000-0D00-00007C711D00}"/>
                      </a:ext>
                    </a:extLst>
                  </xdr:cNvPr>
                  <xdr:cNvSpPr>
                    <a:spLocks noChangeShapeType="1"/>
                  </xdr:cNvSpPr>
                </xdr:nvSpPr>
                <xdr:spPr bwMode="auto">
                  <a:xfrm>
                    <a:off x="5737" y="-26502"/>
                    <a:ext cx="5564" cy="0"/>
                  </a:xfrm>
                  <a:prstGeom prst="line">
                    <a:avLst/>
                  </a:prstGeom>
                  <a:noFill/>
                  <a:ln w="9525">
                    <a:solidFill>
                      <a:srgbClr val="339966"/>
                    </a:solidFill>
                    <a:round/>
                    <a:headEnd/>
                    <a:tailEnd/>
                  </a:ln>
                </xdr:spPr>
              </xdr:sp>
              <xdr:sp macro="" textlink="">
                <xdr:nvSpPr>
                  <xdr:cNvPr id="1929597" name="Line 28">
                    <a:extLst>
                      <a:ext uri="{FF2B5EF4-FFF2-40B4-BE49-F238E27FC236}">
                        <a16:creationId xmlns:a16="http://schemas.microsoft.com/office/drawing/2014/main" id="{00000000-0008-0000-0D00-00007D711D00}"/>
                      </a:ext>
                    </a:extLst>
                  </xdr:cNvPr>
                  <xdr:cNvSpPr>
                    <a:spLocks noChangeShapeType="1"/>
                  </xdr:cNvSpPr>
                </xdr:nvSpPr>
                <xdr:spPr bwMode="auto">
                  <a:xfrm>
                    <a:off x="11301" y="-26502"/>
                    <a:ext cx="8216" cy="0"/>
                  </a:xfrm>
                  <a:prstGeom prst="line">
                    <a:avLst/>
                  </a:prstGeom>
                  <a:noFill/>
                  <a:ln w="24765">
                    <a:solidFill>
                      <a:srgbClr val="339966"/>
                    </a:solidFill>
                    <a:round/>
                    <a:headEnd/>
                    <a:tailEnd/>
                  </a:ln>
                </xdr:spPr>
              </xdr:sp>
            </xdr:grpSp>
            <xdr:sp macro="" textlink="">
              <xdr:nvSpPr>
                <xdr:cNvPr id="1929591" name="Line 29">
                  <a:extLst>
                    <a:ext uri="{FF2B5EF4-FFF2-40B4-BE49-F238E27FC236}">
                      <a16:creationId xmlns:a16="http://schemas.microsoft.com/office/drawing/2014/main" id="{00000000-0008-0000-0D00-000077711D00}"/>
                    </a:ext>
                  </a:extLst>
                </xdr:cNvPr>
                <xdr:cNvSpPr>
                  <a:spLocks noChangeShapeType="1"/>
                </xdr:cNvSpPr>
              </xdr:nvSpPr>
              <xdr:spPr bwMode="auto">
                <a:xfrm>
                  <a:off x="635" y="313"/>
                  <a:ext cx="115" cy="0"/>
                </a:xfrm>
                <a:prstGeom prst="line">
                  <a:avLst/>
                </a:prstGeom>
                <a:noFill/>
                <a:ln w="9525">
                  <a:solidFill>
                    <a:srgbClr val="000000"/>
                  </a:solidFill>
                  <a:round/>
                  <a:headEnd type="triangle" w="sm" len="med"/>
                  <a:tailEnd type="triangle" w="sm" len="med"/>
                </a:ln>
              </xdr:spPr>
            </xdr:sp>
            <xdr:sp macro="" textlink="">
              <xdr:nvSpPr>
                <xdr:cNvPr id="1929592" name="Line 30">
                  <a:extLst>
                    <a:ext uri="{FF2B5EF4-FFF2-40B4-BE49-F238E27FC236}">
                      <a16:creationId xmlns:a16="http://schemas.microsoft.com/office/drawing/2014/main" id="{00000000-0008-0000-0D00-000078711D00}"/>
                    </a:ext>
                  </a:extLst>
                </xdr:cNvPr>
                <xdr:cNvSpPr>
                  <a:spLocks noChangeShapeType="1"/>
                </xdr:cNvSpPr>
              </xdr:nvSpPr>
              <xdr:spPr bwMode="auto">
                <a:xfrm>
                  <a:off x="524" y="313"/>
                  <a:ext cx="109" cy="0"/>
                </a:xfrm>
                <a:prstGeom prst="line">
                  <a:avLst/>
                </a:prstGeom>
                <a:noFill/>
                <a:ln w="9525">
                  <a:solidFill>
                    <a:srgbClr val="000000"/>
                  </a:solidFill>
                  <a:round/>
                  <a:headEnd type="triangle" w="sm" len="med"/>
                  <a:tailEnd type="triangle" w="sm" len="med"/>
                </a:ln>
              </xdr:spPr>
            </xdr:sp>
            <xdr:sp macro="" textlink="">
              <xdr:nvSpPr>
                <xdr:cNvPr id="1929593" name="Line 31">
                  <a:extLst>
                    <a:ext uri="{FF2B5EF4-FFF2-40B4-BE49-F238E27FC236}">
                      <a16:creationId xmlns:a16="http://schemas.microsoft.com/office/drawing/2014/main" id="{00000000-0008-0000-0D00-000079711D00}"/>
                    </a:ext>
                  </a:extLst>
                </xdr:cNvPr>
                <xdr:cNvSpPr>
                  <a:spLocks noChangeShapeType="1"/>
                </xdr:cNvSpPr>
              </xdr:nvSpPr>
              <xdr:spPr bwMode="auto">
                <a:xfrm flipH="1">
                  <a:off x="298" y="304"/>
                  <a:ext cx="118" cy="0"/>
                </a:xfrm>
                <a:prstGeom prst="line">
                  <a:avLst/>
                </a:prstGeom>
                <a:noFill/>
                <a:ln w="9525">
                  <a:solidFill>
                    <a:srgbClr val="339966"/>
                  </a:solidFill>
                  <a:prstDash val="dash"/>
                  <a:round/>
                  <a:headEnd/>
                  <a:tailEnd/>
                </a:ln>
              </xdr:spPr>
            </xdr:sp>
            <xdr:sp macro="" textlink="">
              <xdr:nvSpPr>
                <xdr:cNvPr id="1929594" name="Line 32">
                  <a:extLst>
                    <a:ext uri="{FF2B5EF4-FFF2-40B4-BE49-F238E27FC236}">
                      <a16:creationId xmlns:a16="http://schemas.microsoft.com/office/drawing/2014/main" id="{00000000-0008-0000-0D00-00007A711D00}"/>
                    </a:ext>
                  </a:extLst>
                </xdr:cNvPr>
                <xdr:cNvSpPr>
                  <a:spLocks noChangeShapeType="1"/>
                </xdr:cNvSpPr>
              </xdr:nvSpPr>
              <xdr:spPr bwMode="auto">
                <a:xfrm>
                  <a:off x="412" y="313"/>
                  <a:ext cx="112" cy="0"/>
                </a:xfrm>
                <a:prstGeom prst="line">
                  <a:avLst/>
                </a:prstGeom>
                <a:noFill/>
                <a:ln w="9525">
                  <a:solidFill>
                    <a:srgbClr val="000000"/>
                  </a:solidFill>
                  <a:round/>
                  <a:headEnd type="triangle" w="sm" len="med"/>
                  <a:tailEnd type="triangle" w="sm" len="med"/>
                </a:ln>
              </xdr:spPr>
            </xdr:sp>
          </xdr:grpSp>
          <xdr:sp macro="" textlink="">
            <xdr:nvSpPr>
              <xdr:cNvPr id="1929585" name="Line 33">
                <a:extLst>
                  <a:ext uri="{FF2B5EF4-FFF2-40B4-BE49-F238E27FC236}">
                    <a16:creationId xmlns:a16="http://schemas.microsoft.com/office/drawing/2014/main" id="{00000000-0008-0000-0D00-000071711D00}"/>
                  </a:ext>
                </a:extLst>
              </xdr:cNvPr>
              <xdr:cNvSpPr>
                <a:spLocks noChangeShapeType="1"/>
              </xdr:cNvSpPr>
            </xdr:nvSpPr>
            <xdr:spPr bwMode="auto">
              <a:xfrm>
                <a:off x="634" y="295"/>
                <a:ext cx="0" cy="19"/>
              </a:xfrm>
              <a:prstGeom prst="line">
                <a:avLst/>
              </a:prstGeom>
              <a:noFill/>
              <a:ln w="9525">
                <a:solidFill>
                  <a:srgbClr val="000000"/>
                </a:solidFill>
                <a:round/>
                <a:headEnd/>
                <a:tailEnd/>
              </a:ln>
            </xdr:spPr>
          </xdr:sp>
          <xdr:sp macro="" textlink="">
            <xdr:nvSpPr>
              <xdr:cNvPr id="1929586" name="Line 34">
                <a:extLst>
                  <a:ext uri="{FF2B5EF4-FFF2-40B4-BE49-F238E27FC236}">
                    <a16:creationId xmlns:a16="http://schemas.microsoft.com/office/drawing/2014/main" id="{00000000-0008-0000-0D00-000072711D00}"/>
                  </a:ext>
                </a:extLst>
              </xdr:cNvPr>
              <xdr:cNvSpPr>
                <a:spLocks noChangeShapeType="1"/>
              </xdr:cNvSpPr>
            </xdr:nvSpPr>
            <xdr:spPr bwMode="auto">
              <a:xfrm>
                <a:off x="525" y="296"/>
                <a:ext cx="0" cy="19"/>
              </a:xfrm>
              <a:prstGeom prst="line">
                <a:avLst/>
              </a:prstGeom>
              <a:noFill/>
              <a:ln w="9525">
                <a:solidFill>
                  <a:srgbClr val="000000"/>
                </a:solidFill>
                <a:round/>
                <a:headEnd/>
                <a:tailEnd/>
              </a:ln>
            </xdr:spPr>
          </xdr:sp>
          <xdr:sp macro="" textlink="">
            <xdr:nvSpPr>
              <xdr:cNvPr id="1929587" name="Line 35">
                <a:extLst>
                  <a:ext uri="{FF2B5EF4-FFF2-40B4-BE49-F238E27FC236}">
                    <a16:creationId xmlns:a16="http://schemas.microsoft.com/office/drawing/2014/main" id="{00000000-0008-0000-0D00-000073711D00}"/>
                  </a:ext>
                </a:extLst>
              </xdr:cNvPr>
              <xdr:cNvSpPr>
                <a:spLocks noChangeShapeType="1"/>
              </xdr:cNvSpPr>
            </xdr:nvSpPr>
            <xdr:spPr bwMode="auto">
              <a:xfrm>
                <a:off x="413" y="296"/>
                <a:ext cx="0" cy="19"/>
              </a:xfrm>
              <a:prstGeom prst="line">
                <a:avLst/>
              </a:prstGeom>
              <a:noFill/>
              <a:ln w="9525">
                <a:solidFill>
                  <a:srgbClr val="000000"/>
                </a:solidFill>
                <a:round/>
                <a:headEnd/>
                <a:tailEnd/>
              </a:ln>
            </xdr:spPr>
          </xdr:sp>
        </xdr:grpSp>
      </xdr:grpSp>
      <xdr:sp macro="" textlink="">
        <xdr:nvSpPr>
          <xdr:cNvPr id="43044" name="Text 53">
            <a:extLst>
              <a:ext uri="{FF2B5EF4-FFF2-40B4-BE49-F238E27FC236}">
                <a16:creationId xmlns:a16="http://schemas.microsoft.com/office/drawing/2014/main" id="{00000000-0008-0000-0D00-000024A80000}"/>
              </a:ext>
            </a:extLst>
          </xdr:cNvPr>
          <xdr:cNvSpPr txBox="1">
            <a:spLocks noChangeArrowheads="1"/>
          </xdr:cNvSpPr>
        </xdr:nvSpPr>
        <xdr:spPr bwMode="auto">
          <a:xfrm>
            <a:off x="334" y="283"/>
            <a:ext cx="26" cy="22"/>
          </a:xfrm>
          <a:prstGeom prst="rect">
            <a:avLst/>
          </a:prstGeom>
          <a:solidFill>
            <a:srgbClr val="FFFFCC"/>
          </a:solidFill>
          <a:ln w="9525">
            <a:solidFill>
              <a:srgbClr val="FFFFCC"/>
            </a:solidFill>
            <a:miter lim="800000"/>
            <a:headEnd/>
            <a:tailEnd/>
          </a:ln>
        </xdr:spPr>
        <xdr:txBody>
          <a:bodyPr vertOverflow="clip" wrap="square" lIns="27432" tIns="22860" rIns="0" bIns="0" anchor="t" upright="1"/>
          <a:lstStyle/>
          <a:p>
            <a:pPr algn="l" rtl="0">
              <a:defRPr sz="1000"/>
            </a:pPr>
            <a:r>
              <a:rPr lang="en-US" sz="1000" b="0" i="1" strike="noStrike">
                <a:solidFill>
                  <a:srgbClr val="000000"/>
                </a:solidFill>
                <a:latin typeface="Arial"/>
                <a:cs typeface="Arial"/>
              </a:rPr>
              <a:t>z</a:t>
            </a:r>
            <a:r>
              <a:rPr lang="en-US" sz="1000" b="0" i="0" strike="noStrike" baseline="-25000">
                <a:solidFill>
                  <a:srgbClr val="000000"/>
                </a:solidFill>
                <a:latin typeface="Arial"/>
                <a:cs typeface="Arial"/>
              </a:rPr>
              <a:t>03</a:t>
            </a:r>
          </a:p>
        </xdr:txBody>
      </xdr:sp>
    </xdr:grpSp>
    <xdr:clientData/>
  </xdr:twoCellAnchor>
  <xdr:twoCellAnchor>
    <xdr:from>
      <xdr:col>15</xdr:col>
      <xdr:colOff>30480</xdr:colOff>
      <xdr:row>4</xdr:row>
      <xdr:rowOff>121920</xdr:rowOff>
    </xdr:from>
    <xdr:to>
      <xdr:col>20</xdr:col>
      <xdr:colOff>401963</xdr:colOff>
      <xdr:row>9</xdr:row>
      <xdr:rowOff>381000</xdr:rowOff>
    </xdr:to>
    <xdr:sp macro="" textlink="">
      <xdr:nvSpPr>
        <xdr:cNvPr id="43118" name="Text Box 110">
          <a:extLst>
            <a:ext uri="{FF2B5EF4-FFF2-40B4-BE49-F238E27FC236}">
              <a16:creationId xmlns:a16="http://schemas.microsoft.com/office/drawing/2014/main" id="{00000000-0008-0000-0D00-00006EA80000}"/>
            </a:ext>
          </a:extLst>
        </xdr:cNvPr>
        <xdr:cNvSpPr txBox="1">
          <a:spLocks noChangeArrowheads="1"/>
        </xdr:cNvSpPr>
      </xdr:nvSpPr>
      <xdr:spPr bwMode="auto">
        <a:xfrm>
          <a:off x="11841480" y="906780"/>
          <a:ext cx="4046220" cy="127254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Notes (JJG - Aug 28, 2005, updated by MTB Aug 28, 2014):</a:t>
          </a:r>
        </a:p>
        <a:p>
          <a:pPr algn="l" rtl="0">
            <a:defRPr sz="1000"/>
          </a:pPr>
          <a:r>
            <a:rPr lang="en-US" sz="1000" b="0" i="0" strike="noStrike">
              <a:solidFill>
                <a:srgbClr val="000000"/>
              </a:solidFill>
              <a:latin typeface="Arial"/>
              <a:cs typeface="Arial"/>
            </a:rPr>
            <a:t>- </a:t>
          </a:r>
          <a:r>
            <a:rPr lang="en-US" sz="1400" b="1" i="0" strike="noStrike">
              <a:solidFill>
                <a:srgbClr val="FF0000"/>
              </a:solidFill>
              <a:latin typeface="Arial"/>
              <a:cs typeface="Arial"/>
            </a:rPr>
            <a:t>use of 0.005 for ALL water fetches</a:t>
          </a:r>
        </a:p>
        <a:p>
          <a:pPr algn="l" rtl="0">
            <a:defRPr sz="1000"/>
          </a:pPr>
          <a:r>
            <a:rPr lang="en-US" sz="1000" b="0" i="0" strike="noStrike">
              <a:solidFill>
                <a:srgbClr val="000000"/>
              </a:solidFill>
              <a:latin typeface="Arial"/>
              <a:cs typeface="Arial"/>
            </a:rPr>
            <a:t>-  JJG has noted inconsistencies with transition from smooth to rough profiles at higher heights - noticed when going from water to urban -  (as well as rough to smooth that we were already aware of) - be sure to look at how the gust speed is affected in these situations to ensure that it makes sense </a:t>
          </a:r>
        </a:p>
        <a:p>
          <a:pPr algn="l" rtl="0">
            <a:defRPr sz="1000"/>
          </a:pPr>
          <a:endParaRPr lang="en-US" sz="1000" b="0" i="0" strike="noStrike">
            <a:solidFill>
              <a:srgbClr val="000000"/>
            </a:solidFill>
            <a:latin typeface="Arial"/>
            <a:cs typeface="Arial"/>
          </a:endParaRPr>
        </a:p>
      </xdr:txBody>
    </xdr:sp>
    <xdr:clientData/>
  </xdr:twoCellAnchor>
  <xdr:twoCellAnchor>
    <xdr:from>
      <xdr:col>29</xdr:col>
      <xdr:colOff>119742</xdr:colOff>
      <xdr:row>106</xdr:row>
      <xdr:rowOff>134711</xdr:rowOff>
    </xdr:from>
    <xdr:to>
      <xdr:col>36</xdr:col>
      <xdr:colOff>129267</xdr:colOff>
      <xdr:row>130</xdr:row>
      <xdr:rowOff>68036</xdr:rowOff>
    </xdr:to>
    <xdr:graphicFrame macro="">
      <xdr:nvGraphicFramePr>
        <xdr:cNvPr id="1929567" name="Chart 113">
          <a:extLst>
            <a:ext uri="{FF2B5EF4-FFF2-40B4-BE49-F238E27FC236}">
              <a16:creationId xmlns:a16="http://schemas.microsoft.com/office/drawing/2014/main" id="{00000000-0008-0000-0D00-00005F711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129267</xdr:colOff>
      <xdr:row>106</xdr:row>
      <xdr:rowOff>134711</xdr:rowOff>
    </xdr:from>
    <xdr:to>
      <xdr:col>43</xdr:col>
      <xdr:colOff>605517</xdr:colOff>
      <xdr:row>130</xdr:row>
      <xdr:rowOff>77561</xdr:rowOff>
    </xdr:to>
    <xdr:graphicFrame macro="">
      <xdr:nvGraphicFramePr>
        <xdr:cNvPr id="1929568" name="Chart 114">
          <a:extLst>
            <a:ext uri="{FF2B5EF4-FFF2-40B4-BE49-F238E27FC236}">
              <a16:creationId xmlns:a16="http://schemas.microsoft.com/office/drawing/2014/main" id="{00000000-0008-0000-0D00-000060711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76200</xdr:colOff>
          <xdr:row>8</xdr:row>
          <xdr:rowOff>133350</xdr:rowOff>
        </xdr:from>
        <xdr:to>
          <xdr:col>8</xdr:col>
          <xdr:colOff>323850</xdr:colOff>
          <xdr:row>9</xdr:row>
          <xdr:rowOff>485775</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D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en-US" sz="1200" b="0" i="0" u="none" strike="noStrike" baseline="0">
                  <a:solidFill>
                    <a:srgbClr val="0000FF"/>
                  </a:solidFill>
                  <a:latin typeface="Arial"/>
                  <a:cs typeface="Arial"/>
                </a:rPr>
                <a:t>Run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5</xdr:row>
          <xdr:rowOff>133350</xdr:rowOff>
        </xdr:from>
        <xdr:to>
          <xdr:col>8</xdr:col>
          <xdr:colOff>333375</xdr:colOff>
          <xdr:row>8</xdr:row>
          <xdr:rowOff>28575</xdr:rowOff>
        </xdr:to>
        <xdr:sp macro="" textlink="">
          <xdr:nvSpPr>
            <xdr:cNvPr id="43212" name="Button 204" hidden="1">
              <a:extLst>
                <a:ext uri="{63B3BB69-23CF-44E3-9099-C40C66FF867C}">
                  <a14:compatExt spid="_x0000_s43212"/>
                </a:ext>
                <a:ext uri="{FF2B5EF4-FFF2-40B4-BE49-F238E27FC236}">
                  <a16:creationId xmlns:a16="http://schemas.microsoft.com/office/drawing/2014/main" id="{00000000-0008-0000-0D00-0000CCA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FF"/>
                  </a:solidFill>
                  <a:latin typeface="Arial"/>
                  <a:cs typeface="Arial"/>
                </a:rPr>
                <a:t>Import ESDUView file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66675</xdr:colOff>
      <xdr:row>1</xdr:row>
      <xdr:rowOff>57150</xdr:rowOff>
    </xdr:from>
    <xdr:to>
      <xdr:col>9</xdr:col>
      <xdr:colOff>457200</xdr:colOff>
      <xdr:row>24</xdr:row>
      <xdr:rowOff>95250</xdr:rowOff>
    </xdr:to>
    <xdr:graphicFrame macro="">
      <xdr:nvGraphicFramePr>
        <xdr:cNvPr id="677443" name="Chart 1">
          <a:extLst>
            <a:ext uri="{FF2B5EF4-FFF2-40B4-BE49-F238E27FC236}">
              <a16:creationId xmlns:a16="http://schemas.microsoft.com/office/drawing/2014/main" id="{00000000-0008-0000-0E00-000043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57150</xdr:colOff>
      <xdr:row>1</xdr:row>
      <xdr:rowOff>76200</xdr:rowOff>
    </xdr:from>
    <xdr:to>
      <xdr:col>18</xdr:col>
      <xdr:colOff>485775</xdr:colOff>
      <xdr:row>24</xdr:row>
      <xdr:rowOff>95250</xdr:rowOff>
    </xdr:to>
    <xdr:graphicFrame macro="">
      <xdr:nvGraphicFramePr>
        <xdr:cNvPr id="677444" name="Chart 1">
          <a:extLst>
            <a:ext uri="{FF2B5EF4-FFF2-40B4-BE49-F238E27FC236}">
              <a16:creationId xmlns:a16="http://schemas.microsoft.com/office/drawing/2014/main" id="{00000000-0008-0000-0E00-000044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25</xdr:row>
      <xdr:rowOff>0</xdr:rowOff>
    </xdr:from>
    <xdr:to>
      <xdr:col>9</xdr:col>
      <xdr:colOff>438150</xdr:colOff>
      <xdr:row>48</xdr:row>
      <xdr:rowOff>133350</xdr:rowOff>
    </xdr:to>
    <xdr:graphicFrame macro="">
      <xdr:nvGraphicFramePr>
        <xdr:cNvPr id="677445" name="Chart 1">
          <a:extLst>
            <a:ext uri="{FF2B5EF4-FFF2-40B4-BE49-F238E27FC236}">
              <a16:creationId xmlns:a16="http://schemas.microsoft.com/office/drawing/2014/main" id="{00000000-0008-0000-0E00-000045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25</xdr:row>
      <xdr:rowOff>0</xdr:rowOff>
    </xdr:from>
    <xdr:to>
      <xdr:col>18</xdr:col>
      <xdr:colOff>438150</xdr:colOff>
      <xdr:row>49</xdr:row>
      <xdr:rowOff>9525</xdr:rowOff>
    </xdr:to>
    <xdr:graphicFrame macro="">
      <xdr:nvGraphicFramePr>
        <xdr:cNvPr id="677446" name="Chart 1">
          <a:extLst>
            <a:ext uri="{FF2B5EF4-FFF2-40B4-BE49-F238E27FC236}">
              <a16:creationId xmlns:a16="http://schemas.microsoft.com/office/drawing/2014/main" id="{00000000-0008-0000-0E00-000046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50</xdr:row>
      <xdr:rowOff>0</xdr:rowOff>
    </xdr:from>
    <xdr:to>
      <xdr:col>9</xdr:col>
      <xdr:colOff>438150</xdr:colOff>
      <xdr:row>73</xdr:row>
      <xdr:rowOff>133350</xdr:rowOff>
    </xdr:to>
    <xdr:graphicFrame macro="">
      <xdr:nvGraphicFramePr>
        <xdr:cNvPr id="677447" name="Chart 1">
          <a:extLst>
            <a:ext uri="{FF2B5EF4-FFF2-40B4-BE49-F238E27FC236}">
              <a16:creationId xmlns:a16="http://schemas.microsoft.com/office/drawing/2014/main" id="{00000000-0008-0000-0E00-000047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50</xdr:row>
      <xdr:rowOff>0</xdr:rowOff>
    </xdr:from>
    <xdr:to>
      <xdr:col>18</xdr:col>
      <xdr:colOff>438150</xdr:colOff>
      <xdr:row>74</xdr:row>
      <xdr:rowOff>9525</xdr:rowOff>
    </xdr:to>
    <xdr:graphicFrame macro="">
      <xdr:nvGraphicFramePr>
        <xdr:cNvPr id="677448" name="Chart 1">
          <a:extLst>
            <a:ext uri="{FF2B5EF4-FFF2-40B4-BE49-F238E27FC236}">
              <a16:creationId xmlns:a16="http://schemas.microsoft.com/office/drawing/2014/main" id="{00000000-0008-0000-0E00-000048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75</xdr:row>
      <xdr:rowOff>0</xdr:rowOff>
    </xdr:from>
    <xdr:to>
      <xdr:col>9</xdr:col>
      <xdr:colOff>438150</xdr:colOff>
      <xdr:row>98</xdr:row>
      <xdr:rowOff>190500</xdr:rowOff>
    </xdr:to>
    <xdr:graphicFrame macro="">
      <xdr:nvGraphicFramePr>
        <xdr:cNvPr id="677449" name="Chart 1">
          <a:extLst>
            <a:ext uri="{FF2B5EF4-FFF2-40B4-BE49-F238E27FC236}">
              <a16:creationId xmlns:a16="http://schemas.microsoft.com/office/drawing/2014/main" id="{00000000-0008-0000-0E00-000049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0</xdr:colOff>
      <xdr:row>75</xdr:row>
      <xdr:rowOff>0</xdr:rowOff>
    </xdr:from>
    <xdr:to>
      <xdr:col>18</xdr:col>
      <xdr:colOff>438150</xdr:colOff>
      <xdr:row>99</xdr:row>
      <xdr:rowOff>76200</xdr:rowOff>
    </xdr:to>
    <xdr:graphicFrame macro="">
      <xdr:nvGraphicFramePr>
        <xdr:cNvPr id="677450" name="Chart 1">
          <a:extLst>
            <a:ext uri="{FF2B5EF4-FFF2-40B4-BE49-F238E27FC236}">
              <a16:creationId xmlns:a16="http://schemas.microsoft.com/office/drawing/2014/main" id="{00000000-0008-0000-0E00-00004A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100</xdr:row>
      <xdr:rowOff>0</xdr:rowOff>
    </xdr:from>
    <xdr:to>
      <xdr:col>9</xdr:col>
      <xdr:colOff>438150</xdr:colOff>
      <xdr:row>125</xdr:row>
      <xdr:rowOff>57150</xdr:rowOff>
    </xdr:to>
    <xdr:graphicFrame macro="">
      <xdr:nvGraphicFramePr>
        <xdr:cNvPr id="677451" name="Chart 1">
          <a:extLst>
            <a:ext uri="{FF2B5EF4-FFF2-40B4-BE49-F238E27FC236}">
              <a16:creationId xmlns:a16="http://schemas.microsoft.com/office/drawing/2014/main" id="{00000000-0008-0000-0E00-00004B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0</xdr:colOff>
      <xdr:row>100</xdr:row>
      <xdr:rowOff>0</xdr:rowOff>
    </xdr:from>
    <xdr:to>
      <xdr:col>18</xdr:col>
      <xdr:colOff>438150</xdr:colOff>
      <xdr:row>125</xdr:row>
      <xdr:rowOff>133350</xdr:rowOff>
    </xdr:to>
    <xdr:graphicFrame macro="">
      <xdr:nvGraphicFramePr>
        <xdr:cNvPr id="677452" name="Chart 1">
          <a:extLst>
            <a:ext uri="{FF2B5EF4-FFF2-40B4-BE49-F238E27FC236}">
              <a16:creationId xmlns:a16="http://schemas.microsoft.com/office/drawing/2014/main" id="{00000000-0008-0000-0E00-00004C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126</xdr:row>
      <xdr:rowOff>66675</xdr:rowOff>
    </xdr:from>
    <xdr:to>
      <xdr:col>9</xdr:col>
      <xdr:colOff>466725</xdr:colOff>
      <xdr:row>151</xdr:row>
      <xdr:rowOff>123825</xdr:rowOff>
    </xdr:to>
    <xdr:graphicFrame macro="">
      <xdr:nvGraphicFramePr>
        <xdr:cNvPr id="677453" name="Chart 1">
          <a:extLst>
            <a:ext uri="{FF2B5EF4-FFF2-40B4-BE49-F238E27FC236}">
              <a16:creationId xmlns:a16="http://schemas.microsoft.com/office/drawing/2014/main" id="{00000000-0008-0000-0E00-00004D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0</xdr:colOff>
      <xdr:row>126</xdr:row>
      <xdr:rowOff>95250</xdr:rowOff>
    </xdr:from>
    <xdr:to>
      <xdr:col>18</xdr:col>
      <xdr:colOff>438150</xdr:colOff>
      <xdr:row>152</xdr:row>
      <xdr:rowOff>38100</xdr:rowOff>
    </xdr:to>
    <xdr:graphicFrame macro="">
      <xdr:nvGraphicFramePr>
        <xdr:cNvPr id="677454" name="Chart 1">
          <a:extLst>
            <a:ext uri="{FF2B5EF4-FFF2-40B4-BE49-F238E27FC236}">
              <a16:creationId xmlns:a16="http://schemas.microsoft.com/office/drawing/2014/main" id="{00000000-0008-0000-0E00-00004E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153</xdr:row>
      <xdr:rowOff>0</xdr:rowOff>
    </xdr:from>
    <xdr:to>
      <xdr:col>9</xdr:col>
      <xdr:colOff>438150</xdr:colOff>
      <xdr:row>178</xdr:row>
      <xdr:rowOff>57150</xdr:rowOff>
    </xdr:to>
    <xdr:graphicFrame macro="">
      <xdr:nvGraphicFramePr>
        <xdr:cNvPr id="677455" name="Chart 1">
          <a:extLst>
            <a:ext uri="{FF2B5EF4-FFF2-40B4-BE49-F238E27FC236}">
              <a16:creationId xmlns:a16="http://schemas.microsoft.com/office/drawing/2014/main" id="{00000000-0008-0000-0E00-00004F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0</xdr:colOff>
      <xdr:row>153</xdr:row>
      <xdr:rowOff>0</xdr:rowOff>
    </xdr:from>
    <xdr:to>
      <xdr:col>18</xdr:col>
      <xdr:colOff>438150</xdr:colOff>
      <xdr:row>178</xdr:row>
      <xdr:rowOff>133350</xdr:rowOff>
    </xdr:to>
    <xdr:graphicFrame macro="">
      <xdr:nvGraphicFramePr>
        <xdr:cNvPr id="677456" name="Chart 1">
          <a:extLst>
            <a:ext uri="{FF2B5EF4-FFF2-40B4-BE49-F238E27FC236}">
              <a16:creationId xmlns:a16="http://schemas.microsoft.com/office/drawing/2014/main" id="{00000000-0008-0000-0E00-000050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179</xdr:row>
      <xdr:rowOff>0</xdr:rowOff>
    </xdr:from>
    <xdr:to>
      <xdr:col>9</xdr:col>
      <xdr:colOff>438150</xdr:colOff>
      <xdr:row>204</xdr:row>
      <xdr:rowOff>57150</xdr:rowOff>
    </xdr:to>
    <xdr:graphicFrame macro="">
      <xdr:nvGraphicFramePr>
        <xdr:cNvPr id="677457" name="Chart 1">
          <a:extLst>
            <a:ext uri="{FF2B5EF4-FFF2-40B4-BE49-F238E27FC236}">
              <a16:creationId xmlns:a16="http://schemas.microsoft.com/office/drawing/2014/main" id="{00000000-0008-0000-0E00-000051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0</xdr:colOff>
      <xdr:row>179</xdr:row>
      <xdr:rowOff>0</xdr:rowOff>
    </xdr:from>
    <xdr:to>
      <xdr:col>18</xdr:col>
      <xdr:colOff>438150</xdr:colOff>
      <xdr:row>204</xdr:row>
      <xdr:rowOff>133350</xdr:rowOff>
    </xdr:to>
    <xdr:graphicFrame macro="">
      <xdr:nvGraphicFramePr>
        <xdr:cNvPr id="677458" name="Chart 1">
          <a:extLst>
            <a:ext uri="{FF2B5EF4-FFF2-40B4-BE49-F238E27FC236}">
              <a16:creationId xmlns:a16="http://schemas.microsoft.com/office/drawing/2014/main" id="{00000000-0008-0000-0E00-000052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205</xdr:row>
      <xdr:rowOff>0</xdr:rowOff>
    </xdr:from>
    <xdr:to>
      <xdr:col>9</xdr:col>
      <xdr:colOff>438150</xdr:colOff>
      <xdr:row>230</xdr:row>
      <xdr:rowOff>57150</xdr:rowOff>
    </xdr:to>
    <xdr:graphicFrame macro="">
      <xdr:nvGraphicFramePr>
        <xdr:cNvPr id="677459" name="Chart 1">
          <a:extLst>
            <a:ext uri="{FF2B5EF4-FFF2-40B4-BE49-F238E27FC236}">
              <a16:creationId xmlns:a16="http://schemas.microsoft.com/office/drawing/2014/main" id="{00000000-0008-0000-0E00-000053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0</xdr:colOff>
      <xdr:row>205</xdr:row>
      <xdr:rowOff>0</xdr:rowOff>
    </xdr:from>
    <xdr:to>
      <xdr:col>18</xdr:col>
      <xdr:colOff>438150</xdr:colOff>
      <xdr:row>230</xdr:row>
      <xdr:rowOff>133350</xdr:rowOff>
    </xdr:to>
    <xdr:graphicFrame macro="">
      <xdr:nvGraphicFramePr>
        <xdr:cNvPr id="677460" name="Chart 1">
          <a:extLst>
            <a:ext uri="{FF2B5EF4-FFF2-40B4-BE49-F238E27FC236}">
              <a16:creationId xmlns:a16="http://schemas.microsoft.com/office/drawing/2014/main" id="{00000000-0008-0000-0E00-000054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231</xdr:row>
      <xdr:rowOff>0</xdr:rowOff>
    </xdr:from>
    <xdr:to>
      <xdr:col>9</xdr:col>
      <xdr:colOff>438150</xdr:colOff>
      <xdr:row>256</xdr:row>
      <xdr:rowOff>57150</xdr:rowOff>
    </xdr:to>
    <xdr:graphicFrame macro="">
      <xdr:nvGraphicFramePr>
        <xdr:cNvPr id="677461" name="Chart 1">
          <a:extLst>
            <a:ext uri="{FF2B5EF4-FFF2-40B4-BE49-F238E27FC236}">
              <a16:creationId xmlns:a16="http://schemas.microsoft.com/office/drawing/2014/main" id="{00000000-0008-0000-0E00-000055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0</xdr:colOff>
      <xdr:row>231</xdr:row>
      <xdr:rowOff>0</xdr:rowOff>
    </xdr:from>
    <xdr:to>
      <xdr:col>18</xdr:col>
      <xdr:colOff>438150</xdr:colOff>
      <xdr:row>256</xdr:row>
      <xdr:rowOff>133350</xdr:rowOff>
    </xdr:to>
    <xdr:graphicFrame macro="">
      <xdr:nvGraphicFramePr>
        <xdr:cNvPr id="677462" name="Chart 1">
          <a:extLst>
            <a:ext uri="{FF2B5EF4-FFF2-40B4-BE49-F238E27FC236}">
              <a16:creationId xmlns:a16="http://schemas.microsoft.com/office/drawing/2014/main" id="{00000000-0008-0000-0E00-000056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28</xdr:col>
      <xdr:colOff>285750</xdr:colOff>
      <xdr:row>4</xdr:row>
      <xdr:rowOff>95250</xdr:rowOff>
    </xdr:from>
    <xdr:to>
      <xdr:col>37</xdr:col>
      <xdr:colOff>152400</xdr:colOff>
      <xdr:row>26</xdr:row>
      <xdr:rowOff>66675</xdr:rowOff>
    </xdr:to>
    <xdr:graphicFrame macro="">
      <xdr:nvGraphicFramePr>
        <xdr:cNvPr id="677463" name="Chart 1">
          <a:extLst>
            <a:ext uri="{FF2B5EF4-FFF2-40B4-BE49-F238E27FC236}">
              <a16:creationId xmlns:a16="http://schemas.microsoft.com/office/drawing/2014/main" id="{00000000-0008-0000-0E00-000057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37</xdr:col>
      <xdr:colOff>85725</xdr:colOff>
      <xdr:row>4</xdr:row>
      <xdr:rowOff>57150</xdr:rowOff>
    </xdr:from>
    <xdr:to>
      <xdr:col>45</xdr:col>
      <xdr:colOff>257175</xdr:colOff>
      <xdr:row>26</xdr:row>
      <xdr:rowOff>123825</xdr:rowOff>
    </xdr:to>
    <xdr:graphicFrame macro="">
      <xdr:nvGraphicFramePr>
        <xdr:cNvPr id="677464" name="Chart 1">
          <a:extLst>
            <a:ext uri="{FF2B5EF4-FFF2-40B4-BE49-F238E27FC236}">
              <a16:creationId xmlns:a16="http://schemas.microsoft.com/office/drawing/2014/main" id="{00000000-0008-0000-0E00-000058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33</xdr:col>
      <xdr:colOff>123825</xdr:colOff>
      <xdr:row>24</xdr:row>
      <xdr:rowOff>133350</xdr:rowOff>
    </xdr:from>
    <xdr:to>
      <xdr:col>41</xdr:col>
      <xdr:colOff>504825</xdr:colOff>
      <xdr:row>48</xdr:row>
      <xdr:rowOff>57150</xdr:rowOff>
    </xdr:to>
    <xdr:graphicFrame macro="">
      <xdr:nvGraphicFramePr>
        <xdr:cNvPr id="677465" name="Chart 1">
          <a:extLst>
            <a:ext uri="{FF2B5EF4-FFF2-40B4-BE49-F238E27FC236}">
              <a16:creationId xmlns:a16="http://schemas.microsoft.com/office/drawing/2014/main" id="{00000000-0008-0000-0E00-000059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18</xdr:col>
      <xdr:colOff>657225</xdr:colOff>
      <xdr:row>2</xdr:row>
      <xdr:rowOff>38100</xdr:rowOff>
    </xdr:from>
    <xdr:to>
      <xdr:col>27</xdr:col>
      <xdr:colOff>228600</xdr:colOff>
      <xdr:row>24</xdr:row>
      <xdr:rowOff>133350</xdr:rowOff>
    </xdr:to>
    <xdr:graphicFrame macro="">
      <xdr:nvGraphicFramePr>
        <xdr:cNvPr id="677466" name="Chart 1">
          <a:extLst>
            <a:ext uri="{FF2B5EF4-FFF2-40B4-BE49-F238E27FC236}">
              <a16:creationId xmlns:a16="http://schemas.microsoft.com/office/drawing/2014/main" id="{00000000-0008-0000-0E00-00005A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19</xdr:col>
      <xdr:colOff>0</xdr:colOff>
      <xdr:row>27</xdr:row>
      <xdr:rowOff>0</xdr:rowOff>
    </xdr:from>
    <xdr:to>
      <xdr:col>27</xdr:col>
      <xdr:colOff>257175</xdr:colOff>
      <xdr:row>49</xdr:row>
      <xdr:rowOff>190500</xdr:rowOff>
    </xdr:to>
    <xdr:graphicFrame macro="">
      <xdr:nvGraphicFramePr>
        <xdr:cNvPr id="677467" name="Chart 1">
          <a:extLst>
            <a:ext uri="{FF2B5EF4-FFF2-40B4-BE49-F238E27FC236}">
              <a16:creationId xmlns:a16="http://schemas.microsoft.com/office/drawing/2014/main" id="{00000000-0008-0000-0E00-00005B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19</xdr:col>
      <xdr:colOff>0</xdr:colOff>
      <xdr:row>52</xdr:row>
      <xdr:rowOff>0</xdr:rowOff>
    </xdr:from>
    <xdr:to>
      <xdr:col>27</xdr:col>
      <xdr:colOff>257175</xdr:colOff>
      <xdr:row>74</xdr:row>
      <xdr:rowOff>190500</xdr:rowOff>
    </xdr:to>
    <xdr:graphicFrame macro="">
      <xdr:nvGraphicFramePr>
        <xdr:cNvPr id="677468" name="Chart 1">
          <a:extLst>
            <a:ext uri="{FF2B5EF4-FFF2-40B4-BE49-F238E27FC236}">
              <a16:creationId xmlns:a16="http://schemas.microsoft.com/office/drawing/2014/main" id="{00000000-0008-0000-0E00-00005C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19</xdr:col>
      <xdr:colOff>0</xdr:colOff>
      <xdr:row>77</xdr:row>
      <xdr:rowOff>0</xdr:rowOff>
    </xdr:from>
    <xdr:to>
      <xdr:col>27</xdr:col>
      <xdr:colOff>257175</xdr:colOff>
      <xdr:row>100</xdr:row>
      <xdr:rowOff>66675</xdr:rowOff>
    </xdr:to>
    <xdr:graphicFrame macro="">
      <xdr:nvGraphicFramePr>
        <xdr:cNvPr id="677469" name="Chart 1">
          <a:extLst>
            <a:ext uri="{FF2B5EF4-FFF2-40B4-BE49-F238E27FC236}">
              <a16:creationId xmlns:a16="http://schemas.microsoft.com/office/drawing/2014/main" id="{00000000-0008-0000-0E00-00005D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19</xdr:col>
      <xdr:colOff>0</xdr:colOff>
      <xdr:row>102</xdr:row>
      <xdr:rowOff>0</xdr:rowOff>
    </xdr:from>
    <xdr:to>
      <xdr:col>27</xdr:col>
      <xdr:colOff>257175</xdr:colOff>
      <xdr:row>126</xdr:row>
      <xdr:rowOff>104775</xdr:rowOff>
    </xdr:to>
    <xdr:graphicFrame macro="">
      <xdr:nvGraphicFramePr>
        <xdr:cNvPr id="677470" name="Chart 1">
          <a:extLst>
            <a:ext uri="{FF2B5EF4-FFF2-40B4-BE49-F238E27FC236}">
              <a16:creationId xmlns:a16="http://schemas.microsoft.com/office/drawing/2014/main" id="{00000000-0008-0000-0E00-00005E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19</xdr:col>
      <xdr:colOff>0</xdr:colOff>
      <xdr:row>128</xdr:row>
      <xdr:rowOff>0</xdr:rowOff>
    </xdr:from>
    <xdr:to>
      <xdr:col>27</xdr:col>
      <xdr:colOff>257175</xdr:colOff>
      <xdr:row>152</xdr:row>
      <xdr:rowOff>104775</xdr:rowOff>
    </xdr:to>
    <xdr:graphicFrame macro="">
      <xdr:nvGraphicFramePr>
        <xdr:cNvPr id="677471" name="Chart 1">
          <a:extLst>
            <a:ext uri="{FF2B5EF4-FFF2-40B4-BE49-F238E27FC236}">
              <a16:creationId xmlns:a16="http://schemas.microsoft.com/office/drawing/2014/main" id="{00000000-0008-0000-0E00-00005F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19</xdr:col>
      <xdr:colOff>0</xdr:colOff>
      <xdr:row>155</xdr:row>
      <xdr:rowOff>0</xdr:rowOff>
    </xdr:from>
    <xdr:to>
      <xdr:col>27</xdr:col>
      <xdr:colOff>257175</xdr:colOff>
      <xdr:row>179</xdr:row>
      <xdr:rowOff>104775</xdr:rowOff>
    </xdr:to>
    <xdr:graphicFrame macro="">
      <xdr:nvGraphicFramePr>
        <xdr:cNvPr id="677472" name="Chart 1">
          <a:extLst>
            <a:ext uri="{FF2B5EF4-FFF2-40B4-BE49-F238E27FC236}">
              <a16:creationId xmlns:a16="http://schemas.microsoft.com/office/drawing/2014/main" id="{00000000-0008-0000-0E00-000060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19</xdr:col>
      <xdr:colOff>0</xdr:colOff>
      <xdr:row>181</xdr:row>
      <xdr:rowOff>0</xdr:rowOff>
    </xdr:from>
    <xdr:to>
      <xdr:col>27</xdr:col>
      <xdr:colOff>257175</xdr:colOff>
      <xdr:row>205</xdr:row>
      <xdr:rowOff>104775</xdr:rowOff>
    </xdr:to>
    <xdr:graphicFrame macro="">
      <xdr:nvGraphicFramePr>
        <xdr:cNvPr id="677473" name="Chart 1">
          <a:extLst>
            <a:ext uri="{FF2B5EF4-FFF2-40B4-BE49-F238E27FC236}">
              <a16:creationId xmlns:a16="http://schemas.microsoft.com/office/drawing/2014/main" id="{00000000-0008-0000-0E00-000061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19</xdr:col>
      <xdr:colOff>0</xdr:colOff>
      <xdr:row>207</xdr:row>
      <xdr:rowOff>0</xdr:rowOff>
    </xdr:from>
    <xdr:to>
      <xdr:col>27</xdr:col>
      <xdr:colOff>257175</xdr:colOff>
      <xdr:row>231</xdr:row>
      <xdr:rowOff>104775</xdr:rowOff>
    </xdr:to>
    <xdr:graphicFrame macro="">
      <xdr:nvGraphicFramePr>
        <xdr:cNvPr id="677474" name="Chart 1">
          <a:extLst>
            <a:ext uri="{FF2B5EF4-FFF2-40B4-BE49-F238E27FC236}">
              <a16:creationId xmlns:a16="http://schemas.microsoft.com/office/drawing/2014/main" id="{00000000-0008-0000-0E00-000062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19</xdr:col>
      <xdr:colOff>0</xdr:colOff>
      <xdr:row>233</xdr:row>
      <xdr:rowOff>0</xdr:rowOff>
    </xdr:from>
    <xdr:to>
      <xdr:col>27</xdr:col>
      <xdr:colOff>257175</xdr:colOff>
      <xdr:row>257</xdr:row>
      <xdr:rowOff>104775</xdr:rowOff>
    </xdr:to>
    <xdr:graphicFrame macro="">
      <xdr:nvGraphicFramePr>
        <xdr:cNvPr id="677475" name="Chart 1">
          <a:extLst>
            <a:ext uri="{FF2B5EF4-FFF2-40B4-BE49-F238E27FC236}">
              <a16:creationId xmlns:a16="http://schemas.microsoft.com/office/drawing/2014/main" id="{00000000-0008-0000-0E00-000063560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258</xdr:row>
      <xdr:rowOff>0</xdr:rowOff>
    </xdr:from>
    <xdr:to>
      <xdr:col>9</xdr:col>
      <xdr:colOff>438150</xdr:colOff>
      <xdr:row>283</xdr:row>
      <xdr:rowOff>70757</xdr:rowOff>
    </xdr:to>
    <xdr:graphicFrame macro="">
      <xdr:nvGraphicFramePr>
        <xdr:cNvPr id="50" name="Chart 1">
          <a:extLst>
            <a:ext uri="{FF2B5EF4-FFF2-40B4-BE49-F238E27FC236}">
              <a16:creationId xmlns:a16="http://schemas.microsoft.com/office/drawing/2014/main" id="{00000000-0008-0000-0E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10</xdr:col>
      <xdr:colOff>0</xdr:colOff>
      <xdr:row>258</xdr:row>
      <xdr:rowOff>0</xdr:rowOff>
    </xdr:from>
    <xdr:to>
      <xdr:col>18</xdr:col>
      <xdr:colOff>438150</xdr:colOff>
      <xdr:row>283</xdr:row>
      <xdr:rowOff>146957</xdr:rowOff>
    </xdr:to>
    <xdr:graphicFrame macro="">
      <xdr:nvGraphicFramePr>
        <xdr:cNvPr id="51" name="Chart 1">
          <a:extLst>
            <a:ext uri="{FF2B5EF4-FFF2-40B4-BE49-F238E27FC236}">
              <a16:creationId xmlns:a16="http://schemas.microsoft.com/office/drawing/2014/main" id="{00000000-0008-0000-0E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19</xdr:col>
      <xdr:colOff>0</xdr:colOff>
      <xdr:row>260</xdr:row>
      <xdr:rowOff>13607</xdr:rowOff>
    </xdr:from>
    <xdr:to>
      <xdr:col>27</xdr:col>
      <xdr:colOff>257175</xdr:colOff>
      <xdr:row>284</xdr:row>
      <xdr:rowOff>118382</xdr:rowOff>
    </xdr:to>
    <xdr:graphicFrame macro="">
      <xdr:nvGraphicFramePr>
        <xdr:cNvPr id="52" name="Chart 1">
          <a:extLst>
            <a:ext uri="{FF2B5EF4-FFF2-40B4-BE49-F238E27FC236}">
              <a16:creationId xmlns:a16="http://schemas.microsoft.com/office/drawing/2014/main" id="{00000000-0008-0000-0E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285</xdr:row>
      <xdr:rowOff>0</xdr:rowOff>
    </xdr:from>
    <xdr:to>
      <xdr:col>9</xdr:col>
      <xdr:colOff>438150</xdr:colOff>
      <xdr:row>310</xdr:row>
      <xdr:rowOff>70757</xdr:rowOff>
    </xdr:to>
    <xdr:graphicFrame macro="">
      <xdr:nvGraphicFramePr>
        <xdr:cNvPr id="53" name="Chart 1">
          <a:extLst>
            <a:ext uri="{FF2B5EF4-FFF2-40B4-BE49-F238E27FC236}">
              <a16:creationId xmlns:a16="http://schemas.microsoft.com/office/drawing/2014/main" id="{00000000-0008-0000-0E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10</xdr:col>
      <xdr:colOff>0</xdr:colOff>
      <xdr:row>285</xdr:row>
      <xdr:rowOff>0</xdr:rowOff>
    </xdr:from>
    <xdr:to>
      <xdr:col>18</xdr:col>
      <xdr:colOff>438150</xdr:colOff>
      <xdr:row>310</xdr:row>
      <xdr:rowOff>146957</xdr:rowOff>
    </xdr:to>
    <xdr:graphicFrame macro="">
      <xdr:nvGraphicFramePr>
        <xdr:cNvPr id="54" name="Chart 1">
          <a:extLst>
            <a:ext uri="{FF2B5EF4-FFF2-40B4-BE49-F238E27FC236}">
              <a16:creationId xmlns:a16="http://schemas.microsoft.com/office/drawing/2014/main" id="{00000000-0008-0000-0E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19</xdr:col>
      <xdr:colOff>0</xdr:colOff>
      <xdr:row>287</xdr:row>
      <xdr:rowOff>13607</xdr:rowOff>
    </xdr:from>
    <xdr:to>
      <xdr:col>27</xdr:col>
      <xdr:colOff>257175</xdr:colOff>
      <xdr:row>311</xdr:row>
      <xdr:rowOff>118382</xdr:rowOff>
    </xdr:to>
    <xdr:graphicFrame macro="">
      <xdr:nvGraphicFramePr>
        <xdr:cNvPr id="55" name="Chart 1">
          <a:extLst>
            <a:ext uri="{FF2B5EF4-FFF2-40B4-BE49-F238E27FC236}">
              <a16:creationId xmlns:a16="http://schemas.microsoft.com/office/drawing/2014/main" id="{00000000-0008-0000-0E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312</xdr:row>
      <xdr:rowOff>0</xdr:rowOff>
    </xdr:from>
    <xdr:to>
      <xdr:col>9</xdr:col>
      <xdr:colOff>438150</xdr:colOff>
      <xdr:row>337</xdr:row>
      <xdr:rowOff>70757</xdr:rowOff>
    </xdr:to>
    <xdr:graphicFrame macro="">
      <xdr:nvGraphicFramePr>
        <xdr:cNvPr id="56" name="Chart 1">
          <a:extLst>
            <a:ext uri="{FF2B5EF4-FFF2-40B4-BE49-F238E27FC236}">
              <a16:creationId xmlns:a16="http://schemas.microsoft.com/office/drawing/2014/main" id="{00000000-0008-0000-0E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10</xdr:col>
      <xdr:colOff>0</xdr:colOff>
      <xdr:row>312</xdr:row>
      <xdr:rowOff>0</xdr:rowOff>
    </xdr:from>
    <xdr:to>
      <xdr:col>18</xdr:col>
      <xdr:colOff>438150</xdr:colOff>
      <xdr:row>337</xdr:row>
      <xdr:rowOff>146957</xdr:rowOff>
    </xdr:to>
    <xdr:graphicFrame macro="">
      <xdr:nvGraphicFramePr>
        <xdr:cNvPr id="57" name="Chart 1">
          <a:extLst>
            <a:ext uri="{FF2B5EF4-FFF2-40B4-BE49-F238E27FC236}">
              <a16:creationId xmlns:a16="http://schemas.microsoft.com/office/drawing/2014/main" id="{00000000-0008-0000-0E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19</xdr:col>
      <xdr:colOff>0</xdr:colOff>
      <xdr:row>314</xdr:row>
      <xdr:rowOff>13607</xdr:rowOff>
    </xdr:from>
    <xdr:to>
      <xdr:col>27</xdr:col>
      <xdr:colOff>257175</xdr:colOff>
      <xdr:row>338</xdr:row>
      <xdr:rowOff>118382</xdr:rowOff>
    </xdr:to>
    <xdr:graphicFrame macro="">
      <xdr:nvGraphicFramePr>
        <xdr:cNvPr id="58" name="Chart 1">
          <a:extLst>
            <a:ext uri="{FF2B5EF4-FFF2-40B4-BE49-F238E27FC236}">
              <a16:creationId xmlns:a16="http://schemas.microsoft.com/office/drawing/2014/main" id="{00000000-0008-0000-0E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339</xdr:row>
      <xdr:rowOff>0</xdr:rowOff>
    </xdr:from>
    <xdr:to>
      <xdr:col>9</xdr:col>
      <xdr:colOff>438150</xdr:colOff>
      <xdr:row>364</xdr:row>
      <xdr:rowOff>70757</xdr:rowOff>
    </xdr:to>
    <xdr:graphicFrame macro="">
      <xdr:nvGraphicFramePr>
        <xdr:cNvPr id="59" name="Chart 1">
          <a:extLst>
            <a:ext uri="{FF2B5EF4-FFF2-40B4-BE49-F238E27FC236}">
              <a16:creationId xmlns:a16="http://schemas.microsoft.com/office/drawing/2014/main" id="{00000000-0008-0000-0E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10</xdr:col>
      <xdr:colOff>0</xdr:colOff>
      <xdr:row>339</xdr:row>
      <xdr:rowOff>0</xdr:rowOff>
    </xdr:from>
    <xdr:to>
      <xdr:col>18</xdr:col>
      <xdr:colOff>438150</xdr:colOff>
      <xdr:row>364</xdr:row>
      <xdr:rowOff>146957</xdr:rowOff>
    </xdr:to>
    <xdr:graphicFrame macro="">
      <xdr:nvGraphicFramePr>
        <xdr:cNvPr id="60" name="Chart 1">
          <a:extLst>
            <a:ext uri="{FF2B5EF4-FFF2-40B4-BE49-F238E27FC236}">
              <a16:creationId xmlns:a16="http://schemas.microsoft.com/office/drawing/2014/main" id="{00000000-0008-0000-0E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19</xdr:col>
      <xdr:colOff>0</xdr:colOff>
      <xdr:row>341</xdr:row>
      <xdr:rowOff>13607</xdr:rowOff>
    </xdr:from>
    <xdr:to>
      <xdr:col>27</xdr:col>
      <xdr:colOff>257175</xdr:colOff>
      <xdr:row>365</xdr:row>
      <xdr:rowOff>118382</xdr:rowOff>
    </xdr:to>
    <xdr:graphicFrame macro="">
      <xdr:nvGraphicFramePr>
        <xdr:cNvPr id="61" name="Chart 1">
          <a:extLst>
            <a:ext uri="{FF2B5EF4-FFF2-40B4-BE49-F238E27FC236}">
              <a16:creationId xmlns:a16="http://schemas.microsoft.com/office/drawing/2014/main" id="{00000000-0008-0000-0E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366</xdr:row>
      <xdr:rowOff>0</xdr:rowOff>
    </xdr:from>
    <xdr:to>
      <xdr:col>9</xdr:col>
      <xdr:colOff>438150</xdr:colOff>
      <xdr:row>391</xdr:row>
      <xdr:rowOff>70757</xdr:rowOff>
    </xdr:to>
    <xdr:graphicFrame macro="">
      <xdr:nvGraphicFramePr>
        <xdr:cNvPr id="62" name="Chart 1">
          <a:extLst>
            <a:ext uri="{FF2B5EF4-FFF2-40B4-BE49-F238E27FC236}">
              <a16:creationId xmlns:a16="http://schemas.microsoft.com/office/drawing/2014/main" id="{00000000-0008-0000-0E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10</xdr:col>
      <xdr:colOff>0</xdr:colOff>
      <xdr:row>366</xdr:row>
      <xdr:rowOff>0</xdr:rowOff>
    </xdr:from>
    <xdr:to>
      <xdr:col>18</xdr:col>
      <xdr:colOff>438150</xdr:colOff>
      <xdr:row>391</xdr:row>
      <xdr:rowOff>146957</xdr:rowOff>
    </xdr:to>
    <xdr:graphicFrame macro="">
      <xdr:nvGraphicFramePr>
        <xdr:cNvPr id="63" name="Chart 1">
          <a:extLst>
            <a:ext uri="{FF2B5EF4-FFF2-40B4-BE49-F238E27FC236}">
              <a16:creationId xmlns:a16="http://schemas.microsoft.com/office/drawing/2014/main" id="{00000000-0008-0000-0E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19</xdr:col>
      <xdr:colOff>0</xdr:colOff>
      <xdr:row>368</xdr:row>
      <xdr:rowOff>13607</xdr:rowOff>
    </xdr:from>
    <xdr:to>
      <xdr:col>27</xdr:col>
      <xdr:colOff>257175</xdr:colOff>
      <xdr:row>392</xdr:row>
      <xdr:rowOff>118382</xdr:rowOff>
    </xdr:to>
    <xdr:graphicFrame macro="">
      <xdr:nvGraphicFramePr>
        <xdr:cNvPr id="64" name="Chart 1">
          <a:extLst>
            <a:ext uri="{FF2B5EF4-FFF2-40B4-BE49-F238E27FC236}">
              <a16:creationId xmlns:a16="http://schemas.microsoft.com/office/drawing/2014/main" id="{00000000-0008-0000-0E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393</xdr:row>
      <xdr:rowOff>0</xdr:rowOff>
    </xdr:from>
    <xdr:to>
      <xdr:col>9</xdr:col>
      <xdr:colOff>438150</xdr:colOff>
      <xdr:row>418</xdr:row>
      <xdr:rowOff>70757</xdr:rowOff>
    </xdr:to>
    <xdr:graphicFrame macro="">
      <xdr:nvGraphicFramePr>
        <xdr:cNvPr id="65" name="Chart 1">
          <a:extLst>
            <a:ext uri="{FF2B5EF4-FFF2-40B4-BE49-F238E27FC236}">
              <a16:creationId xmlns:a16="http://schemas.microsoft.com/office/drawing/2014/main" id="{00000000-0008-0000-0E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10</xdr:col>
      <xdr:colOff>0</xdr:colOff>
      <xdr:row>393</xdr:row>
      <xdr:rowOff>0</xdr:rowOff>
    </xdr:from>
    <xdr:to>
      <xdr:col>18</xdr:col>
      <xdr:colOff>438150</xdr:colOff>
      <xdr:row>418</xdr:row>
      <xdr:rowOff>146957</xdr:rowOff>
    </xdr:to>
    <xdr:graphicFrame macro="">
      <xdr:nvGraphicFramePr>
        <xdr:cNvPr id="66" name="Chart 1">
          <a:extLst>
            <a:ext uri="{FF2B5EF4-FFF2-40B4-BE49-F238E27FC236}">
              <a16:creationId xmlns:a16="http://schemas.microsoft.com/office/drawing/2014/main" id="{00000000-0008-0000-0E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19</xdr:col>
      <xdr:colOff>0</xdr:colOff>
      <xdr:row>395</xdr:row>
      <xdr:rowOff>13607</xdr:rowOff>
    </xdr:from>
    <xdr:to>
      <xdr:col>27</xdr:col>
      <xdr:colOff>257175</xdr:colOff>
      <xdr:row>419</xdr:row>
      <xdr:rowOff>118382</xdr:rowOff>
    </xdr:to>
    <xdr:graphicFrame macro="">
      <xdr:nvGraphicFramePr>
        <xdr:cNvPr id="67" name="Chart 1">
          <a:extLst>
            <a:ext uri="{FF2B5EF4-FFF2-40B4-BE49-F238E27FC236}">
              <a16:creationId xmlns:a16="http://schemas.microsoft.com/office/drawing/2014/main" id="{00000000-0008-0000-0E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19050</xdr:rowOff>
        </xdr:from>
        <xdr:to>
          <xdr:col>9</xdr:col>
          <xdr:colOff>9525</xdr:colOff>
          <xdr:row>3</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0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ctl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13</xdr:col>
      <xdr:colOff>11906</xdr:colOff>
      <xdr:row>37</xdr:row>
      <xdr:rowOff>0</xdr:rowOff>
    </xdr:from>
    <xdr:to>
      <xdr:col>17</xdr:col>
      <xdr:colOff>47625</xdr:colOff>
      <xdr:row>51</xdr:row>
      <xdr:rowOff>0</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8393906" y="6393656"/>
          <a:ext cx="2464594" cy="24050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a:solidFill>
                <a:srgbClr val="FF0000"/>
              </a:solidFill>
            </a:rPr>
            <a:t>*</a:t>
          </a:r>
        </a:p>
        <a:p>
          <a:r>
            <a:rPr lang="en-CA" sz="1100" b="1">
              <a:solidFill>
                <a:srgbClr val="FF0000"/>
              </a:solidFill>
            </a:rPr>
            <a:t>Note that the tables of velocity ratios (Rows</a:t>
          </a:r>
          <a:r>
            <a:rPr lang="en-CA" sz="1100" b="1" baseline="0">
              <a:solidFill>
                <a:srgbClr val="FF0000"/>
              </a:solidFill>
            </a:rPr>
            <a:t> 28 and  up) are  ratios t o 60". </a:t>
          </a:r>
        </a:p>
        <a:p>
          <a:endParaRPr lang="en-CA" sz="1100" b="1" baseline="0">
            <a:solidFill>
              <a:srgbClr val="FF0000"/>
            </a:solidFill>
          </a:endParaRPr>
        </a:p>
        <a:p>
          <a:r>
            <a:rPr lang="en-CA" sz="1100" b="1" baseline="0">
              <a:solidFill>
                <a:srgbClr val="FF0000"/>
              </a:solidFill>
            </a:rPr>
            <a:t>The looked up values are consistent with these.  It is tonly he final "at Height of Interest" values that are adjusted for a different pitot height. (i.e., divided by the ratios in Row 63).</a:t>
          </a:r>
        </a:p>
        <a:p>
          <a:endParaRPr lang="en-CA" sz="1100" b="1" baseline="0">
            <a:solidFill>
              <a:srgbClr val="FF0000"/>
            </a:solidFill>
          </a:endParaRPr>
        </a:p>
        <a:p>
          <a:r>
            <a:rPr lang="en-CA" sz="1100" b="1" baseline="0">
              <a:solidFill>
                <a:srgbClr val="FF0000"/>
              </a:solidFill>
            </a:rPr>
            <a:t>JJG - April 22, 2015</a:t>
          </a:r>
          <a:endParaRPr lang="en-CA"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wdidemo-my.sharepoint.com/F11TECHDEV/600southgate/commissioning/A24Data/Cobra/NewFloor/Final/esduexport_vbates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X:\DevProjects\ESDUView\Dev\excelIntegration\02-edoxFinalFormat\MetVersion\E0108v20_final.ESDUView.M1.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rwdidemo-my.sharepoint.com/DevProjects/ESDUView/Dev/excelIntegration/02-edoxFinalFormat/MetVersion/E0108v20_final.ESDUView.M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DUView"/>
      <sheetName val="RWDI_FACTORS"/>
      <sheetName val="Export Old Projects"/>
      <sheetName val="Sheet1"/>
      <sheetName val="Sheet2"/>
      <sheetName val="Sheet3"/>
    </sheetNames>
    <sheetDataSet>
      <sheetData sheetId="0">
        <row r="1">
          <cell r="D1">
            <v>1234567</v>
          </cell>
        </row>
        <row r="2">
          <cell r="D2" t="str">
            <v>TestTest</v>
          </cell>
        </row>
        <row r="6">
          <cell r="D6" t="str">
            <v>C:\Users\BGEE\Downloads\TestTest_1234567.edox</v>
          </cell>
        </row>
      </sheetData>
      <sheetData sheetId="1">
        <row r="12">
          <cell r="M12">
            <v>0</v>
          </cell>
        </row>
        <row r="14">
          <cell r="M14">
            <v>0</v>
          </cell>
        </row>
      </sheetData>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rain roughness"/>
      <sheetName val="Reference Site"/>
      <sheetName val="Ref. Site topography"/>
      <sheetName val="ESDUView"/>
      <sheetName val="Target Site"/>
      <sheetName val="Target Site topography"/>
      <sheetName val="Wind speed"/>
      <sheetName val="Wind Speed Correction Factors"/>
      <sheetName val="Fourier Approx Calc"/>
      <sheetName val="Flow deviations"/>
      <sheetName val="u-component turbulence"/>
      <sheetName val="v-component turbulence"/>
      <sheetName val="w-component turbulence"/>
      <sheetName val="Spectral densities"/>
      <sheetName val="Module1"/>
      <sheetName val="Module2"/>
      <sheetName val="Module3"/>
      <sheetName val="Module4"/>
      <sheetName val="Module5"/>
      <sheetName val="REVISIONS"/>
    </sheetNames>
    <sheetDataSet>
      <sheetData sheetId="0"/>
      <sheetData sheetId="1"/>
      <sheetData sheetId="2"/>
      <sheetData sheetId="3"/>
      <sheetData sheetId="4">
        <row r="1">
          <cell r="H1" t="str">
            <v xml:space="preserve">, </v>
          </cell>
        </row>
        <row r="2">
          <cell r="H2">
            <v>0</v>
          </cell>
        </row>
      </sheetData>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rrain roughness"/>
      <sheetName val="Reference Site"/>
      <sheetName val="Ref. Site topography"/>
      <sheetName val="ESDUView"/>
      <sheetName val="Target Site"/>
      <sheetName val="Target Site topography"/>
      <sheetName val="Wind speed"/>
      <sheetName val="Wind Speed Correction Factors"/>
      <sheetName val="Fourier Approx Calc"/>
      <sheetName val="Flow deviations"/>
      <sheetName val="u-component turbulence"/>
      <sheetName val="v-component turbulence"/>
      <sheetName val="w-component turbulence"/>
      <sheetName val="Spectral densities"/>
      <sheetName val="Module1"/>
      <sheetName val="Module2"/>
      <sheetName val="Module3"/>
      <sheetName val="Module4"/>
      <sheetName val="Module5"/>
      <sheetName val="REVISIONS"/>
    </sheetNames>
    <sheetDataSet>
      <sheetData sheetId="0"/>
      <sheetData sheetId="1"/>
      <sheetData sheetId="2"/>
      <sheetData sheetId="3"/>
      <sheetData sheetId="4">
        <row r="1">
          <cell r="H1" t="str">
            <v xml:space="preserve">, </v>
          </cell>
        </row>
        <row r="2">
          <cell r="H2">
            <v>0</v>
          </cell>
        </row>
      </sheetData>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4.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51" Type="http://schemas.openxmlformats.org/officeDocument/2006/relationships/ctrlProp" Target="../ctrlProps/ctrlProp4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18" Type="http://schemas.openxmlformats.org/officeDocument/2006/relationships/ctrlProp" Target="../ctrlProps/ctrlProp65.xml"/><Relationship Id="rId26" Type="http://schemas.openxmlformats.org/officeDocument/2006/relationships/ctrlProp" Target="../ctrlProps/ctrlProp73.xml"/><Relationship Id="rId39" Type="http://schemas.openxmlformats.org/officeDocument/2006/relationships/ctrlProp" Target="../ctrlProps/ctrlProp86.xml"/><Relationship Id="rId3" Type="http://schemas.openxmlformats.org/officeDocument/2006/relationships/vmlDrawing" Target="../drawings/vmlDrawing4.vml"/><Relationship Id="rId21" Type="http://schemas.openxmlformats.org/officeDocument/2006/relationships/ctrlProp" Target="../ctrlProps/ctrlProp68.xml"/><Relationship Id="rId34" Type="http://schemas.openxmlformats.org/officeDocument/2006/relationships/ctrlProp" Target="../ctrlProps/ctrlProp81.xml"/><Relationship Id="rId42" Type="http://schemas.openxmlformats.org/officeDocument/2006/relationships/ctrlProp" Target="../ctrlProps/ctrlProp89.xml"/><Relationship Id="rId7" Type="http://schemas.openxmlformats.org/officeDocument/2006/relationships/ctrlProp" Target="../ctrlProps/ctrlProp54.xml"/><Relationship Id="rId12" Type="http://schemas.openxmlformats.org/officeDocument/2006/relationships/ctrlProp" Target="../ctrlProps/ctrlProp59.xml"/><Relationship Id="rId17" Type="http://schemas.openxmlformats.org/officeDocument/2006/relationships/ctrlProp" Target="../ctrlProps/ctrlProp64.xml"/><Relationship Id="rId25" Type="http://schemas.openxmlformats.org/officeDocument/2006/relationships/ctrlProp" Target="../ctrlProps/ctrlProp72.xml"/><Relationship Id="rId33" Type="http://schemas.openxmlformats.org/officeDocument/2006/relationships/ctrlProp" Target="../ctrlProps/ctrlProp80.xml"/><Relationship Id="rId38" Type="http://schemas.openxmlformats.org/officeDocument/2006/relationships/ctrlProp" Target="../ctrlProps/ctrlProp85.xml"/><Relationship Id="rId46" Type="http://schemas.openxmlformats.org/officeDocument/2006/relationships/comments" Target="../comments3.xml"/><Relationship Id="rId2" Type="http://schemas.openxmlformats.org/officeDocument/2006/relationships/drawing" Target="../drawings/drawing6.xml"/><Relationship Id="rId16" Type="http://schemas.openxmlformats.org/officeDocument/2006/relationships/ctrlProp" Target="../ctrlProps/ctrlProp63.xml"/><Relationship Id="rId20" Type="http://schemas.openxmlformats.org/officeDocument/2006/relationships/ctrlProp" Target="../ctrlProps/ctrlProp67.xml"/><Relationship Id="rId29" Type="http://schemas.openxmlformats.org/officeDocument/2006/relationships/ctrlProp" Target="../ctrlProps/ctrlProp76.xml"/><Relationship Id="rId41"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53.xml"/><Relationship Id="rId11" Type="http://schemas.openxmlformats.org/officeDocument/2006/relationships/ctrlProp" Target="../ctrlProps/ctrlProp58.xml"/><Relationship Id="rId24" Type="http://schemas.openxmlformats.org/officeDocument/2006/relationships/ctrlProp" Target="../ctrlProps/ctrlProp71.xml"/><Relationship Id="rId32" Type="http://schemas.openxmlformats.org/officeDocument/2006/relationships/ctrlProp" Target="../ctrlProps/ctrlProp79.xml"/><Relationship Id="rId37" Type="http://schemas.openxmlformats.org/officeDocument/2006/relationships/ctrlProp" Target="../ctrlProps/ctrlProp84.xml"/><Relationship Id="rId40" Type="http://schemas.openxmlformats.org/officeDocument/2006/relationships/ctrlProp" Target="../ctrlProps/ctrlProp87.xml"/><Relationship Id="rId45" Type="http://schemas.openxmlformats.org/officeDocument/2006/relationships/ctrlProp" Target="../ctrlProps/ctrlProp92.xml"/><Relationship Id="rId5" Type="http://schemas.openxmlformats.org/officeDocument/2006/relationships/ctrlProp" Target="../ctrlProps/ctrlProp52.xml"/><Relationship Id="rId15" Type="http://schemas.openxmlformats.org/officeDocument/2006/relationships/ctrlProp" Target="../ctrlProps/ctrlProp62.xml"/><Relationship Id="rId23" Type="http://schemas.openxmlformats.org/officeDocument/2006/relationships/ctrlProp" Target="../ctrlProps/ctrlProp70.xml"/><Relationship Id="rId28" Type="http://schemas.openxmlformats.org/officeDocument/2006/relationships/ctrlProp" Target="../ctrlProps/ctrlProp75.xml"/><Relationship Id="rId36" Type="http://schemas.openxmlformats.org/officeDocument/2006/relationships/ctrlProp" Target="../ctrlProps/ctrlProp83.xml"/><Relationship Id="rId10" Type="http://schemas.openxmlformats.org/officeDocument/2006/relationships/ctrlProp" Target="../ctrlProps/ctrlProp57.xml"/><Relationship Id="rId19" Type="http://schemas.openxmlformats.org/officeDocument/2006/relationships/ctrlProp" Target="../ctrlProps/ctrlProp66.xml"/><Relationship Id="rId31" Type="http://schemas.openxmlformats.org/officeDocument/2006/relationships/ctrlProp" Target="../ctrlProps/ctrlProp78.xml"/><Relationship Id="rId44" Type="http://schemas.openxmlformats.org/officeDocument/2006/relationships/ctrlProp" Target="../ctrlProps/ctrlProp91.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 Id="rId22" Type="http://schemas.openxmlformats.org/officeDocument/2006/relationships/ctrlProp" Target="../ctrlProps/ctrlProp69.xml"/><Relationship Id="rId27" Type="http://schemas.openxmlformats.org/officeDocument/2006/relationships/ctrlProp" Target="../ctrlProps/ctrlProp74.xml"/><Relationship Id="rId30" Type="http://schemas.openxmlformats.org/officeDocument/2006/relationships/ctrlProp" Target="../ctrlProps/ctrlProp77.xml"/><Relationship Id="rId35" Type="http://schemas.openxmlformats.org/officeDocument/2006/relationships/ctrlProp" Target="../ctrlProps/ctrlProp82.xml"/><Relationship Id="rId43" Type="http://schemas.openxmlformats.org/officeDocument/2006/relationships/ctrlProp" Target="../ctrlProps/ctrlProp9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9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7.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trlProp" Target="../ctrlProps/ctrlProp9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Q25"/>
  <sheetViews>
    <sheetView workbookViewId="0"/>
  </sheetViews>
  <sheetFormatPr defaultRowHeight="12.75" x14ac:dyDescent="0.2"/>
  <cols>
    <col min="1" max="1" width="16.140625" bestFit="1" customWidth="1"/>
    <col min="3" max="4" width="17.7109375" style="175" customWidth="1"/>
    <col min="5" max="6" width="18" style="175" customWidth="1"/>
    <col min="7" max="7" width="17.7109375" style="175" customWidth="1"/>
    <col min="9" max="10" width="9.140625" style="84" customWidth="1"/>
    <col min="17" max="17" width="9.7109375" customWidth="1"/>
  </cols>
  <sheetData>
    <row r="1" spans="1:17" ht="14.25" x14ac:dyDescent="0.25">
      <c r="A1" s="200" t="s">
        <v>143</v>
      </c>
      <c r="B1" s="230"/>
      <c r="C1" s="231"/>
      <c r="D1" s="231"/>
      <c r="E1" s="231"/>
      <c r="F1" s="231"/>
      <c r="G1" s="232"/>
      <c r="H1" s="183"/>
    </row>
    <row r="2" spans="1:17" ht="15.75" x14ac:dyDescent="0.3">
      <c r="A2" s="233" t="s">
        <v>175</v>
      </c>
      <c r="B2" s="229"/>
      <c r="C2" s="234"/>
      <c r="D2" s="235"/>
      <c r="E2" s="235"/>
      <c r="F2" s="235"/>
      <c r="G2" s="236"/>
      <c r="H2" s="183"/>
    </row>
    <row r="3" spans="1:17" x14ac:dyDescent="0.2">
      <c r="A3" s="187"/>
      <c r="B3" s="229"/>
      <c r="C3" s="235"/>
      <c r="D3" s="235"/>
      <c r="E3" s="235"/>
      <c r="F3" s="235"/>
      <c r="G3" s="236"/>
      <c r="H3" s="183"/>
    </row>
    <row r="4" spans="1:17" x14ac:dyDescent="0.2">
      <c r="A4" s="198" t="s">
        <v>101</v>
      </c>
      <c r="B4" s="184"/>
      <c r="C4" s="176" t="s">
        <v>103</v>
      </c>
      <c r="D4" s="176" t="s">
        <v>108</v>
      </c>
      <c r="E4" s="176" t="s">
        <v>109</v>
      </c>
      <c r="F4" s="176" t="s">
        <v>110</v>
      </c>
      <c r="G4" s="176"/>
      <c r="H4" s="183"/>
      <c r="K4" s="84"/>
      <c r="L4" s="84"/>
    </row>
    <row r="5" spans="1:17" x14ac:dyDescent="0.2">
      <c r="A5" s="181"/>
      <c r="B5" s="185"/>
      <c r="C5" s="178" t="s">
        <v>107</v>
      </c>
      <c r="D5" s="178"/>
      <c r="E5" s="178"/>
      <c r="F5" s="178"/>
      <c r="G5" s="178"/>
      <c r="H5" s="183"/>
    </row>
    <row r="6" spans="1:17" x14ac:dyDescent="0.2">
      <c r="A6" s="182"/>
      <c r="B6" s="179" t="s">
        <v>123</v>
      </c>
      <c r="C6" s="179">
        <v>0.7</v>
      </c>
      <c r="D6" s="179">
        <v>0.5</v>
      </c>
      <c r="E6" s="179">
        <v>0.3</v>
      </c>
      <c r="F6" s="179">
        <v>0.03</v>
      </c>
      <c r="G6" s="177"/>
      <c r="H6" s="183"/>
    </row>
    <row r="7" spans="1:17" x14ac:dyDescent="0.2">
      <c r="A7" s="199" t="s">
        <v>102</v>
      </c>
      <c r="B7" s="184"/>
      <c r="C7" s="176" t="s">
        <v>141</v>
      </c>
      <c r="D7" s="189" t="s">
        <v>111</v>
      </c>
      <c r="E7" s="176"/>
      <c r="F7" s="176"/>
      <c r="G7" s="176"/>
      <c r="H7" s="183"/>
    </row>
    <row r="8" spans="1:17" x14ac:dyDescent="0.2">
      <c r="A8" s="181"/>
      <c r="B8" s="185"/>
      <c r="C8" s="178" t="s">
        <v>142</v>
      </c>
      <c r="D8" s="192"/>
      <c r="E8" s="178"/>
      <c r="F8" s="178"/>
      <c r="G8" s="178"/>
      <c r="H8" s="183"/>
    </row>
    <row r="9" spans="1:17" x14ac:dyDescent="0.2">
      <c r="A9" s="182"/>
      <c r="B9" s="179" t="s">
        <v>123</v>
      </c>
      <c r="C9" s="179">
        <v>1</v>
      </c>
      <c r="D9" s="188">
        <v>0.5</v>
      </c>
      <c r="E9" s="177"/>
      <c r="F9" s="177"/>
      <c r="G9" s="177"/>
      <c r="H9" s="183"/>
    </row>
    <row r="10" spans="1:17" x14ac:dyDescent="0.2">
      <c r="A10" s="199" t="s">
        <v>104</v>
      </c>
      <c r="B10" s="184"/>
      <c r="C10" s="176" t="s">
        <v>105</v>
      </c>
      <c r="D10" s="176" t="s">
        <v>112</v>
      </c>
      <c r="E10" s="176" t="s">
        <v>114</v>
      </c>
      <c r="F10" s="176" t="s">
        <v>114</v>
      </c>
      <c r="G10" s="176" t="s">
        <v>118</v>
      </c>
      <c r="H10" s="183"/>
    </row>
    <row r="11" spans="1:17" ht="14.25" x14ac:dyDescent="0.25">
      <c r="A11" s="181"/>
      <c r="B11" s="185"/>
      <c r="C11" s="178" t="s">
        <v>106</v>
      </c>
      <c r="D11" s="178" t="s">
        <v>113</v>
      </c>
      <c r="E11" s="178" t="s">
        <v>115</v>
      </c>
      <c r="F11" s="178" t="s">
        <v>116</v>
      </c>
      <c r="G11" s="178" t="s">
        <v>119</v>
      </c>
      <c r="H11" s="183"/>
      <c r="I11" s="237" t="s">
        <v>156</v>
      </c>
      <c r="J11" s="238"/>
      <c r="K11" s="238"/>
      <c r="L11" s="238"/>
      <c r="M11" s="4"/>
      <c r="N11" s="238"/>
      <c r="O11" s="238"/>
      <c r="P11" s="238"/>
      <c r="Q11" s="239"/>
    </row>
    <row r="12" spans="1:17" ht="15.75" x14ac:dyDescent="0.3">
      <c r="A12" s="182"/>
      <c r="B12" s="179" t="s">
        <v>123</v>
      </c>
      <c r="C12" s="180" t="s">
        <v>117</v>
      </c>
      <c r="D12" s="179">
        <v>0.08</v>
      </c>
      <c r="E12" s="179">
        <v>0.05</v>
      </c>
      <c r="F12" s="179">
        <v>0.01</v>
      </c>
      <c r="G12" s="179">
        <v>0.03</v>
      </c>
      <c r="H12" s="183"/>
      <c r="I12" s="240" t="s">
        <v>176</v>
      </c>
      <c r="J12" s="3"/>
      <c r="K12" s="3"/>
      <c r="L12" s="3"/>
      <c r="M12" s="4"/>
      <c r="N12" s="4" t="s">
        <v>162</v>
      </c>
      <c r="O12" s="3"/>
      <c r="P12" s="3"/>
      <c r="Q12" s="241"/>
    </row>
    <row r="13" spans="1:17" ht="15.75" x14ac:dyDescent="0.3">
      <c r="A13" s="199" t="s">
        <v>120</v>
      </c>
      <c r="B13" s="186"/>
      <c r="C13" s="176" t="s">
        <v>127</v>
      </c>
      <c r="D13" s="176" t="s">
        <v>128</v>
      </c>
      <c r="E13" s="176" t="s">
        <v>122</v>
      </c>
      <c r="F13" s="176" t="s">
        <v>129</v>
      </c>
      <c r="G13" s="176"/>
      <c r="H13" s="183"/>
      <c r="I13" s="242" t="s">
        <v>154</v>
      </c>
      <c r="J13" s="96"/>
      <c r="K13" s="96"/>
      <c r="L13" s="97"/>
      <c r="M13" s="243" t="s">
        <v>155</v>
      </c>
      <c r="N13" s="96"/>
      <c r="O13" s="96"/>
      <c r="P13" s="97"/>
      <c r="Q13" s="241"/>
    </row>
    <row r="14" spans="1:17" ht="15.75" x14ac:dyDescent="0.3">
      <c r="A14" s="181"/>
      <c r="B14" s="187"/>
      <c r="C14" s="178"/>
      <c r="D14" s="178"/>
      <c r="E14" s="178" t="s">
        <v>121</v>
      </c>
      <c r="F14" s="178"/>
      <c r="G14" s="178"/>
      <c r="H14" s="183"/>
      <c r="I14" s="112" t="s">
        <v>163</v>
      </c>
      <c r="J14" s="112" t="s">
        <v>164</v>
      </c>
      <c r="K14" s="112" t="s">
        <v>165</v>
      </c>
      <c r="L14" s="112" t="s">
        <v>166</v>
      </c>
      <c r="M14" s="112" t="s">
        <v>167</v>
      </c>
      <c r="N14" s="112" t="s">
        <v>168</v>
      </c>
      <c r="O14" s="112" t="s">
        <v>169</v>
      </c>
      <c r="P14" s="112" t="s">
        <v>170</v>
      </c>
      <c r="Q14" s="244" t="s">
        <v>153</v>
      </c>
    </row>
    <row r="15" spans="1:17" x14ac:dyDescent="0.2">
      <c r="A15" s="182"/>
      <c r="B15" s="188" t="s">
        <v>123</v>
      </c>
      <c r="C15" s="179">
        <v>0.05</v>
      </c>
      <c r="D15" s="179">
        <v>0.02</v>
      </c>
      <c r="E15" s="179">
        <v>0.01</v>
      </c>
      <c r="F15" s="179">
        <v>6.0000000000000001E-3</v>
      </c>
      <c r="G15" s="177"/>
      <c r="H15" s="183"/>
      <c r="I15" s="112">
        <v>0.02</v>
      </c>
      <c r="J15" s="112">
        <v>0.3</v>
      </c>
      <c r="K15" s="112"/>
      <c r="L15" s="112"/>
      <c r="M15" s="112">
        <v>1</v>
      </c>
      <c r="N15" s="112">
        <f t="shared" ref="N15:N24" si="0">1-M15</f>
        <v>0</v>
      </c>
      <c r="O15" s="112"/>
      <c r="P15" s="112"/>
      <c r="Q15" s="245">
        <v>0.02</v>
      </c>
    </row>
    <row r="16" spans="1:17" x14ac:dyDescent="0.2">
      <c r="A16" s="199" t="s">
        <v>124</v>
      </c>
      <c r="B16" s="184"/>
      <c r="C16" s="176" t="s">
        <v>125</v>
      </c>
      <c r="D16" s="176" t="s">
        <v>130</v>
      </c>
      <c r="E16" s="176"/>
      <c r="F16" s="176"/>
      <c r="G16" s="176"/>
      <c r="H16" s="183"/>
      <c r="M16" s="112">
        <v>0</v>
      </c>
      <c r="N16" s="112">
        <f t="shared" si="0"/>
        <v>1</v>
      </c>
      <c r="O16" s="112"/>
      <c r="P16" s="112"/>
      <c r="Q16" s="245">
        <v>0.29999865879104165</v>
      </c>
    </row>
    <row r="17" spans="1:17" x14ac:dyDescent="0.2">
      <c r="A17" s="185"/>
      <c r="B17" s="185"/>
      <c r="C17" s="178" t="s">
        <v>126</v>
      </c>
      <c r="D17" s="178" t="s">
        <v>121</v>
      </c>
      <c r="E17" s="178"/>
      <c r="F17" s="178"/>
      <c r="G17" s="178"/>
      <c r="H17" s="183"/>
      <c r="M17" s="112">
        <v>0.1</v>
      </c>
      <c r="N17" s="112">
        <f t="shared" si="0"/>
        <v>0.9</v>
      </c>
      <c r="O17" s="112"/>
      <c r="P17" s="112"/>
      <c r="Q17" s="245">
        <v>0.24349295098762561</v>
      </c>
    </row>
    <row r="18" spans="1:17" x14ac:dyDescent="0.2">
      <c r="A18" s="190"/>
      <c r="B18" s="188" t="s">
        <v>123</v>
      </c>
      <c r="C18" s="179">
        <v>6.0000000000000001E-3</v>
      </c>
      <c r="D18" s="179">
        <v>1E-4</v>
      </c>
      <c r="E18" s="177"/>
      <c r="F18" s="177"/>
      <c r="G18" s="177"/>
      <c r="H18" s="183"/>
      <c r="M18" s="112">
        <v>0.2</v>
      </c>
      <c r="N18" s="112">
        <f t="shared" si="0"/>
        <v>0.8</v>
      </c>
      <c r="O18" s="112"/>
      <c r="P18" s="112"/>
      <c r="Q18" s="245">
        <v>0.19554190748614436</v>
      </c>
    </row>
    <row r="19" spans="1:17" x14ac:dyDescent="0.2">
      <c r="A19" s="198" t="s">
        <v>131</v>
      </c>
      <c r="B19" s="229"/>
      <c r="C19" s="189" t="s">
        <v>132</v>
      </c>
      <c r="D19" s="191"/>
      <c r="E19" s="176"/>
      <c r="F19" s="176"/>
      <c r="G19" s="176"/>
      <c r="H19" s="183"/>
      <c r="M19" s="112">
        <v>0.3</v>
      </c>
      <c r="N19" s="112">
        <f t="shared" si="0"/>
        <v>0.7</v>
      </c>
      <c r="O19" s="112"/>
      <c r="P19" s="112"/>
      <c r="Q19" s="245">
        <v>0.15522957944875282</v>
      </c>
    </row>
    <row r="20" spans="1:17" x14ac:dyDescent="0.2">
      <c r="A20" s="190"/>
      <c r="B20" s="188" t="s">
        <v>123</v>
      </c>
      <c r="C20" s="195">
        <v>5.0000000000000001E-3</v>
      </c>
      <c r="D20" s="193"/>
      <c r="E20" s="178"/>
      <c r="F20" s="178"/>
      <c r="G20" s="178"/>
      <c r="H20" s="183"/>
      <c r="M20" s="112">
        <v>0.5</v>
      </c>
      <c r="N20" s="112">
        <f t="shared" si="0"/>
        <v>0.5</v>
      </c>
      <c r="O20" s="112"/>
      <c r="P20" s="112"/>
      <c r="Q20" s="245">
        <v>9.4080482228183965E-2</v>
      </c>
    </row>
    <row r="21" spans="1:17" x14ac:dyDescent="0.2">
      <c r="A21" s="200" t="s">
        <v>133</v>
      </c>
      <c r="B21" s="184"/>
      <c r="C21" s="176" t="s">
        <v>134</v>
      </c>
      <c r="D21" s="176" t="s">
        <v>135</v>
      </c>
      <c r="E21" s="176" t="s">
        <v>136</v>
      </c>
      <c r="F21" s="176" t="s">
        <v>138</v>
      </c>
      <c r="G21" s="176"/>
      <c r="H21" s="183"/>
      <c r="M21" s="112">
        <v>0.7</v>
      </c>
      <c r="N21" s="112">
        <f t="shared" si="0"/>
        <v>0.30000000000000004</v>
      </c>
      <c r="O21" s="112"/>
      <c r="P21" s="112"/>
      <c r="Q21" s="245">
        <v>5.3655641551858882E-2</v>
      </c>
    </row>
    <row r="22" spans="1:17" x14ac:dyDescent="0.2">
      <c r="A22" s="187"/>
      <c r="B22" s="185"/>
      <c r="C22" s="178"/>
      <c r="D22" s="178"/>
      <c r="E22" s="178" t="s">
        <v>137</v>
      </c>
      <c r="F22" s="178" t="s">
        <v>137</v>
      </c>
      <c r="G22" s="178"/>
      <c r="H22" s="183"/>
      <c r="M22" s="112">
        <v>0.8</v>
      </c>
      <c r="N22" s="112">
        <f t="shared" si="0"/>
        <v>0.19999999999999996</v>
      </c>
      <c r="O22" s="112"/>
      <c r="P22" s="112"/>
      <c r="Q22" s="245">
        <v>3.9447528836123381E-2</v>
      </c>
    </row>
    <row r="23" spans="1:17" x14ac:dyDescent="0.2">
      <c r="A23" s="194"/>
      <c r="B23" s="188" t="s">
        <v>123</v>
      </c>
      <c r="C23" s="179">
        <v>0.03</v>
      </c>
      <c r="D23" s="179">
        <v>5.0000000000000001E-3</v>
      </c>
      <c r="E23" s="179">
        <v>3.0000000000000001E-3</v>
      </c>
      <c r="F23" s="179">
        <v>2.9999999999999997E-4</v>
      </c>
      <c r="G23" s="177"/>
      <c r="H23" s="183"/>
      <c r="M23" s="112">
        <v>0.9</v>
      </c>
      <c r="N23" s="112">
        <f t="shared" si="0"/>
        <v>9.9999999999999978E-2</v>
      </c>
      <c r="O23" s="112"/>
      <c r="P23" s="112"/>
      <c r="Q23" s="245">
        <v>2.841216424776433E-2</v>
      </c>
    </row>
    <row r="24" spans="1:17" x14ac:dyDescent="0.2">
      <c r="A24" s="198" t="s">
        <v>140</v>
      </c>
      <c r="B24" s="184"/>
      <c r="C24" s="189"/>
      <c r="D24" s="176"/>
      <c r="E24" s="176"/>
      <c r="F24" s="176"/>
      <c r="G24" s="176"/>
      <c r="H24" s="183"/>
      <c r="M24" s="112">
        <v>1</v>
      </c>
      <c r="N24" s="112">
        <f t="shared" si="0"/>
        <v>0</v>
      </c>
      <c r="O24" s="112"/>
      <c r="P24" s="112"/>
      <c r="Q24" s="245">
        <v>0.02</v>
      </c>
    </row>
    <row r="25" spans="1:17" x14ac:dyDescent="0.2">
      <c r="A25" s="201" t="s">
        <v>139</v>
      </c>
      <c r="B25" s="179" t="s">
        <v>123</v>
      </c>
      <c r="C25" s="188">
        <v>1.0000000000000001E-5</v>
      </c>
      <c r="D25" s="177"/>
      <c r="E25" s="177"/>
      <c r="F25" s="177"/>
      <c r="G25" s="177"/>
      <c r="H25" s="183"/>
    </row>
  </sheetData>
  <phoneticPr fontId="0" type="noConversion"/>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63" r:id="rId4" name="Button 51">
              <controlPr defaultSize="0" print="0" autoFill="0" autoPict="0" macro="[0]!TerrainMix">
                <anchor moveWithCells="1" sizeWithCells="1">
                  <from>
                    <xdr:col>16</xdr:col>
                    <xdr:colOff>104775</xdr:colOff>
                    <xdr:row>12</xdr:row>
                    <xdr:rowOff>38100</xdr:rowOff>
                  </from>
                  <to>
                    <xdr:col>16</xdr:col>
                    <xdr:colOff>542925</xdr:colOff>
                    <xdr:row>13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A112"/>
  <sheetViews>
    <sheetView workbookViewId="0"/>
  </sheetViews>
  <sheetFormatPr defaultColWidth="9.140625" defaultRowHeight="12.75" x14ac:dyDescent="0.2"/>
  <cols>
    <col min="1" max="1" width="13.28515625" style="1" bestFit="1" customWidth="1"/>
    <col min="2" max="2" width="27.42578125" style="1" customWidth="1"/>
    <col min="3" max="14" width="9.140625" style="1"/>
    <col min="15" max="16384" width="9.140625" style="2"/>
  </cols>
  <sheetData>
    <row r="1" spans="1:27" x14ac:dyDescent="0.2">
      <c r="A1" s="196">
        <f ca="1">NOW()</f>
        <v>44631.687362268516</v>
      </c>
    </row>
    <row r="2" spans="1:27" ht="15.75" x14ac:dyDescent="0.25">
      <c r="D2" s="174" t="s">
        <v>89</v>
      </c>
      <c r="E2" s="149"/>
      <c r="F2" s="149"/>
      <c r="G2" s="149"/>
      <c r="H2" s="149"/>
      <c r="I2" s="149"/>
      <c r="J2" s="149"/>
      <c r="K2" s="149"/>
      <c r="L2" s="150"/>
    </row>
    <row r="3" spans="1:27" x14ac:dyDescent="0.2">
      <c r="D3" s="145"/>
      <c r="E3" s="151" t="s">
        <v>21</v>
      </c>
      <c r="F3" s="152" t="s">
        <v>92</v>
      </c>
      <c r="G3" s="153"/>
      <c r="H3" s="153"/>
      <c r="I3" s="153"/>
      <c r="J3" s="153"/>
      <c r="K3" s="153"/>
      <c r="L3" s="154"/>
    </row>
    <row r="5" spans="1:27" x14ac:dyDescent="0.2">
      <c r="B5" s="28" t="s">
        <v>0</v>
      </c>
      <c r="C5" s="28">
        <v>1</v>
      </c>
      <c r="D5" s="28">
        <v>2</v>
      </c>
      <c r="E5" s="28">
        <v>3</v>
      </c>
      <c r="F5" s="28">
        <v>4</v>
      </c>
      <c r="G5" s="28">
        <v>5</v>
      </c>
      <c r="H5" s="28">
        <v>6</v>
      </c>
      <c r="I5" s="28">
        <v>7</v>
      </c>
      <c r="J5" s="28">
        <v>8</v>
      </c>
      <c r="K5" s="28">
        <v>9</v>
      </c>
      <c r="L5" s="28">
        <v>10</v>
      </c>
      <c r="M5" s="28">
        <v>11</v>
      </c>
      <c r="N5" s="28">
        <v>12</v>
      </c>
      <c r="O5" s="28">
        <v>13</v>
      </c>
      <c r="P5" s="28">
        <v>14</v>
      </c>
      <c r="Q5" s="28">
        <v>15</v>
      </c>
      <c r="R5" s="28">
        <v>16</v>
      </c>
      <c r="S5" s="28">
        <v>17</v>
      </c>
      <c r="T5" s="28">
        <v>18</v>
      </c>
      <c r="U5" s="28">
        <v>19</v>
      </c>
      <c r="V5" s="28">
        <v>20</v>
      </c>
      <c r="W5" s="28">
        <v>21</v>
      </c>
      <c r="X5" s="28">
        <v>22</v>
      </c>
      <c r="Y5" s="28">
        <v>23</v>
      </c>
      <c r="Z5" s="28">
        <v>24</v>
      </c>
      <c r="AA5" s="28">
        <v>25</v>
      </c>
    </row>
    <row r="6" spans="1:27" x14ac:dyDescent="0.2">
      <c r="B6" s="28" t="s">
        <v>178</v>
      </c>
      <c r="C6" s="30"/>
      <c r="D6" s="30"/>
      <c r="E6" s="30"/>
      <c r="F6" s="30"/>
      <c r="G6" s="30"/>
      <c r="H6" s="30"/>
      <c r="I6" s="28"/>
      <c r="J6" s="28"/>
      <c r="K6" s="30"/>
      <c r="L6" s="28"/>
      <c r="M6" s="28"/>
      <c r="N6" s="28"/>
      <c r="O6" s="28"/>
      <c r="P6" s="28"/>
      <c r="Q6" s="28"/>
      <c r="R6" s="28"/>
      <c r="S6" s="28"/>
      <c r="T6" s="28"/>
      <c r="U6" s="28"/>
      <c r="V6" s="28"/>
      <c r="W6" s="28"/>
      <c r="X6" s="28"/>
      <c r="Y6" s="28"/>
      <c r="Z6" s="28"/>
      <c r="AA6" s="28"/>
    </row>
    <row r="7" spans="1:27" x14ac:dyDescent="0.2">
      <c r="B7" s="31" t="s">
        <v>1</v>
      </c>
      <c r="C7" s="31" t="s">
        <v>2</v>
      </c>
      <c r="D7" s="32"/>
      <c r="E7" s="32"/>
      <c r="F7" s="33"/>
      <c r="G7" s="95"/>
      <c r="H7" s="35"/>
      <c r="I7" s="35"/>
      <c r="J7" s="35"/>
      <c r="K7" s="35"/>
      <c r="L7" s="35"/>
      <c r="M7" s="35"/>
      <c r="N7" s="35"/>
      <c r="O7" s="96"/>
      <c r="P7" s="96"/>
      <c r="Q7" s="96"/>
      <c r="R7" s="96"/>
      <c r="S7" s="96"/>
      <c r="T7" s="96"/>
      <c r="U7" s="96"/>
      <c r="V7" s="96"/>
      <c r="W7" s="96"/>
      <c r="X7" s="96"/>
      <c r="Y7" s="96"/>
      <c r="Z7" s="96"/>
      <c r="AA7" s="97"/>
    </row>
    <row r="8" spans="1:27" x14ac:dyDescent="0.2">
      <c r="B8" s="7" t="s">
        <v>3</v>
      </c>
      <c r="C8" s="305">
        <v>40</v>
      </c>
      <c r="D8" s="12">
        <f>C8</f>
        <v>40</v>
      </c>
      <c r="E8" s="12">
        <f t="shared" ref="E8:AA8" si="0">D8</f>
        <v>40</v>
      </c>
      <c r="F8" s="12">
        <f t="shared" si="0"/>
        <v>40</v>
      </c>
      <c r="G8" s="12">
        <f t="shared" si="0"/>
        <v>40</v>
      </c>
      <c r="H8" s="12">
        <f t="shared" si="0"/>
        <v>40</v>
      </c>
      <c r="I8" s="12">
        <f t="shared" si="0"/>
        <v>40</v>
      </c>
      <c r="J8" s="12">
        <f t="shared" si="0"/>
        <v>40</v>
      </c>
      <c r="K8" s="12">
        <f t="shared" si="0"/>
        <v>40</v>
      </c>
      <c r="L8" s="12">
        <f t="shared" si="0"/>
        <v>40</v>
      </c>
      <c r="M8" s="12">
        <f t="shared" si="0"/>
        <v>40</v>
      </c>
      <c r="N8" s="12">
        <f t="shared" si="0"/>
        <v>40</v>
      </c>
      <c r="O8" s="12">
        <f t="shared" si="0"/>
        <v>40</v>
      </c>
      <c r="P8" s="12">
        <f t="shared" si="0"/>
        <v>40</v>
      </c>
      <c r="Q8" s="12">
        <f t="shared" si="0"/>
        <v>40</v>
      </c>
      <c r="R8" s="12">
        <f t="shared" si="0"/>
        <v>40</v>
      </c>
      <c r="S8" s="12">
        <f t="shared" si="0"/>
        <v>40</v>
      </c>
      <c r="T8" s="12">
        <f t="shared" si="0"/>
        <v>40</v>
      </c>
      <c r="U8" s="12">
        <f t="shared" si="0"/>
        <v>40</v>
      </c>
      <c r="V8" s="12">
        <f t="shared" si="0"/>
        <v>40</v>
      </c>
      <c r="W8" s="12">
        <f t="shared" si="0"/>
        <v>40</v>
      </c>
      <c r="X8" s="12">
        <f t="shared" si="0"/>
        <v>40</v>
      </c>
      <c r="Y8" s="12">
        <f t="shared" si="0"/>
        <v>40</v>
      </c>
      <c r="Z8" s="12">
        <f t="shared" si="0"/>
        <v>40</v>
      </c>
      <c r="AA8" s="12">
        <f t="shared" si="0"/>
        <v>40</v>
      </c>
    </row>
    <row r="9" spans="1:27" x14ac:dyDescent="0.2">
      <c r="B9" s="8" t="s">
        <v>4</v>
      </c>
      <c r="C9" s="302">
        <f>IF(RWDI_FACTORS!$H$3="PLW",19,30)</f>
        <v>30</v>
      </c>
      <c r="D9" s="9">
        <f>C9</f>
        <v>30</v>
      </c>
      <c r="E9" s="9">
        <f t="shared" ref="E9:AA9" si="1">D9</f>
        <v>30</v>
      </c>
      <c r="F9" s="9">
        <f t="shared" si="1"/>
        <v>30</v>
      </c>
      <c r="G9" s="9">
        <f t="shared" si="1"/>
        <v>30</v>
      </c>
      <c r="H9" s="9">
        <f t="shared" si="1"/>
        <v>30</v>
      </c>
      <c r="I9" s="9">
        <f t="shared" si="1"/>
        <v>30</v>
      </c>
      <c r="J9" s="9">
        <f t="shared" si="1"/>
        <v>30</v>
      </c>
      <c r="K9" s="9">
        <f t="shared" si="1"/>
        <v>30</v>
      </c>
      <c r="L9" s="9">
        <f t="shared" si="1"/>
        <v>30</v>
      </c>
      <c r="M9" s="9">
        <f t="shared" si="1"/>
        <v>30</v>
      </c>
      <c r="N9" s="9">
        <f t="shared" si="1"/>
        <v>30</v>
      </c>
      <c r="O9" s="9">
        <f t="shared" si="1"/>
        <v>30</v>
      </c>
      <c r="P9" s="9">
        <f t="shared" si="1"/>
        <v>30</v>
      </c>
      <c r="Q9" s="9">
        <f t="shared" si="1"/>
        <v>30</v>
      </c>
      <c r="R9" s="9">
        <f t="shared" si="1"/>
        <v>30</v>
      </c>
      <c r="S9" s="9">
        <f t="shared" si="1"/>
        <v>30</v>
      </c>
      <c r="T9" s="9">
        <f t="shared" si="1"/>
        <v>30</v>
      </c>
      <c r="U9" s="9">
        <f t="shared" si="1"/>
        <v>30</v>
      </c>
      <c r="V9" s="9">
        <f t="shared" si="1"/>
        <v>30</v>
      </c>
      <c r="W9" s="9">
        <f t="shared" si="1"/>
        <v>30</v>
      </c>
      <c r="X9" s="9">
        <f t="shared" si="1"/>
        <v>30</v>
      </c>
      <c r="Y9" s="9">
        <f t="shared" si="1"/>
        <v>30</v>
      </c>
      <c r="Z9" s="9">
        <f t="shared" si="1"/>
        <v>30</v>
      </c>
      <c r="AA9" s="9">
        <f t="shared" si="1"/>
        <v>30</v>
      </c>
    </row>
    <row r="10" spans="1:27" x14ac:dyDescent="0.2">
      <c r="B10" s="10" t="s">
        <v>5</v>
      </c>
      <c r="C10" s="321">
        <v>3600</v>
      </c>
      <c r="D10" s="10">
        <f>C10</f>
        <v>3600</v>
      </c>
      <c r="E10" s="10">
        <f t="shared" ref="E10:AA10" si="2">D10</f>
        <v>3600</v>
      </c>
      <c r="F10" s="10">
        <f t="shared" si="2"/>
        <v>3600</v>
      </c>
      <c r="G10" s="10">
        <f t="shared" si="2"/>
        <v>3600</v>
      </c>
      <c r="H10" s="10">
        <f t="shared" si="2"/>
        <v>3600</v>
      </c>
      <c r="I10" s="10">
        <f t="shared" si="2"/>
        <v>3600</v>
      </c>
      <c r="J10" s="10">
        <f t="shared" si="2"/>
        <v>3600</v>
      </c>
      <c r="K10" s="10">
        <f t="shared" si="2"/>
        <v>3600</v>
      </c>
      <c r="L10" s="10">
        <f t="shared" si="2"/>
        <v>3600</v>
      </c>
      <c r="M10" s="10">
        <f t="shared" si="2"/>
        <v>3600</v>
      </c>
      <c r="N10" s="10">
        <f t="shared" si="2"/>
        <v>3600</v>
      </c>
      <c r="O10" s="10">
        <f t="shared" si="2"/>
        <v>3600</v>
      </c>
      <c r="P10" s="10">
        <f t="shared" si="2"/>
        <v>3600</v>
      </c>
      <c r="Q10" s="10">
        <f t="shared" si="2"/>
        <v>3600</v>
      </c>
      <c r="R10" s="10">
        <f t="shared" si="2"/>
        <v>3600</v>
      </c>
      <c r="S10" s="10">
        <f t="shared" si="2"/>
        <v>3600</v>
      </c>
      <c r="T10" s="10">
        <f t="shared" si="2"/>
        <v>3600</v>
      </c>
      <c r="U10" s="10">
        <f t="shared" si="2"/>
        <v>3600</v>
      </c>
      <c r="V10" s="10">
        <f t="shared" si="2"/>
        <v>3600</v>
      </c>
      <c r="W10" s="10">
        <f t="shared" si="2"/>
        <v>3600</v>
      </c>
      <c r="X10" s="10">
        <f t="shared" si="2"/>
        <v>3600</v>
      </c>
      <c r="Y10" s="10">
        <f t="shared" si="2"/>
        <v>3600</v>
      </c>
      <c r="Z10" s="10">
        <f t="shared" si="2"/>
        <v>3600</v>
      </c>
      <c r="AA10" s="10">
        <f t="shared" si="2"/>
        <v>3600</v>
      </c>
    </row>
    <row r="11" spans="1:27" x14ac:dyDescent="0.2">
      <c r="B11" s="10" t="s">
        <v>6</v>
      </c>
      <c r="C11" s="321">
        <v>10</v>
      </c>
      <c r="D11" s="10">
        <f>C11</f>
        <v>10</v>
      </c>
      <c r="E11" s="10">
        <f t="shared" ref="E11:AA11" si="3">D11</f>
        <v>10</v>
      </c>
      <c r="F11" s="10">
        <f t="shared" si="3"/>
        <v>10</v>
      </c>
      <c r="G11" s="10">
        <f t="shared" si="3"/>
        <v>10</v>
      </c>
      <c r="H11" s="10">
        <f t="shared" si="3"/>
        <v>10</v>
      </c>
      <c r="I11" s="10">
        <f t="shared" si="3"/>
        <v>10</v>
      </c>
      <c r="J11" s="10">
        <f t="shared" si="3"/>
        <v>10</v>
      </c>
      <c r="K11" s="10">
        <f t="shared" si="3"/>
        <v>10</v>
      </c>
      <c r="L11" s="10">
        <f t="shared" si="3"/>
        <v>10</v>
      </c>
      <c r="M11" s="10">
        <f t="shared" si="3"/>
        <v>10</v>
      </c>
      <c r="N11" s="10">
        <f t="shared" si="3"/>
        <v>10</v>
      </c>
      <c r="O11" s="10">
        <f t="shared" si="3"/>
        <v>10</v>
      </c>
      <c r="P11" s="10">
        <f t="shared" si="3"/>
        <v>10</v>
      </c>
      <c r="Q11" s="10">
        <f t="shared" si="3"/>
        <v>10</v>
      </c>
      <c r="R11" s="10">
        <f t="shared" si="3"/>
        <v>10</v>
      </c>
      <c r="S11" s="10">
        <f t="shared" si="3"/>
        <v>10</v>
      </c>
      <c r="T11" s="10">
        <f t="shared" si="3"/>
        <v>10</v>
      </c>
      <c r="U11" s="10">
        <f t="shared" si="3"/>
        <v>10</v>
      </c>
      <c r="V11" s="10">
        <f t="shared" si="3"/>
        <v>10</v>
      </c>
      <c r="W11" s="10">
        <f t="shared" si="3"/>
        <v>10</v>
      </c>
      <c r="X11" s="10">
        <f t="shared" si="3"/>
        <v>10</v>
      </c>
      <c r="Y11" s="10">
        <f t="shared" si="3"/>
        <v>10</v>
      </c>
      <c r="Z11" s="10">
        <f t="shared" si="3"/>
        <v>10</v>
      </c>
      <c r="AA11" s="10">
        <f t="shared" si="3"/>
        <v>10</v>
      </c>
    </row>
    <row r="12" spans="1:27" x14ac:dyDescent="0.2">
      <c r="B12" s="12" t="s">
        <v>7</v>
      </c>
      <c r="C12" s="13"/>
      <c r="D12" s="12"/>
      <c r="E12" s="12"/>
      <c r="F12" s="12"/>
      <c r="G12" s="12"/>
      <c r="H12" s="12"/>
      <c r="I12" s="12"/>
      <c r="J12" s="12"/>
      <c r="K12" s="13"/>
      <c r="L12" s="12"/>
      <c r="M12" s="12"/>
      <c r="N12" s="12"/>
      <c r="O12" s="12"/>
      <c r="P12" s="12"/>
      <c r="Q12" s="12"/>
      <c r="R12" s="12"/>
      <c r="S12" s="12"/>
      <c r="T12" s="12"/>
      <c r="U12" s="12"/>
      <c r="V12" s="12"/>
      <c r="W12" s="12"/>
      <c r="X12" s="12"/>
      <c r="Y12" s="12"/>
      <c r="Z12" s="12"/>
      <c r="AA12" s="12"/>
    </row>
    <row r="13" spans="1:27" x14ac:dyDescent="0.2">
      <c r="B13" s="60" t="s">
        <v>90</v>
      </c>
      <c r="C13" s="98" t="b">
        <v>0</v>
      </c>
      <c r="D13" s="98" t="b">
        <v>0</v>
      </c>
      <c r="E13" s="98" t="b">
        <v>0</v>
      </c>
      <c r="F13" s="98" t="b">
        <v>0</v>
      </c>
      <c r="G13" s="98" t="b">
        <v>0</v>
      </c>
      <c r="H13" s="98" t="b">
        <v>0</v>
      </c>
      <c r="I13" s="98" t="b">
        <v>0</v>
      </c>
      <c r="J13" s="98" t="b">
        <v>0</v>
      </c>
      <c r="K13" s="98" t="b">
        <v>0</v>
      </c>
      <c r="L13" s="98" t="b">
        <v>0</v>
      </c>
      <c r="M13" s="98" t="b">
        <v>0</v>
      </c>
      <c r="N13" s="98" t="b">
        <v>0</v>
      </c>
      <c r="O13" s="98" t="b">
        <v>0</v>
      </c>
      <c r="P13" s="98" t="b">
        <v>0</v>
      </c>
      <c r="Q13" s="98" t="b">
        <v>0</v>
      </c>
      <c r="R13" s="98" t="b">
        <v>0</v>
      </c>
      <c r="S13" s="98" t="b">
        <v>0</v>
      </c>
      <c r="T13" s="98" t="b">
        <v>0</v>
      </c>
      <c r="U13" s="98" t="b">
        <v>0</v>
      </c>
      <c r="V13" s="98" t="b">
        <v>0</v>
      </c>
      <c r="W13" s="98" t="b">
        <v>0</v>
      </c>
      <c r="X13" s="98" t="b">
        <v>0</v>
      </c>
      <c r="Y13" s="98" t="b">
        <v>0</v>
      </c>
      <c r="Z13" s="98" t="b">
        <v>0</v>
      </c>
      <c r="AA13" s="98" t="b">
        <v>0</v>
      </c>
    </row>
    <row r="14" spans="1:27" x14ac:dyDescent="0.2">
      <c r="B14" s="3"/>
      <c r="C14" s="3"/>
      <c r="D14" s="3"/>
      <c r="E14" s="3"/>
      <c r="F14" s="3"/>
      <c r="G14" s="3"/>
      <c r="H14" s="3"/>
      <c r="I14" s="3"/>
      <c r="J14" s="3"/>
      <c r="K14" s="3"/>
      <c r="L14" s="3"/>
      <c r="M14" s="3"/>
      <c r="N14" s="3"/>
      <c r="O14" s="3"/>
      <c r="P14" s="3"/>
      <c r="Q14" s="3"/>
      <c r="R14" s="3"/>
      <c r="S14" s="3"/>
      <c r="T14" s="3"/>
      <c r="U14" s="3"/>
      <c r="V14" s="3"/>
      <c r="W14" s="3"/>
      <c r="X14" s="3"/>
      <c r="Y14" s="3"/>
      <c r="Z14" s="3"/>
      <c r="AA14" s="3"/>
    </row>
    <row r="15" spans="1:27" x14ac:dyDescent="0.2">
      <c r="B15" s="3"/>
      <c r="C15" s="3"/>
      <c r="D15" s="3"/>
      <c r="E15" s="3"/>
      <c r="F15" s="3"/>
      <c r="G15" s="3"/>
      <c r="H15" s="3"/>
      <c r="I15" s="3"/>
      <c r="J15" s="3"/>
      <c r="K15" s="3"/>
      <c r="L15" s="3"/>
      <c r="M15" s="3"/>
      <c r="N15" s="3"/>
      <c r="O15" s="3"/>
      <c r="P15" s="3"/>
      <c r="Q15" s="3"/>
      <c r="R15" s="3"/>
      <c r="S15" s="3"/>
      <c r="T15" s="3"/>
      <c r="U15" s="3"/>
      <c r="V15" s="3"/>
      <c r="W15" s="3"/>
      <c r="X15" s="3"/>
      <c r="Y15" s="3"/>
      <c r="Z15" s="3"/>
      <c r="AA15" s="3"/>
    </row>
    <row r="16" spans="1:27" x14ac:dyDescent="0.2">
      <c r="B16" s="3"/>
      <c r="C16" s="3"/>
      <c r="D16" s="3"/>
      <c r="E16" s="3"/>
      <c r="F16" s="3"/>
      <c r="G16" s="3"/>
      <c r="H16" s="3"/>
      <c r="I16" s="3"/>
      <c r="J16" s="3"/>
      <c r="K16" s="3"/>
      <c r="L16" s="3"/>
      <c r="M16" s="3"/>
      <c r="N16" s="3"/>
      <c r="O16" s="3"/>
      <c r="P16" s="3"/>
      <c r="Q16" s="3"/>
      <c r="R16" s="3"/>
      <c r="S16" s="3"/>
      <c r="T16" s="3"/>
      <c r="U16" s="3"/>
      <c r="V16" s="3"/>
      <c r="W16" s="3"/>
      <c r="X16" s="3"/>
      <c r="Y16" s="3"/>
      <c r="Z16" s="3"/>
      <c r="AA16" s="3"/>
    </row>
    <row r="17" spans="2:27" x14ac:dyDescent="0.2">
      <c r="B17" s="3"/>
      <c r="C17" s="3"/>
      <c r="D17" s="3"/>
      <c r="E17" s="3"/>
      <c r="F17" s="3"/>
      <c r="G17" s="3"/>
      <c r="H17" s="3"/>
      <c r="I17" s="3"/>
      <c r="J17" s="3"/>
      <c r="K17" s="3"/>
      <c r="L17" s="3"/>
      <c r="M17" s="3"/>
      <c r="N17" s="3"/>
      <c r="O17" s="3"/>
      <c r="P17" s="3"/>
      <c r="Q17" s="3"/>
      <c r="R17" s="3"/>
      <c r="S17" s="3"/>
      <c r="T17" s="3"/>
      <c r="U17" s="3"/>
      <c r="V17" s="3"/>
      <c r="W17" s="3"/>
      <c r="X17" s="3"/>
      <c r="Y17" s="3"/>
      <c r="Z17" s="3"/>
      <c r="AA17" s="3"/>
    </row>
    <row r="18" spans="2:27" x14ac:dyDescent="0.2">
      <c r="B18" s="3"/>
      <c r="C18" s="5"/>
      <c r="D18" s="5"/>
      <c r="E18" s="5"/>
      <c r="F18" s="5"/>
      <c r="G18" s="5"/>
      <c r="H18" s="5"/>
      <c r="I18" s="5"/>
      <c r="J18" s="5"/>
      <c r="K18" s="5"/>
      <c r="L18" s="5"/>
      <c r="M18" s="5"/>
      <c r="N18" s="5"/>
      <c r="O18" s="5"/>
      <c r="P18" s="5"/>
      <c r="Q18" s="5"/>
      <c r="R18" s="5"/>
      <c r="S18" s="5"/>
      <c r="T18" s="5"/>
      <c r="U18" s="5"/>
      <c r="V18" s="5"/>
      <c r="W18" s="5"/>
      <c r="X18" s="5"/>
      <c r="Y18" s="5"/>
      <c r="Z18" s="5"/>
      <c r="AA18" s="5"/>
    </row>
    <row r="19" spans="2:27" ht="15.75" x14ac:dyDescent="0.3">
      <c r="B19" s="8" t="s">
        <v>8</v>
      </c>
      <c r="C19" s="304">
        <v>0</v>
      </c>
      <c r="D19" s="304">
        <v>0</v>
      </c>
      <c r="E19" s="304">
        <v>0</v>
      </c>
      <c r="F19" s="304">
        <v>0</v>
      </c>
      <c r="G19" s="304">
        <v>0</v>
      </c>
      <c r="H19" s="304">
        <v>0</v>
      </c>
      <c r="I19" s="304">
        <v>0</v>
      </c>
      <c r="J19" s="304">
        <v>0</v>
      </c>
      <c r="K19" s="304">
        <v>0</v>
      </c>
      <c r="L19" s="304">
        <v>0</v>
      </c>
      <c r="M19" s="304">
        <v>0</v>
      </c>
      <c r="N19" s="304">
        <v>0</v>
      </c>
      <c r="O19" s="304">
        <v>0</v>
      </c>
      <c r="P19" s="304">
        <v>0</v>
      </c>
      <c r="Q19" s="304">
        <v>0</v>
      </c>
      <c r="R19" s="304">
        <v>0</v>
      </c>
      <c r="S19" s="304">
        <v>0</v>
      </c>
      <c r="T19" s="304">
        <v>0</v>
      </c>
      <c r="U19" s="304">
        <v>0</v>
      </c>
      <c r="V19" s="304">
        <v>0</v>
      </c>
      <c r="W19" s="304">
        <v>0</v>
      </c>
      <c r="X19" s="304">
        <v>0</v>
      </c>
      <c r="Y19" s="304">
        <v>0</v>
      </c>
      <c r="Z19" s="304">
        <v>0</v>
      </c>
      <c r="AA19" s="304">
        <v>0</v>
      </c>
    </row>
    <row r="20" spans="2:27" ht="15.75" x14ac:dyDescent="0.3">
      <c r="B20" s="19" t="s">
        <v>9</v>
      </c>
      <c r="C20" s="302">
        <v>0.02</v>
      </c>
      <c r="D20" s="302">
        <v>0.02</v>
      </c>
      <c r="E20" s="302">
        <v>0.02</v>
      </c>
      <c r="F20" s="302">
        <v>0.02</v>
      </c>
      <c r="G20" s="302">
        <v>0.02</v>
      </c>
      <c r="H20" s="302">
        <v>0.02</v>
      </c>
      <c r="I20" s="302">
        <v>0.02</v>
      </c>
      <c r="J20" s="302">
        <v>0.02</v>
      </c>
      <c r="K20" s="302">
        <v>0.02</v>
      </c>
      <c r="L20" s="302">
        <v>0.02</v>
      </c>
      <c r="M20" s="302">
        <v>0.02</v>
      </c>
      <c r="N20" s="302">
        <v>0.02</v>
      </c>
      <c r="O20" s="302">
        <v>0.02</v>
      </c>
      <c r="P20" s="302">
        <v>0.02</v>
      </c>
      <c r="Q20" s="302">
        <v>0.02</v>
      </c>
      <c r="R20" s="302">
        <v>0.02</v>
      </c>
      <c r="S20" s="302">
        <v>0.02</v>
      </c>
      <c r="T20" s="302">
        <v>0.02</v>
      </c>
      <c r="U20" s="302">
        <v>0.02</v>
      </c>
      <c r="V20" s="302">
        <v>0.02</v>
      </c>
      <c r="W20" s="302">
        <v>0.02</v>
      </c>
      <c r="X20" s="302">
        <v>0.02</v>
      </c>
      <c r="Y20" s="302">
        <v>0.02</v>
      </c>
      <c r="Z20" s="302">
        <v>0.02</v>
      </c>
      <c r="AA20" s="302">
        <v>0.02</v>
      </c>
    </row>
    <row r="21" spans="2:27" x14ac:dyDescent="0.2">
      <c r="B21" s="20" t="s">
        <v>157</v>
      </c>
      <c r="C21" s="12"/>
      <c r="D21" s="12"/>
      <c r="E21" s="12"/>
      <c r="F21" s="12"/>
      <c r="G21" s="12"/>
      <c r="H21" s="17"/>
      <c r="I21" s="12"/>
      <c r="J21" s="12"/>
      <c r="K21" s="12"/>
      <c r="L21" s="17"/>
      <c r="M21" s="12"/>
      <c r="N21" s="12"/>
      <c r="O21" s="13"/>
      <c r="P21" s="13"/>
      <c r="Q21" s="12"/>
      <c r="R21" s="12"/>
      <c r="S21" s="12"/>
      <c r="T21" s="17"/>
      <c r="U21" s="12"/>
      <c r="V21" s="12"/>
      <c r="W21" s="12"/>
      <c r="X21" s="17"/>
      <c r="Y21" s="12"/>
      <c r="Z21" s="12"/>
      <c r="AA21" s="12"/>
    </row>
    <row r="22" spans="2:27" ht="15.75" x14ac:dyDescent="0.3">
      <c r="B22" s="14" t="s">
        <v>10</v>
      </c>
      <c r="C22" s="8"/>
      <c r="D22" s="8"/>
      <c r="E22" s="8"/>
      <c r="F22" s="57"/>
      <c r="G22" s="8"/>
      <c r="H22" s="16"/>
      <c r="I22" s="8"/>
      <c r="J22" s="8"/>
      <c r="K22" s="8"/>
      <c r="L22" s="16"/>
      <c r="M22" s="8"/>
      <c r="N22" s="8"/>
      <c r="O22" s="9"/>
      <c r="P22" s="9"/>
      <c r="Q22" s="8"/>
      <c r="R22" s="8"/>
      <c r="S22" s="8"/>
      <c r="T22" s="16"/>
      <c r="U22" s="8"/>
      <c r="V22" s="8"/>
      <c r="W22" s="8"/>
      <c r="X22" s="16"/>
      <c r="Y22" s="8"/>
      <c r="Z22" s="8"/>
      <c r="AA22" s="8"/>
    </row>
    <row r="23" spans="2:27" ht="15.75" x14ac:dyDescent="0.3">
      <c r="B23" s="15" t="s">
        <v>11</v>
      </c>
      <c r="C23" s="12"/>
      <c r="D23" s="13"/>
      <c r="E23" s="12"/>
      <c r="F23" s="12"/>
      <c r="G23" s="12"/>
      <c r="H23" s="17"/>
      <c r="I23" s="12"/>
      <c r="J23" s="12"/>
      <c r="K23" s="12"/>
      <c r="L23" s="18"/>
      <c r="M23" s="12"/>
      <c r="N23" s="12"/>
      <c r="O23" s="13"/>
      <c r="P23" s="13"/>
      <c r="Q23" s="12"/>
      <c r="R23" s="12"/>
      <c r="S23" s="12"/>
      <c r="T23" s="17"/>
      <c r="U23" s="12"/>
      <c r="V23" s="12"/>
      <c r="W23" s="12"/>
      <c r="X23" s="18"/>
      <c r="Y23" s="12"/>
      <c r="Z23" s="12"/>
      <c r="AA23" s="12"/>
    </row>
    <row r="24" spans="2:27" ht="15.75" x14ac:dyDescent="0.3">
      <c r="B24" s="14" t="s">
        <v>12</v>
      </c>
      <c r="C24" s="56"/>
      <c r="D24" s="9"/>
      <c r="E24" s="8"/>
      <c r="F24" s="8"/>
      <c r="G24" s="56"/>
      <c r="H24" s="70"/>
      <c r="I24" s="8"/>
      <c r="J24" s="8"/>
      <c r="K24" s="16"/>
      <c r="L24" s="16"/>
      <c r="M24" s="8"/>
      <c r="N24" s="8"/>
      <c r="O24" s="9"/>
      <c r="P24" s="9"/>
      <c r="Q24" s="8"/>
      <c r="R24" s="8"/>
      <c r="S24" s="10"/>
      <c r="T24" s="16"/>
      <c r="U24" s="8"/>
      <c r="V24" s="8"/>
      <c r="W24" s="16"/>
      <c r="X24" s="16"/>
      <c r="Y24" s="8"/>
      <c r="Z24" s="8"/>
      <c r="AA24" s="8"/>
    </row>
    <row r="25" spans="2:27" ht="15.75" x14ac:dyDescent="0.3">
      <c r="B25" s="15" t="s">
        <v>13</v>
      </c>
      <c r="C25" s="12"/>
      <c r="D25" s="13"/>
      <c r="E25" s="12"/>
      <c r="F25" s="12"/>
      <c r="G25" s="12"/>
      <c r="H25" s="17"/>
      <c r="I25" s="12"/>
      <c r="J25" s="12"/>
      <c r="K25" s="18"/>
      <c r="L25" s="18"/>
      <c r="M25" s="12"/>
      <c r="N25" s="12"/>
      <c r="O25" s="13"/>
      <c r="P25" s="13"/>
      <c r="Q25" s="12"/>
      <c r="R25" s="12"/>
      <c r="S25" s="10"/>
      <c r="T25" s="17"/>
      <c r="U25" s="12"/>
      <c r="V25" s="12"/>
      <c r="W25" s="18"/>
      <c r="X25" s="18"/>
      <c r="Y25" s="12"/>
      <c r="Z25" s="12"/>
      <c r="AA25" s="12"/>
    </row>
    <row r="26" spans="2:27" ht="15.75" x14ac:dyDescent="0.3">
      <c r="B26" s="14" t="s">
        <v>14</v>
      </c>
      <c r="C26" s="10"/>
      <c r="D26" s="9"/>
      <c r="E26" s="8"/>
      <c r="F26" s="8"/>
      <c r="G26" s="10"/>
      <c r="H26" s="16"/>
      <c r="I26" s="8"/>
      <c r="J26" s="16"/>
      <c r="K26" s="16"/>
      <c r="L26" s="16"/>
      <c r="M26" s="8"/>
      <c r="N26" s="8"/>
      <c r="O26" s="9"/>
      <c r="P26" s="9"/>
      <c r="Q26" s="8"/>
      <c r="R26" s="8"/>
      <c r="S26" s="8"/>
      <c r="T26" s="16"/>
      <c r="U26" s="8"/>
      <c r="V26" s="16"/>
      <c r="W26" s="16"/>
      <c r="X26" s="16"/>
      <c r="Y26" s="8"/>
      <c r="Z26" s="8"/>
      <c r="AA26" s="8"/>
    </row>
    <row r="27" spans="2:27" ht="15.75" x14ac:dyDescent="0.3">
      <c r="B27" s="15" t="s">
        <v>15</v>
      </c>
      <c r="C27" s="12"/>
      <c r="D27" s="13"/>
      <c r="E27" s="12"/>
      <c r="F27" s="12"/>
      <c r="G27" s="12"/>
      <c r="H27" s="17"/>
      <c r="I27" s="12"/>
      <c r="J27" s="17"/>
      <c r="K27" s="17"/>
      <c r="L27" s="17"/>
      <c r="M27" s="12"/>
      <c r="N27" s="12"/>
      <c r="O27" s="13"/>
      <c r="P27" s="13"/>
      <c r="Q27" s="12"/>
      <c r="R27" s="12"/>
      <c r="S27" s="12"/>
      <c r="T27" s="17"/>
      <c r="U27" s="12"/>
      <c r="V27" s="17"/>
      <c r="W27" s="17"/>
      <c r="X27" s="17"/>
      <c r="Y27" s="12"/>
      <c r="Z27" s="12"/>
      <c r="AA27" s="12"/>
    </row>
    <row r="28" spans="2:27" ht="15.75" x14ac:dyDescent="0.3">
      <c r="B28" s="14" t="s">
        <v>16</v>
      </c>
      <c r="C28" s="8"/>
      <c r="D28" s="9"/>
      <c r="E28" s="8"/>
      <c r="F28" s="8"/>
      <c r="G28" s="8"/>
      <c r="H28" s="16"/>
      <c r="I28" s="8"/>
      <c r="J28" s="8"/>
      <c r="K28" s="10"/>
      <c r="L28" s="18"/>
      <c r="M28" s="8"/>
      <c r="N28" s="8"/>
      <c r="O28" s="9"/>
      <c r="P28" s="9"/>
      <c r="Q28" s="8"/>
      <c r="R28" s="8"/>
      <c r="S28" s="8"/>
      <c r="T28" s="16"/>
      <c r="U28" s="8"/>
      <c r="V28" s="8"/>
      <c r="W28" s="10"/>
      <c r="X28" s="18"/>
      <c r="Y28" s="8"/>
      <c r="Z28" s="8"/>
      <c r="AA28" s="8"/>
    </row>
    <row r="29" spans="2:27" ht="15.75" x14ac:dyDescent="0.3">
      <c r="B29" s="15" t="s">
        <v>17</v>
      </c>
      <c r="C29" s="13"/>
      <c r="D29" s="13"/>
      <c r="E29" s="12"/>
      <c r="F29" s="12"/>
      <c r="G29" s="12"/>
      <c r="H29" s="17"/>
      <c r="I29" s="12"/>
      <c r="J29" s="12"/>
      <c r="K29" s="12"/>
      <c r="L29" s="17"/>
      <c r="M29" s="12"/>
      <c r="N29" s="12"/>
      <c r="O29" s="13"/>
      <c r="P29" s="13"/>
      <c r="Q29" s="12"/>
      <c r="R29" s="12"/>
      <c r="S29" s="12"/>
      <c r="T29" s="17"/>
      <c r="U29" s="12"/>
      <c r="V29" s="12"/>
      <c r="W29" s="12"/>
      <c r="X29" s="17"/>
      <c r="Y29" s="12"/>
      <c r="Z29" s="12"/>
      <c r="AA29" s="12"/>
    </row>
    <row r="30" spans="2:27" ht="15.75" x14ac:dyDescent="0.3">
      <c r="B30" s="14" t="s">
        <v>18</v>
      </c>
      <c r="C30" s="9"/>
      <c r="D30" s="9"/>
      <c r="E30" s="8"/>
      <c r="F30" s="8"/>
      <c r="G30" s="8"/>
      <c r="H30" s="16"/>
      <c r="I30" s="8"/>
      <c r="J30" s="8"/>
      <c r="K30" s="8"/>
      <c r="L30" s="16"/>
      <c r="M30" s="8"/>
      <c r="N30" s="8"/>
      <c r="O30" s="9"/>
      <c r="P30" s="9"/>
      <c r="Q30" s="8"/>
      <c r="R30" s="8"/>
      <c r="S30" s="8"/>
      <c r="T30" s="16"/>
      <c r="U30" s="8"/>
      <c r="V30" s="8"/>
      <c r="W30" s="8"/>
      <c r="X30" s="16"/>
      <c r="Y30" s="8"/>
      <c r="Z30" s="8"/>
      <c r="AA30" s="8"/>
    </row>
    <row r="31" spans="2:27" ht="15.75" x14ac:dyDescent="0.3">
      <c r="B31" s="15" t="s">
        <v>19</v>
      </c>
      <c r="C31" s="11"/>
      <c r="D31" s="11"/>
      <c r="E31" s="10"/>
      <c r="F31" s="10"/>
      <c r="G31" s="12"/>
      <c r="H31" s="17"/>
      <c r="I31" s="12"/>
      <c r="J31" s="12"/>
      <c r="K31" s="12"/>
      <c r="L31" s="17"/>
      <c r="M31" s="12"/>
      <c r="N31" s="12"/>
      <c r="O31" s="11"/>
      <c r="P31" s="11"/>
      <c r="Q31" s="10"/>
      <c r="R31" s="10"/>
      <c r="S31" s="12"/>
      <c r="T31" s="17"/>
      <c r="U31" s="12"/>
      <c r="V31" s="12"/>
      <c r="W31" s="12"/>
      <c r="X31" s="17"/>
      <c r="Y31" s="12"/>
      <c r="Z31" s="12"/>
      <c r="AA31" s="12"/>
    </row>
    <row r="32" spans="2:27" x14ac:dyDescent="0.2">
      <c r="B32" s="8"/>
      <c r="C32" s="8"/>
      <c r="D32" s="8"/>
      <c r="E32" s="16"/>
      <c r="F32" s="8"/>
      <c r="G32" s="8"/>
      <c r="H32" s="16"/>
      <c r="I32" s="10"/>
      <c r="J32" s="10"/>
      <c r="K32" s="10"/>
      <c r="L32" s="10"/>
      <c r="M32" s="8"/>
      <c r="N32" s="8"/>
      <c r="O32" s="8"/>
      <c r="P32" s="8"/>
      <c r="Q32" s="16"/>
      <c r="R32" s="8"/>
      <c r="S32" s="8"/>
      <c r="T32" s="16"/>
      <c r="U32" s="10"/>
      <c r="V32" s="10"/>
      <c r="W32" s="10"/>
      <c r="X32" s="10"/>
      <c r="Y32" s="8"/>
      <c r="Z32" s="8"/>
      <c r="AA32" s="8"/>
    </row>
    <row r="33" spans="2:27" x14ac:dyDescent="0.2">
      <c r="B33" s="12"/>
      <c r="C33" s="12"/>
      <c r="D33" s="12"/>
      <c r="E33" s="17"/>
      <c r="F33" s="12"/>
      <c r="G33" s="12"/>
      <c r="H33" s="17"/>
      <c r="I33" s="12"/>
      <c r="J33" s="12"/>
      <c r="K33" s="12"/>
      <c r="L33" s="12"/>
      <c r="M33" s="12"/>
      <c r="N33" s="12"/>
      <c r="O33" s="12"/>
      <c r="P33" s="12"/>
      <c r="Q33" s="17"/>
      <c r="R33" s="12"/>
      <c r="S33" s="12"/>
      <c r="T33" s="17"/>
      <c r="U33" s="12"/>
      <c r="V33" s="12"/>
      <c r="W33" s="12"/>
      <c r="X33" s="12"/>
      <c r="Y33" s="12"/>
      <c r="Z33" s="12"/>
      <c r="AA33" s="12"/>
    </row>
    <row r="34" spans="2:27" x14ac:dyDescent="0.2">
      <c r="B34" s="8"/>
      <c r="C34" s="8"/>
      <c r="D34" s="8"/>
      <c r="E34" s="16"/>
      <c r="F34" s="8"/>
      <c r="G34" s="8"/>
      <c r="H34" s="16"/>
      <c r="I34" s="8"/>
      <c r="J34" s="8"/>
      <c r="K34" s="8"/>
      <c r="L34" s="8"/>
      <c r="M34" s="8"/>
      <c r="N34" s="8"/>
      <c r="O34" s="8"/>
      <c r="P34" s="8"/>
      <c r="Q34" s="16"/>
      <c r="R34" s="8"/>
      <c r="S34" s="8"/>
      <c r="T34" s="16"/>
      <c r="U34" s="8"/>
      <c r="V34" s="8"/>
      <c r="W34" s="8"/>
      <c r="X34" s="8"/>
      <c r="Y34" s="8"/>
      <c r="Z34" s="8"/>
      <c r="AA34" s="8"/>
    </row>
    <row r="35" spans="2:27" x14ac:dyDescent="0.2">
      <c r="B35" s="12"/>
      <c r="C35" s="12"/>
      <c r="D35" s="12"/>
      <c r="E35" s="17"/>
      <c r="F35" s="12"/>
      <c r="G35" s="12"/>
      <c r="H35" s="17"/>
      <c r="I35" s="12"/>
      <c r="J35" s="12"/>
      <c r="K35" s="12"/>
      <c r="L35" s="12"/>
      <c r="M35" s="12"/>
      <c r="N35" s="12"/>
      <c r="O35" s="12"/>
      <c r="P35" s="12"/>
      <c r="Q35" s="17"/>
      <c r="R35" s="12"/>
      <c r="S35" s="12"/>
      <c r="T35" s="17"/>
      <c r="U35" s="12"/>
      <c r="V35" s="12"/>
      <c r="W35" s="12"/>
      <c r="X35" s="12"/>
      <c r="Y35" s="12"/>
      <c r="Z35" s="12"/>
      <c r="AA35" s="12"/>
    </row>
    <row r="36" spans="2:27" x14ac:dyDescent="0.2">
      <c r="B36" s="8"/>
      <c r="C36" s="8"/>
      <c r="D36" s="8"/>
      <c r="E36" s="16"/>
      <c r="F36" s="8"/>
      <c r="G36" s="8"/>
      <c r="H36" s="16"/>
      <c r="I36" s="8"/>
      <c r="J36" s="8"/>
      <c r="K36" s="8"/>
      <c r="L36" s="8"/>
      <c r="M36" s="8"/>
      <c r="N36" s="8"/>
      <c r="O36" s="8"/>
      <c r="P36" s="8"/>
      <c r="Q36" s="16"/>
      <c r="R36" s="8"/>
      <c r="S36" s="8"/>
      <c r="T36" s="16"/>
      <c r="U36" s="8"/>
      <c r="V36" s="8"/>
      <c r="W36" s="8"/>
      <c r="X36" s="8"/>
      <c r="Y36" s="8"/>
      <c r="Z36" s="8"/>
      <c r="AA36" s="8"/>
    </row>
    <row r="37" spans="2:27" x14ac:dyDescent="0.2">
      <c r="B37" s="12"/>
      <c r="C37" s="12"/>
      <c r="D37" s="12"/>
      <c r="E37" s="17"/>
      <c r="F37" s="12"/>
      <c r="G37" s="12"/>
      <c r="H37" s="17"/>
      <c r="I37" s="12"/>
      <c r="J37" s="12"/>
      <c r="K37" s="12"/>
      <c r="L37" s="12"/>
      <c r="M37" s="12"/>
      <c r="N37" s="12"/>
      <c r="O37" s="12"/>
      <c r="P37" s="12"/>
      <c r="Q37" s="17"/>
      <c r="R37" s="12"/>
      <c r="S37" s="12"/>
      <c r="T37" s="17"/>
      <c r="U37" s="12"/>
      <c r="V37" s="12"/>
      <c r="W37" s="12"/>
      <c r="X37" s="12"/>
      <c r="Y37" s="12"/>
      <c r="Z37" s="12"/>
      <c r="AA37" s="12"/>
    </row>
    <row r="38" spans="2:27" x14ac:dyDescent="0.2">
      <c r="B38" s="8"/>
      <c r="C38" s="8"/>
      <c r="D38" s="8"/>
      <c r="E38" s="16"/>
      <c r="F38" s="8"/>
      <c r="G38" s="8"/>
      <c r="H38" s="16"/>
      <c r="I38" s="8"/>
      <c r="J38" s="8"/>
      <c r="K38" s="8"/>
      <c r="L38" s="8"/>
      <c r="M38" s="8"/>
      <c r="N38" s="8"/>
      <c r="O38" s="8"/>
      <c r="P38" s="8"/>
      <c r="Q38" s="16"/>
      <c r="R38" s="8"/>
      <c r="S38" s="8"/>
      <c r="T38" s="16"/>
      <c r="U38" s="8"/>
      <c r="V38" s="8"/>
      <c r="W38" s="8"/>
      <c r="X38" s="8"/>
      <c r="Y38" s="8"/>
      <c r="Z38" s="8"/>
      <c r="AA38" s="8"/>
    </row>
    <row r="39" spans="2:27" x14ac:dyDescent="0.2">
      <c r="B39" s="12"/>
      <c r="C39" s="12"/>
      <c r="D39" s="12"/>
      <c r="E39" s="17"/>
      <c r="F39" s="12"/>
      <c r="G39" s="12"/>
      <c r="H39" s="17"/>
      <c r="I39" s="12"/>
      <c r="J39" s="12"/>
      <c r="K39" s="12"/>
      <c r="L39" s="12"/>
      <c r="M39" s="12"/>
      <c r="N39" s="12"/>
      <c r="O39" s="12"/>
      <c r="P39" s="12"/>
      <c r="Q39" s="17"/>
      <c r="R39" s="12"/>
      <c r="S39" s="12"/>
      <c r="T39" s="17"/>
      <c r="U39" s="12"/>
      <c r="V39" s="12"/>
      <c r="W39" s="12"/>
      <c r="X39" s="12"/>
      <c r="Y39" s="12"/>
      <c r="Z39" s="12"/>
      <c r="AA39" s="12"/>
    </row>
    <row r="40" spans="2:27" x14ac:dyDescent="0.2">
      <c r="B40" s="8"/>
      <c r="C40" s="8"/>
      <c r="D40" s="8"/>
      <c r="E40" s="16"/>
      <c r="F40" s="8"/>
      <c r="G40" s="8"/>
      <c r="H40" s="16"/>
      <c r="I40" s="8"/>
      <c r="J40" s="8"/>
      <c r="K40" s="8"/>
      <c r="L40" s="8"/>
      <c r="M40" s="8"/>
      <c r="N40" s="8"/>
      <c r="O40" s="8"/>
      <c r="P40" s="8"/>
      <c r="Q40" s="16"/>
      <c r="R40" s="8"/>
      <c r="S40" s="8"/>
      <c r="T40" s="16"/>
      <c r="U40" s="8"/>
      <c r="V40" s="8"/>
      <c r="W40" s="8"/>
      <c r="X40" s="8"/>
      <c r="Y40" s="8"/>
      <c r="Z40" s="8"/>
      <c r="AA40" s="8"/>
    </row>
    <row r="41" spans="2:27" x14ac:dyDescent="0.2">
      <c r="B41" s="12"/>
      <c r="C41" s="12"/>
      <c r="D41" s="12"/>
      <c r="E41" s="17"/>
      <c r="F41" s="12"/>
      <c r="G41" s="12"/>
      <c r="H41" s="17"/>
      <c r="I41" s="12"/>
      <c r="J41" s="12"/>
      <c r="K41" s="12"/>
      <c r="L41" s="12"/>
      <c r="M41" s="12"/>
      <c r="N41" s="12"/>
      <c r="O41" s="12"/>
      <c r="P41" s="12"/>
      <c r="Q41" s="17"/>
      <c r="R41" s="12"/>
      <c r="S41" s="12"/>
      <c r="T41" s="17"/>
      <c r="U41" s="12"/>
      <c r="V41" s="12"/>
      <c r="W41" s="12"/>
      <c r="X41" s="12"/>
      <c r="Y41" s="12"/>
      <c r="Z41" s="12"/>
      <c r="AA41" s="12"/>
    </row>
    <row r="42" spans="2:27" x14ac:dyDescent="0.2">
      <c r="B42" s="3"/>
      <c r="C42" s="3"/>
      <c r="D42" s="3"/>
      <c r="E42" s="3"/>
      <c r="F42" s="3"/>
      <c r="G42" s="3"/>
    </row>
    <row r="43" spans="2:27" x14ac:dyDescent="0.2">
      <c r="B43" s="3"/>
      <c r="C43" s="3"/>
      <c r="D43" s="3"/>
      <c r="E43" s="3"/>
      <c r="F43" s="3"/>
      <c r="G43" s="3"/>
    </row>
    <row r="44" spans="2:27" x14ac:dyDescent="0.2">
      <c r="B44" s="3"/>
      <c r="C44" s="3"/>
      <c r="D44" s="3"/>
      <c r="E44" s="3"/>
      <c r="F44" s="3"/>
      <c r="G44" s="3"/>
    </row>
    <row r="45" spans="2:27" x14ac:dyDescent="0.2">
      <c r="B45" s="3"/>
      <c r="C45" s="3"/>
      <c r="D45" s="3"/>
      <c r="E45" s="3"/>
      <c r="F45" s="3"/>
      <c r="G45" s="3"/>
    </row>
    <row r="46" spans="2:27" x14ac:dyDescent="0.2">
      <c r="B46" s="3"/>
      <c r="C46" s="3"/>
      <c r="D46" s="3"/>
      <c r="E46" s="3"/>
      <c r="F46" s="3"/>
      <c r="G46" s="3"/>
    </row>
    <row r="47" spans="2:27" x14ac:dyDescent="0.2">
      <c r="B47" s="3"/>
      <c r="C47" s="3"/>
      <c r="D47" s="3"/>
      <c r="E47" s="3"/>
      <c r="F47" s="3"/>
      <c r="G47" s="3"/>
    </row>
    <row r="48" spans="2:27" x14ac:dyDescent="0.2">
      <c r="B48" s="3"/>
      <c r="C48" s="3"/>
      <c r="D48" s="3"/>
      <c r="E48" s="3"/>
      <c r="F48" s="3"/>
      <c r="G48" s="3"/>
    </row>
    <row r="49" spans="2:7" x14ac:dyDescent="0.2">
      <c r="B49" s="3"/>
      <c r="C49" s="3"/>
      <c r="D49" s="3"/>
      <c r="E49" s="3"/>
      <c r="F49" s="3"/>
      <c r="G49" s="3"/>
    </row>
    <row r="50" spans="2:7" x14ac:dyDescent="0.2">
      <c r="B50" s="3"/>
      <c r="C50" s="3"/>
      <c r="D50" s="3"/>
      <c r="E50" s="3"/>
      <c r="F50" s="3"/>
      <c r="G50" s="3"/>
    </row>
    <row r="66" spans="2:6" x14ac:dyDescent="0.2">
      <c r="B66" s="1">
        <v>0</v>
      </c>
      <c r="C66" s="1">
        <v>-500</v>
      </c>
      <c r="D66" s="1">
        <v>0</v>
      </c>
      <c r="E66" s="1">
        <v>-500</v>
      </c>
      <c r="F66" s="1">
        <v>0</v>
      </c>
    </row>
    <row r="67" spans="2:6" x14ac:dyDescent="0.2">
      <c r="B67" s="1">
        <v>1</v>
      </c>
      <c r="C67" s="1">
        <v>-475</v>
      </c>
      <c r="D67" s="1">
        <v>1</v>
      </c>
      <c r="E67" s="1">
        <v>-475</v>
      </c>
      <c r="F67" s="1">
        <v>0</v>
      </c>
    </row>
    <row r="68" spans="2:6" x14ac:dyDescent="0.2">
      <c r="B68" s="1">
        <v>2</v>
      </c>
      <c r="C68" s="1">
        <v>-450</v>
      </c>
      <c r="D68" s="1">
        <v>2</v>
      </c>
      <c r="E68" s="1">
        <v>-450</v>
      </c>
      <c r="F68" s="1">
        <v>0</v>
      </c>
    </row>
    <row r="69" spans="2:6" x14ac:dyDescent="0.2">
      <c r="B69" s="1">
        <v>3</v>
      </c>
      <c r="C69" s="1">
        <v>-425</v>
      </c>
      <c r="D69" s="1">
        <v>3</v>
      </c>
      <c r="E69" s="1">
        <v>-425</v>
      </c>
      <c r="F69" s="1">
        <v>0</v>
      </c>
    </row>
    <row r="70" spans="2:6" x14ac:dyDescent="0.2">
      <c r="B70" s="1">
        <v>4</v>
      </c>
      <c r="C70" s="1">
        <v>-400</v>
      </c>
      <c r="D70" s="1">
        <v>4</v>
      </c>
      <c r="E70" s="1">
        <v>-400</v>
      </c>
      <c r="F70" s="1">
        <v>0</v>
      </c>
    </row>
    <row r="71" spans="2:6" x14ac:dyDescent="0.2">
      <c r="B71" s="1">
        <v>5</v>
      </c>
      <c r="C71" s="1">
        <v>-375</v>
      </c>
      <c r="D71" s="1">
        <v>5</v>
      </c>
      <c r="E71" s="1">
        <v>-375</v>
      </c>
      <c r="F71" s="1">
        <v>0</v>
      </c>
    </row>
    <row r="72" spans="2:6" x14ac:dyDescent="0.2">
      <c r="B72" s="1">
        <v>6</v>
      </c>
      <c r="C72" s="1">
        <v>-350</v>
      </c>
      <c r="D72" s="1">
        <v>6</v>
      </c>
      <c r="E72" s="1">
        <v>-350</v>
      </c>
      <c r="F72" s="1">
        <v>0</v>
      </c>
    </row>
    <row r="73" spans="2:6" x14ac:dyDescent="0.2">
      <c r="B73" s="1">
        <v>7</v>
      </c>
      <c r="C73" s="1">
        <v>-325</v>
      </c>
      <c r="D73" s="1">
        <v>7</v>
      </c>
      <c r="E73" s="1">
        <v>-325</v>
      </c>
      <c r="F73" s="1">
        <v>0</v>
      </c>
    </row>
    <row r="74" spans="2:6" x14ac:dyDescent="0.2">
      <c r="B74" s="1">
        <v>8</v>
      </c>
      <c r="C74" s="1">
        <v>-300</v>
      </c>
      <c r="D74" s="1">
        <v>8</v>
      </c>
      <c r="E74" s="1">
        <v>-300</v>
      </c>
      <c r="F74" s="1">
        <v>0</v>
      </c>
    </row>
    <row r="75" spans="2:6" x14ac:dyDescent="0.2">
      <c r="B75" s="1">
        <v>9</v>
      </c>
      <c r="C75" s="1">
        <v>-275</v>
      </c>
      <c r="D75" s="1">
        <v>9</v>
      </c>
      <c r="E75" s="1">
        <v>-275</v>
      </c>
      <c r="F75" s="1">
        <v>0</v>
      </c>
    </row>
    <row r="76" spans="2:6" x14ac:dyDescent="0.2">
      <c r="B76" s="1">
        <v>10</v>
      </c>
      <c r="C76" s="1">
        <v>-250</v>
      </c>
      <c r="D76" s="1">
        <v>10</v>
      </c>
      <c r="E76" s="1">
        <v>-250</v>
      </c>
      <c r="F76" s="1">
        <v>0</v>
      </c>
    </row>
    <row r="77" spans="2:6" x14ac:dyDescent="0.2">
      <c r="B77" s="1">
        <v>11</v>
      </c>
      <c r="C77" s="1">
        <v>-225</v>
      </c>
      <c r="D77" s="1">
        <v>11</v>
      </c>
      <c r="E77" s="1">
        <v>-225</v>
      </c>
      <c r="F77" s="1">
        <v>0</v>
      </c>
    </row>
    <row r="78" spans="2:6" x14ac:dyDescent="0.2">
      <c r="B78" s="1">
        <v>12</v>
      </c>
      <c r="C78" s="1">
        <v>-200</v>
      </c>
      <c r="D78" s="1">
        <v>12</v>
      </c>
      <c r="E78" s="1">
        <v>-200</v>
      </c>
      <c r="F78" s="1">
        <v>0</v>
      </c>
    </row>
    <row r="79" spans="2:6" x14ac:dyDescent="0.2">
      <c r="B79" s="1">
        <v>13</v>
      </c>
      <c r="C79" s="1">
        <v>-175</v>
      </c>
      <c r="D79" s="1">
        <v>13</v>
      </c>
      <c r="E79" s="1">
        <v>-175</v>
      </c>
      <c r="F79" s="1">
        <v>5</v>
      </c>
    </row>
    <row r="80" spans="2:6" x14ac:dyDescent="0.2">
      <c r="B80" s="1">
        <v>14</v>
      </c>
      <c r="C80" s="1">
        <v>-150</v>
      </c>
      <c r="D80" s="1">
        <v>14</v>
      </c>
      <c r="E80" s="1">
        <v>-150</v>
      </c>
      <c r="F80" s="1">
        <v>10</v>
      </c>
    </row>
    <row r="81" spans="2:6" x14ac:dyDescent="0.2">
      <c r="B81" s="1">
        <v>15</v>
      </c>
      <c r="C81" s="1">
        <v>-125</v>
      </c>
      <c r="D81" s="1">
        <v>15</v>
      </c>
      <c r="E81" s="1">
        <v>-125</v>
      </c>
      <c r="F81" s="1">
        <v>15</v>
      </c>
    </row>
    <row r="82" spans="2:6" x14ac:dyDescent="0.2">
      <c r="B82" s="1">
        <v>16</v>
      </c>
      <c r="C82" s="1">
        <v>-100</v>
      </c>
      <c r="D82" s="1">
        <v>16</v>
      </c>
      <c r="E82" s="1">
        <v>-100</v>
      </c>
      <c r="F82" s="1">
        <v>20</v>
      </c>
    </row>
    <row r="83" spans="2:6" x14ac:dyDescent="0.2">
      <c r="B83" s="1">
        <v>17</v>
      </c>
      <c r="C83" s="1">
        <v>-75</v>
      </c>
      <c r="D83" s="1">
        <v>17</v>
      </c>
      <c r="E83" s="1">
        <v>-75</v>
      </c>
      <c r="F83" s="1">
        <v>25</v>
      </c>
    </row>
    <row r="84" spans="2:6" x14ac:dyDescent="0.2">
      <c r="B84" s="1">
        <v>18</v>
      </c>
      <c r="C84" s="1">
        <v>-50</v>
      </c>
      <c r="D84" s="1">
        <v>18</v>
      </c>
      <c r="E84" s="1">
        <v>-50</v>
      </c>
      <c r="F84" s="1">
        <v>30</v>
      </c>
    </row>
    <row r="85" spans="2:6" x14ac:dyDescent="0.2">
      <c r="B85" s="1">
        <v>19</v>
      </c>
      <c r="C85" s="1">
        <v>-25</v>
      </c>
      <c r="D85" s="1">
        <v>19</v>
      </c>
      <c r="E85" s="1">
        <v>-25</v>
      </c>
      <c r="F85" s="1">
        <v>35</v>
      </c>
    </row>
    <row r="86" spans="2:6" x14ac:dyDescent="0.2">
      <c r="B86" s="1">
        <v>20</v>
      </c>
      <c r="C86" s="1">
        <v>0</v>
      </c>
      <c r="D86" s="1">
        <v>20</v>
      </c>
      <c r="E86" s="1">
        <v>0</v>
      </c>
      <c r="F86" s="1">
        <v>40</v>
      </c>
    </row>
    <row r="87" spans="2:6" x14ac:dyDescent="0.2">
      <c r="B87" s="1">
        <v>21</v>
      </c>
      <c r="C87" s="1">
        <v>25</v>
      </c>
      <c r="D87" s="1">
        <v>21</v>
      </c>
      <c r="E87" s="1">
        <v>25</v>
      </c>
      <c r="F87" s="1">
        <v>40</v>
      </c>
    </row>
    <row r="88" spans="2:6" x14ac:dyDescent="0.2">
      <c r="B88" s="1">
        <v>22</v>
      </c>
      <c r="C88" s="1">
        <v>50</v>
      </c>
      <c r="D88" s="1">
        <v>22</v>
      </c>
      <c r="E88" s="1">
        <v>50</v>
      </c>
      <c r="F88" s="1">
        <v>40</v>
      </c>
    </row>
    <row r="89" spans="2:6" x14ac:dyDescent="0.2">
      <c r="B89" s="1">
        <v>23</v>
      </c>
      <c r="C89" s="1">
        <v>75</v>
      </c>
      <c r="D89" s="1">
        <v>23</v>
      </c>
      <c r="E89" s="1">
        <v>75</v>
      </c>
      <c r="F89" s="1">
        <v>40</v>
      </c>
    </row>
    <row r="90" spans="2:6" x14ac:dyDescent="0.2">
      <c r="B90" s="1">
        <v>24</v>
      </c>
      <c r="C90" s="1">
        <v>100</v>
      </c>
      <c r="D90" s="1">
        <v>24</v>
      </c>
      <c r="E90" s="1">
        <v>100</v>
      </c>
      <c r="F90" s="1">
        <v>40</v>
      </c>
    </row>
    <row r="91" spans="2:6" x14ac:dyDescent="0.2">
      <c r="B91" s="1">
        <v>25</v>
      </c>
      <c r="C91" s="1">
        <v>125</v>
      </c>
      <c r="D91" s="1">
        <v>25</v>
      </c>
      <c r="E91" s="1">
        <v>125</v>
      </c>
      <c r="F91" s="1">
        <v>40</v>
      </c>
    </row>
    <row r="92" spans="2:6" x14ac:dyDescent="0.2">
      <c r="B92" s="1">
        <v>26</v>
      </c>
      <c r="C92" s="1">
        <v>150</v>
      </c>
      <c r="D92" s="1">
        <v>26</v>
      </c>
      <c r="E92" s="1">
        <v>150</v>
      </c>
      <c r="F92" s="1">
        <v>40</v>
      </c>
    </row>
    <row r="93" spans="2:6" x14ac:dyDescent="0.2">
      <c r="B93" s="1">
        <v>27</v>
      </c>
      <c r="C93" s="1">
        <v>175</v>
      </c>
      <c r="D93" s="1">
        <v>27</v>
      </c>
      <c r="E93" s="1">
        <v>175</v>
      </c>
      <c r="F93" s="1">
        <v>35</v>
      </c>
    </row>
    <row r="94" spans="2:6" x14ac:dyDescent="0.2">
      <c r="B94" s="1">
        <v>28</v>
      </c>
      <c r="C94" s="1">
        <v>200</v>
      </c>
      <c r="D94" s="1">
        <v>28</v>
      </c>
      <c r="E94" s="1">
        <v>200</v>
      </c>
      <c r="F94" s="1">
        <v>30</v>
      </c>
    </row>
    <row r="95" spans="2:6" x14ac:dyDescent="0.2">
      <c r="B95" s="1">
        <v>29</v>
      </c>
      <c r="C95" s="1">
        <v>225</v>
      </c>
      <c r="D95" s="1">
        <v>29</v>
      </c>
      <c r="E95" s="1">
        <v>225</v>
      </c>
      <c r="F95" s="1">
        <v>25</v>
      </c>
    </row>
    <row r="96" spans="2:6" x14ac:dyDescent="0.2">
      <c r="B96" s="1">
        <v>30</v>
      </c>
      <c r="C96" s="1">
        <v>250</v>
      </c>
      <c r="D96" s="1">
        <v>30</v>
      </c>
      <c r="E96" s="1">
        <v>250</v>
      </c>
      <c r="F96" s="1">
        <v>20</v>
      </c>
    </row>
    <row r="97" spans="2:6" x14ac:dyDescent="0.2">
      <c r="B97" s="1">
        <v>31</v>
      </c>
      <c r="C97" s="1">
        <v>275</v>
      </c>
      <c r="D97" s="1">
        <v>31</v>
      </c>
      <c r="E97" s="1">
        <v>275</v>
      </c>
      <c r="F97" s="1">
        <v>15</v>
      </c>
    </row>
    <row r="98" spans="2:6" x14ac:dyDescent="0.2">
      <c r="B98" s="1">
        <v>32</v>
      </c>
      <c r="C98" s="1">
        <v>300</v>
      </c>
      <c r="D98" s="1">
        <v>32</v>
      </c>
      <c r="E98" s="1">
        <v>300</v>
      </c>
      <c r="F98" s="1">
        <v>10</v>
      </c>
    </row>
    <row r="99" spans="2:6" x14ac:dyDescent="0.2">
      <c r="B99" s="1">
        <v>33</v>
      </c>
      <c r="C99" s="1">
        <v>325</v>
      </c>
      <c r="D99" s="1">
        <v>33</v>
      </c>
      <c r="E99" s="1">
        <v>325</v>
      </c>
      <c r="F99" s="1">
        <v>4.9999999999999858</v>
      </c>
    </row>
    <row r="100" spans="2:6" x14ac:dyDescent="0.2">
      <c r="B100" s="1">
        <v>34</v>
      </c>
      <c r="C100" s="1">
        <v>350</v>
      </c>
      <c r="D100" s="1">
        <v>34</v>
      </c>
      <c r="E100" s="1">
        <v>350</v>
      </c>
      <c r="F100" s="1">
        <v>0</v>
      </c>
    </row>
    <row r="101" spans="2:6" x14ac:dyDescent="0.2">
      <c r="B101" s="1">
        <v>35</v>
      </c>
      <c r="C101" s="1">
        <v>375</v>
      </c>
      <c r="D101" s="1">
        <v>35</v>
      </c>
      <c r="E101" s="1">
        <v>375</v>
      </c>
      <c r="F101" s="1">
        <v>0</v>
      </c>
    </row>
    <row r="102" spans="2:6" x14ac:dyDescent="0.2">
      <c r="B102" s="1">
        <v>36</v>
      </c>
      <c r="C102" s="1">
        <v>400</v>
      </c>
      <c r="D102" s="1">
        <v>36</v>
      </c>
      <c r="E102" s="1">
        <v>400</v>
      </c>
      <c r="F102" s="1">
        <v>0</v>
      </c>
    </row>
    <row r="103" spans="2:6" x14ac:dyDescent="0.2">
      <c r="B103" s="1">
        <v>37</v>
      </c>
      <c r="C103" s="1">
        <v>425</v>
      </c>
      <c r="D103" s="1">
        <v>37</v>
      </c>
      <c r="E103" s="1">
        <v>425</v>
      </c>
      <c r="F103" s="1">
        <v>0</v>
      </c>
    </row>
    <row r="104" spans="2:6" x14ac:dyDescent="0.2">
      <c r="B104" s="1">
        <v>38</v>
      </c>
      <c r="C104" s="1">
        <v>450</v>
      </c>
      <c r="D104" s="1">
        <v>38</v>
      </c>
      <c r="E104" s="1">
        <v>450</v>
      </c>
      <c r="F104" s="1">
        <v>0</v>
      </c>
    </row>
    <row r="105" spans="2:6" x14ac:dyDescent="0.2">
      <c r="B105" s="1">
        <v>39</v>
      </c>
      <c r="C105" s="1">
        <v>475</v>
      </c>
      <c r="D105" s="1">
        <v>39</v>
      </c>
      <c r="E105" s="1">
        <v>475</v>
      </c>
      <c r="F105" s="1">
        <v>0</v>
      </c>
    </row>
    <row r="106" spans="2:6" x14ac:dyDescent="0.2">
      <c r="B106" s="1">
        <v>40</v>
      </c>
      <c r="C106" s="1">
        <v>500</v>
      </c>
      <c r="D106" s="1">
        <v>40</v>
      </c>
      <c r="E106" s="1">
        <v>500</v>
      </c>
      <c r="F106" s="1">
        <v>0</v>
      </c>
    </row>
    <row r="107" spans="2:6" x14ac:dyDescent="0.2">
      <c r="B107" s="1">
        <v>41</v>
      </c>
      <c r="C107" s="1">
        <v>525</v>
      </c>
      <c r="D107" s="1">
        <v>41</v>
      </c>
      <c r="E107" s="1">
        <v>525</v>
      </c>
      <c r="F107" s="1">
        <v>0</v>
      </c>
    </row>
    <row r="108" spans="2:6" x14ac:dyDescent="0.2">
      <c r="B108" s="1">
        <v>42</v>
      </c>
      <c r="C108" s="1">
        <v>550</v>
      </c>
      <c r="D108" s="1">
        <v>42</v>
      </c>
      <c r="E108" s="1">
        <v>550</v>
      </c>
      <c r="F108" s="1">
        <v>0</v>
      </c>
    </row>
    <row r="109" spans="2:6" x14ac:dyDescent="0.2">
      <c r="B109" s="1">
        <v>43</v>
      </c>
      <c r="C109" s="1">
        <v>575</v>
      </c>
      <c r="D109" s="1">
        <v>43</v>
      </c>
      <c r="E109" s="1">
        <v>575</v>
      </c>
      <c r="F109" s="1">
        <v>0</v>
      </c>
    </row>
    <row r="110" spans="2:6" x14ac:dyDescent="0.2">
      <c r="B110" s="1">
        <v>44</v>
      </c>
      <c r="C110" s="1">
        <v>600</v>
      </c>
      <c r="D110" s="1">
        <v>44</v>
      </c>
      <c r="E110" s="1">
        <v>600</v>
      </c>
      <c r="F110" s="1">
        <v>0</v>
      </c>
    </row>
    <row r="111" spans="2:6" x14ac:dyDescent="0.2">
      <c r="B111" s="1">
        <v>45</v>
      </c>
      <c r="C111" s="1">
        <v>625</v>
      </c>
      <c r="D111" s="1">
        <v>45</v>
      </c>
      <c r="E111" s="1">
        <v>625</v>
      </c>
      <c r="F111" s="1">
        <v>0</v>
      </c>
    </row>
    <row r="112" spans="2:6" x14ac:dyDescent="0.2">
      <c r="B112" s="1">
        <v>46</v>
      </c>
      <c r="C112" s="1">
        <v>650</v>
      </c>
      <c r="D112" s="1">
        <v>46</v>
      </c>
      <c r="E112" s="1">
        <v>650</v>
      </c>
      <c r="F112" s="1">
        <v>0</v>
      </c>
    </row>
  </sheetData>
  <phoneticPr fontId="0" type="noConversion"/>
  <printOptions headings="1"/>
  <pageMargins left="0.74803149606299213" right="0.74803149606299213" top="0.98425196850393704" bottom="0.98425196850393704" header="0.51181102362204722" footer="0.51181102362204722"/>
  <pageSetup paperSize="9" scale="8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0" r:id="rId4" name="Check Box 56">
              <controlPr defaultSize="0" autoFill="0" autoLine="0" autoPict="0">
                <anchor moveWithCells="1">
                  <from>
                    <xdr:col>3</xdr:col>
                    <xdr:colOff>66675</xdr:colOff>
                    <xdr:row>11</xdr:row>
                    <xdr:rowOff>133350</xdr:rowOff>
                  </from>
                  <to>
                    <xdr:col>3</xdr:col>
                    <xdr:colOff>485775</xdr:colOff>
                    <xdr:row>13</xdr:row>
                    <xdr:rowOff>28575</xdr:rowOff>
                  </to>
                </anchor>
              </controlPr>
            </control>
          </mc:Choice>
        </mc:AlternateContent>
        <mc:AlternateContent xmlns:mc="http://schemas.openxmlformats.org/markup-compatibility/2006">
          <mc:Choice Requires="x14">
            <control shapeId="1081" r:id="rId5" name="Check Box 57">
              <controlPr defaultSize="0" autoFill="0" autoLine="0" autoPict="0">
                <anchor moveWithCells="1">
                  <from>
                    <xdr:col>4</xdr:col>
                    <xdr:colOff>66675</xdr:colOff>
                    <xdr:row>11</xdr:row>
                    <xdr:rowOff>133350</xdr:rowOff>
                  </from>
                  <to>
                    <xdr:col>4</xdr:col>
                    <xdr:colOff>485775</xdr:colOff>
                    <xdr:row>13</xdr:row>
                    <xdr:rowOff>28575</xdr:rowOff>
                  </to>
                </anchor>
              </controlPr>
            </control>
          </mc:Choice>
        </mc:AlternateContent>
        <mc:AlternateContent xmlns:mc="http://schemas.openxmlformats.org/markup-compatibility/2006">
          <mc:Choice Requires="x14">
            <control shapeId="1082" r:id="rId6" name="Check Box 58">
              <controlPr defaultSize="0" autoFill="0" autoLine="0" autoPict="0">
                <anchor moveWithCells="1">
                  <from>
                    <xdr:col>5</xdr:col>
                    <xdr:colOff>66675</xdr:colOff>
                    <xdr:row>11</xdr:row>
                    <xdr:rowOff>133350</xdr:rowOff>
                  </from>
                  <to>
                    <xdr:col>5</xdr:col>
                    <xdr:colOff>485775</xdr:colOff>
                    <xdr:row>13</xdr:row>
                    <xdr:rowOff>28575</xdr:rowOff>
                  </to>
                </anchor>
              </controlPr>
            </control>
          </mc:Choice>
        </mc:AlternateContent>
        <mc:AlternateContent xmlns:mc="http://schemas.openxmlformats.org/markup-compatibility/2006">
          <mc:Choice Requires="x14">
            <control shapeId="1097" r:id="rId7" name="Check Box 73">
              <controlPr defaultSize="0" autoFill="0" autoLine="0" autoPict="0">
                <anchor moveWithCells="1">
                  <from>
                    <xdr:col>6</xdr:col>
                    <xdr:colOff>85725</xdr:colOff>
                    <xdr:row>11</xdr:row>
                    <xdr:rowOff>133350</xdr:rowOff>
                  </from>
                  <to>
                    <xdr:col>6</xdr:col>
                    <xdr:colOff>504825</xdr:colOff>
                    <xdr:row>13</xdr:row>
                    <xdr:rowOff>28575</xdr:rowOff>
                  </to>
                </anchor>
              </controlPr>
            </control>
          </mc:Choice>
        </mc:AlternateContent>
        <mc:AlternateContent xmlns:mc="http://schemas.openxmlformats.org/markup-compatibility/2006">
          <mc:Choice Requires="x14">
            <control shapeId="1098" r:id="rId8" name="Check Box 74">
              <controlPr defaultSize="0" autoFill="0" autoLine="0" autoPict="0">
                <anchor moveWithCells="1">
                  <from>
                    <xdr:col>7</xdr:col>
                    <xdr:colOff>85725</xdr:colOff>
                    <xdr:row>11</xdr:row>
                    <xdr:rowOff>133350</xdr:rowOff>
                  </from>
                  <to>
                    <xdr:col>7</xdr:col>
                    <xdr:colOff>504825</xdr:colOff>
                    <xdr:row>13</xdr:row>
                    <xdr:rowOff>28575</xdr:rowOff>
                  </to>
                </anchor>
              </controlPr>
            </control>
          </mc:Choice>
        </mc:AlternateContent>
        <mc:AlternateContent xmlns:mc="http://schemas.openxmlformats.org/markup-compatibility/2006">
          <mc:Choice Requires="x14">
            <control shapeId="1099" r:id="rId9" name="Check Box 75">
              <controlPr defaultSize="0" autoFill="0" autoLine="0" autoPict="0">
                <anchor moveWithCells="1">
                  <from>
                    <xdr:col>8</xdr:col>
                    <xdr:colOff>85725</xdr:colOff>
                    <xdr:row>11</xdr:row>
                    <xdr:rowOff>133350</xdr:rowOff>
                  </from>
                  <to>
                    <xdr:col>8</xdr:col>
                    <xdr:colOff>504825</xdr:colOff>
                    <xdr:row>13</xdr:row>
                    <xdr:rowOff>28575</xdr:rowOff>
                  </to>
                </anchor>
              </controlPr>
            </control>
          </mc:Choice>
        </mc:AlternateContent>
        <mc:AlternateContent xmlns:mc="http://schemas.openxmlformats.org/markup-compatibility/2006">
          <mc:Choice Requires="x14">
            <control shapeId="1100" r:id="rId10" name="Check Box 76">
              <controlPr defaultSize="0" autoFill="0" autoLine="0" autoPict="0">
                <anchor moveWithCells="1">
                  <from>
                    <xdr:col>9</xdr:col>
                    <xdr:colOff>85725</xdr:colOff>
                    <xdr:row>11</xdr:row>
                    <xdr:rowOff>133350</xdr:rowOff>
                  </from>
                  <to>
                    <xdr:col>9</xdr:col>
                    <xdr:colOff>504825</xdr:colOff>
                    <xdr:row>13</xdr:row>
                    <xdr:rowOff>28575</xdr:rowOff>
                  </to>
                </anchor>
              </controlPr>
            </control>
          </mc:Choice>
        </mc:AlternateContent>
        <mc:AlternateContent xmlns:mc="http://schemas.openxmlformats.org/markup-compatibility/2006">
          <mc:Choice Requires="x14">
            <control shapeId="1101" r:id="rId11" name="Check Box 77">
              <controlPr defaultSize="0" autoFill="0" autoLine="0" autoPict="0">
                <anchor moveWithCells="1">
                  <from>
                    <xdr:col>10</xdr:col>
                    <xdr:colOff>85725</xdr:colOff>
                    <xdr:row>11</xdr:row>
                    <xdr:rowOff>133350</xdr:rowOff>
                  </from>
                  <to>
                    <xdr:col>10</xdr:col>
                    <xdr:colOff>504825</xdr:colOff>
                    <xdr:row>13</xdr:row>
                    <xdr:rowOff>28575</xdr:rowOff>
                  </to>
                </anchor>
              </controlPr>
            </control>
          </mc:Choice>
        </mc:AlternateContent>
        <mc:AlternateContent xmlns:mc="http://schemas.openxmlformats.org/markup-compatibility/2006">
          <mc:Choice Requires="x14">
            <control shapeId="1102" r:id="rId12" name="Check Box 78">
              <controlPr defaultSize="0" autoFill="0" autoLine="0" autoPict="0">
                <anchor moveWithCells="1">
                  <from>
                    <xdr:col>11</xdr:col>
                    <xdr:colOff>85725</xdr:colOff>
                    <xdr:row>11</xdr:row>
                    <xdr:rowOff>133350</xdr:rowOff>
                  </from>
                  <to>
                    <xdr:col>11</xdr:col>
                    <xdr:colOff>504825</xdr:colOff>
                    <xdr:row>13</xdr:row>
                    <xdr:rowOff>28575</xdr:rowOff>
                  </to>
                </anchor>
              </controlPr>
            </control>
          </mc:Choice>
        </mc:AlternateContent>
        <mc:AlternateContent xmlns:mc="http://schemas.openxmlformats.org/markup-compatibility/2006">
          <mc:Choice Requires="x14">
            <control shapeId="1103" r:id="rId13" name="Check Box 79">
              <controlPr defaultSize="0" autoFill="0" autoLine="0" autoPict="0">
                <anchor moveWithCells="1">
                  <from>
                    <xdr:col>12</xdr:col>
                    <xdr:colOff>85725</xdr:colOff>
                    <xdr:row>11</xdr:row>
                    <xdr:rowOff>133350</xdr:rowOff>
                  </from>
                  <to>
                    <xdr:col>12</xdr:col>
                    <xdr:colOff>504825</xdr:colOff>
                    <xdr:row>13</xdr:row>
                    <xdr:rowOff>28575</xdr:rowOff>
                  </to>
                </anchor>
              </controlPr>
            </control>
          </mc:Choice>
        </mc:AlternateContent>
        <mc:AlternateContent xmlns:mc="http://schemas.openxmlformats.org/markup-compatibility/2006">
          <mc:Choice Requires="x14">
            <control shapeId="1104" r:id="rId14" name="Check Box 80">
              <controlPr defaultSize="0" autoFill="0" autoLine="0" autoPict="0">
                <anchor moveWithCells="1">
                  <from>
                    <xdr:col>13</xdr:col>
                    <xdr:colOff>85725</xdr:colOff>
                    <xdr:row>11</xdr:row>
                    <xdr:rowOff>133350</xdr:rowOff>
                  </from>
                  <to>
                    <xdr:col>13</xdr:col>
                    <xdr:colOff>504825</xdr:colOff>
                    <xdr:row>13</xdr:row>
                    <xdr:rowOff>28575</xdr:rowOff>
                  </to>
                </anchor>
              </controlPr>
            </control>
          </mc:Choice>
        </mc:AlternateContent>
        <mc:AlternateContent xmlns:mc="http://schemas.openxmlformats.org/markup-compatibility/2006">
          <mc:Choice Requires="x14">
            <control shapeId="1105" r:id="rId15" name="Check Box 81">
              <controlPr defaultSize="0" autoFill="0" autoLine="0" autoPict="0">
                <anchor moveWithCells="1">
                  <from>
                    <xdr:col>14</xdr:col>
                    <xdr:colOff>85725</xdr:colOff>
                    <xdr:row>11</xdr:row>
                    <xdr:rowOff>133350</xdr:rowOff>
                  </from>
                  <to>
                    <xdr:col>14</xdr:col>
                    <xdr:colOff>504825</xdr:colOff>
                    <xdr:row>13</xdr:row>
                    <xdr:rowOff>28575</xdr:rowOff>
                  </to>
                </anchor>
              </controlPr>
            </control>
          </mc:Choice>
        </mc:AlternateContent>
        <mc:AlternateContent xmlns:mc="http://schemas.openxmlformats.org/markup-compatibility/2006">
          <mc:Choice Requires="x14">
            <control shapeId="1106" r:id="rId16" name="Check Box 82">
              <controlPr defaultSize="0" autoFill="0" autoLine="0" autoPict="0">
                <anchor moveWithCells="1">
                  <from>
                    <xdr:col>15</xdr:col>
                    <xdr:colOff>85725</xdr:colOff>
                    <xdr:row>11</xdr:row>
                    <xdr:rowOff>133350</xdr:rowOff>
                  </from>
                  <to>
                    <xdr:col>15</xdr:col>
                    <xdr:colOff>504825</xdr:colOff>
                    <xdr:row>13</xdr:row>
                    <xdr:rowOff>28575</xdr:rowOff>
                  </to>
                </anchor>
              </controlPr>
            </control>
          </mc:Choice>
        </mc:AlternateContent>
        <mc:AlternateContent xmlns:mc="http://schemas.openxmlformats.org/markup-compatibility/2006">
          <mc:Choice Requires="x14">
            <control shapeId="1107" r:id="rId17" name="Check Box 83">
              <controlPr defaultSize="0" autoFill="0" autoLine="0" autoPict="0">
                <anchor moveWithCells="1">
                  <from>
                    <xdr:col>16</xdr:col>
                    <xdr:colOff>85725</xdr:colOff>
                    <xdr:row>11</xdr:row>
                    <xdr:rowOff>133350</xdr:rowOff>
                  </from>
                  <to>
                    <xdr:col>16</xdr:col>
                    <xdr:colOff>504825</xdr:colOff>
                    <xdr:row>13</xdr:row>
                    <xdr:rowOff>28575</xdr:rowOff>
                  </to>
                </anchor>
              </controlPr>
            </control>
          </mc:Choice>
        </mc:AlternateContent>
        <mc:AlternateContent xmlns:mc="http://schemas.openxmlformats.org/markup-compatibility/2006">
          <mc:Choice Requires="x14">
            <control shapeId="1108" r:id="rId18" name="Check Box 84">
              <controlPr defaultSize="0" autoFill="0" autoLine="0" autoPict="0">
                <anchor moveWithCells="1">
                  <from>
                    <xdr:col>17</xdr:col>
                    <xdr:colOff>85725</xdr:colOff>
                    <xdr:row>11</xdr:row>
                    <xdr:rowOff>133350</xdr:rowOff>
                  </from>
                  <to>
                    <xdr:col>17</xdr:col>
                    <xdr:colOff>504825</xdr:colOff>
                    <xdr:row>13</xdr:row>
                    <xdr:rowOff>28575</xdr:rowOff>
                  </to>
                </anchor>
              </controlPr>
            </control>
          </mc:Choice>
        </mc:AlternateContent>
        <mc:AlternateContent xmlns:mc="http://schemas.openxmlformats.org/markup-compatibility/2006">
          <mc:Choice Requires="x14">
            <control shapeId="1109" r:id="rId19" name="Check Box 85">
              <controlPr defaultSize="0" autoFill="0" autoLine="0" autoPict="0">
                <anchor moveWithCells="1">
                  <from>
                    <xdr:col>18</xdr:col>
                    <xdr:colOff>85725</xdr:colOff>
                    <xdr:row>11</xdr:row>
                    <xdr:rowOff>133350</xdr:rowOff>
                  </from>
                  <to>
                    <xdr:col>18</xdr:col>
                    <xdr:colOff>504825</xdr:colOff>
                    <xdr:row>13</xdr:row>
                    <xdr:rowOff>28575</xdr:rowOff>
                  </to>
                </anchor>
              </controlPr>
            </control>
          </mc:Choice>
        </mc:AlternateContent>
        <mc:AlternateContent xmlns:mc="http://schemas.openxmlformats.org/markup-compatibility/2006">
          <mc:Choice Requires="x14">
            <control shapeId="1110" r:id="rId20" name="Check Box 86">
              <controlPr defaultSize="0" autoFill="0" autoLine="0" autoPict="0">
                <anchor moveWithCells="1">
                  <from>
                    <xdr:col>19</xdr:col>
                    <xdr:colOff>85725</xdr:colOff>
                    <xdr:row>11</xdr:row>
                    <xdr:rowOff>133350</xdr:rowOff>
                  </from>
                  <to>
                    <xdr:col>19</xdr:col>
                    <xdr:colOff>504825</xdr:colOff>
                    <xdr:row>13</xdr:row>
                    <xdr:rowOff>28575</xdr:rowOff>
                  </to>
                </anchor>
              </controlPr>
            </control>
          </mc:Choice>
        </mc:AlternateContent>
        <mc:AlternateContent xmlns:mc="http://schemas.openxmlformats.org/markup-compatibility/2006">
          <mc:Choice Requires="x14">
            <control shapeId="1111" r:id="rId21" name="Check Box 87">
              <controlPr defaultSize="0" autoFill="0" autoLine="0" autoPict="0">
                <anchor moveWithCells="1">
                  <from>
                    <xdr:col>20</xdr:col>
                    <xdr:colOff>85725</xdr:colOff>
                    <xdr:row>11</xdr:row>
                    <xdr:rowOff>133350</xdr:rowOff>
                  </from>
                  <to>
                    <xdr:col>20</xdr:col>
                    <xdr:colOff>504825</xdr:colOff>
                    <xdr:row>13</xdr:row>
                    <xdr:rowOff>28575</xdr:rowOff>
                  </to>
                </anchor>
              </controlPr>
            </control>
          </mc:Choice>
        </mc:AlternateContent>
        <mc:AlternateContent xmlns:mc="http://schemas.openxmlformats.org/markup-compatibility/2006">
          <mc:Choice Requires="x14">
            <control shapeId="1112" r:id="rId22" name="Check Box 88">
              <controlPr defaultSize="0" autoFill="0" autoLine="0" autoPict="0">
                <anchor moveWithCells="1">
                  <from>
                    <xdr:col>21</xdr:col>
                    <xdr:colOff>85725</xdr:colOff>
                    <xdr:row>11</xdr:row>
                    <xdr:rowOff>133350</xdr:rowOff>
                  </from>
                  <to>
                    <xdr:col>21</xdr:col>
                    <xdr:colOff>504825</xdr:colOff>
                    <xdr:row>13</xdr:row>
                    <xdr:rowOff>28575</xdr:rowOff>
                  </to>
                </anchor>
              </controlPr>
            </control>
          </mc:Choice>
        </mc:AlternateContent>
        <mc:AlternateContent xmlns:mc="http://schemas.openxmlformats.org/markup-compatibility/2006">
          <mc:Choice Requires="x14">
            <control shapeId="1113" r:id="rId23" name="Check Box 89">
              <controlPr defaultSize="0" autoFill="0" autoLine="0" autoPict="0">
                <anchor moveWithCells="1">
                  <from>
                    <xdr:col>22</xdr:col>
                    <xdr:colOff>85725</xdr:colOff>
                    <xdr:row>11</xdr:row>
                    <xdr:rowOff>133350</xdr:rowOff>
                  </from>
                  <to>
                    <xdr:col>22</xdr:col>
                    <xdr:colOff>504825</xdr:colOff>
                    <xdr:row>13</xdr:row>
                    <xdr:rowOff>28575</xdr:rowOff>
                  </to>
                </anchor>
              </controlPr>
            </control>
          </mc:Choice>
        </mc:AlternateContent>
        <mc:AlternateContent xmlns:mc="http://schemas.openxmlformats.org/markup-compatibility/2006">
          <mc:Choice Requires="x14">
            <control shapeId="1114" r:id="rId24" name="Check Box 90">
              <controlPr defaultSize="0" autoFill="0" autoLine="0" autoPict="0">
                <anchor moveWithCells="1">
                  <from>
                    <xdr:col>23</xdr:col>
                    <xdr:colOff>85725</xdr:colOff>
                    <xdr:row>11</xdr:row>
                    <xdr:rowOff>133350</xdr:rowOff>
                  </from>
                  <to>
                    <xdr:col>23</xdr:col>
                    <xdr:colOff>504825</xdr:colOff>
                    <xdr:row>13</xdr:row>
                    <xdr:rowOff>28575</xdr:rowOff>
                  </to>
                </anchor>
              </controlPr>
            </control>
          </mc:Choice>
        </mc:AlternateContent>
        <mc:AlternateContent xmlns:mc="http://schemas.openxmlformats.org/markup-compatibility/2006">
          <mc:Choice Requires="x14">
            <control shapeId="1115" r:id="rId25" name="Check Box 91">
              <controlPr defaultSize="0" autoFill="0" autoLine="0" autoPict="0">
                <anchor moveWithCells="1">
                  <from>
                    <xdr:col>24</xdr:col>
                    <xdr:colOff>85725</xdr:colOff>
                    <xdr:row>11</xdr:row>
                    <xdr:rowOff>133350</xdr:rowOff>
                  </from>
                  <to>
                    <xdr:col>24</xdr:col>
                    <xdr:colOff>504825</xdr:colOff>
                    <xdr:row>13</xdr:row>
                    <xdr:rowOff>28575</xdr:rowOff>
                  </to>
                </anchor>
              </controlPr>
            </control>
          </mc:Choice>
        </mc:AlternateContent>
        <mc:AlternateContent xmlns:mc="http://schemas.openxmlformats.org/markup-compatibility/2006">
          <mc:Choice Requires="x14">
            <control shapeId="1116" r:id="rId26" name="Check Box 92">
              <controlPr defaultSize="0" autoFill="0" autoLine="0" autoPict="0">
                <anchor moveWithCells="1">
                  <from>
                    <xdr:col>25</xdr:col>
                    <xdr:colOff>85725</xdr:colOff>
                    <xdr:row>11</xdr:row>
                    <xdr:rowOff>133350</xdr:rowOff>
                  </from>
                  <to>
                    <xdr:col>25</xdr:col>
                    <xdr:colOff>504825</xdr:colOff>
                    <xdr:row>13</xdr:row>
                    <xdr:rowOff>28575</xdr:rowOff>
                  </to>
                </anchor>
              </controlPr>
            </control>
          </mc:Choice>
        </mc:AlternateContent>
        <mc:AlternateContent xmlns:mc="http://schemas.openxmlformats.org/markup-compatibility/2006">
          <mc:Choice Requires="x14">
            <control shapeId="1117" r:id="rId27" name="Check Box 93">
              <controlPr defaultSize="0" autoFill="0" autoLine="0" autoPict="0">
                <anchor moveWithCells="1">
                  <from>
                    <xdr:col>26</xdr:col>
                    <xdr:colOff>85725</xdr:colOff>
                    <xdr:row>11</xdr:row>
                    <xdr:rowOff>133350</xdr:rowOff>
                  </from>
                  <to>
                    <xdr:col>26</xdr:col>
                    <xdr:colOff>504825</xdr:colOff>
                    <xdr:row>13</xdr:row>
                    <xdr:rowOff>28575</xdr:rowOff>
                  </to>
                </anchor>
              </controlPr>
            </control>
          </mc:Choice>
        </mc:AlternateContent>
        <mc:AlternateContent xmlns:mc="http://schemas.openxmlformats.org/markup-compatibility/2006">
          <mc:Choice Requires="x14">
            <control shapeId="1078" r:id="rId28" name="Check Box 54">
              <controlPr defaultSize="0" autoFill="0" autoLine="0" autoPict="0">
                <anchor moveWithCells="1">
                  <from>
                    <xdr:col>2</xdr:col>
                    <xdr:colOff>66675</xdr:colOff>
                    <xdr:row>11</xdr:row>
                    <xdr:rowOff>133350</xdr:rowOff>
                  </from>
                  <to>
                    <xdr:col>2</xdr:col>
                    <xdr:colOff>485775</xdr:colOff>
                    <xdr:row>13</xdr:row>
                    <xdr:rowOff>28575</xdr:rowOff>
                  </to>
                </anchor>
              </controlPr>
            </control>
          </mc:Choice>
        </mc:AlternateContent>
        <mc:AlternateContent xmlns:mc="http://schemas.openxmlformats.org/markup-compatibility/2006">
          <mc:Choice Requires="x14">
            <control shapeId="1194" r:id="rId29" name="Check Box 170">
              <controlPr defaultSize="0" autoFill="0" autoLine="0" autoPict="0">
                <anchor moveWithCells="1">
                  <from>
                    <xdr:col>3</xdr:col>
                    <xdr:colOff>66675</xdr:colOff>
                    <xdr:row>11</xdr:row>
                    <xdr:rowOff>133350</xdr:rowOff>
                  </from>
                  <to>
                    <xdr:col>3</xdr:col>
                    <xdr:colOff>485775</xdr:colOff>
                    <xdr:row>13</xdr:row>
                    <xdr:rowOff>28575</xdr:rowOff>
                  </to>
                </anchor>
              </controlPr>
            </control>
          </mc:Choice>
        </mc:AlternateContent>
        <mc:AlternateContent xmlns:mc="http://schemas.openxmlformats.org/markup-compatibility/2006">
          <mc:Choice Requires="x14">
            <control shapeId="1195" r:id="rId30" name="Check Box 171">
              <controlPr defaultSize="0" autoFill="0" autoLine="0" autoPict="0">
                <anchor moveWithCells="1">
                  <from>
                    <xdr:col>4</xdr:col>
                    <xdr:colOff>66675</xdr:colOff>
                    <xdr:row>11</xdr:row>
                    <xdr:rowOff>133350</xdr:rowOff>
                  </from>
                  <to>
                    <xdr:col>4</xdr:col>
                    <xdr:colOff>485775</xdr:colOff>
                    <xdr:row>13</xdr:row>
                    <xdr:rowOff>28575</xdr:rowOff>
                  </to>
                </anchor>
              </controlPr>
            </control>
          </mc:Choice>
        </mc:AlternateContent>
        <mc:AlternateContent xmlns:mc="http://schemas.openxmlformats.org/markup-compatibility/2006">
          <mc:Choice Requires="x14">
            <control shapeId="1196" r:id="rId31" name="Check Box 172">
              <controlPr defaultSize="0" autoFill="0" autoLine="0" autoPict="0">
                <anchor moveWithCells="1">
                  <from>
                    <xdr:col>5</xdr:col>
                    <xdr:colOff>66675</xdr:colOff>
                    <xdr:row>11</xdr:row>
                    <xdr:rowOff>133350</xdr:rowOff>
                  </from>
                  <to>
                    <xdr:col>5</xdr:col>
                    <xdr:colOff>485775</xdr:colOff>
                    <xdr:row>13</xdr:row>
                    <xdr:rowOff>28575</xdr:rowOff>
                  </to>
                </anchor>
              </controlPr>
            </control>
          </mc:Choice>
        </mc:AlternateContent>
        <mc:AlternateContent xmlns:mc="http://schemas.openxmlformats.org/markup-compatibility/2006">
          <mc:Choice Requires="x14">
            <control shapeId="1197" r:id="rId32" name="Check Box 173">
              <controlPr defaultSize="0" autoFill="0" autoLine="0" autoPict="0">
                <anchor moveWithCells="1">
                  <from>
                    <xdr:col>6</xdr:col>
                    <xdr:colOff>85725</xdr:colOff>
                    <xdr:row>11</xdr:row>
                    <xdr:rowOff>133350</xdr:rowOff>
                  </from>
                  <to>
                    <xdr:col>6</xdr:col>
                    <xdr:colOff>504825</xdr:colOff>
                    <xdr:row>13</xdr:row>
                    <xdr:rowOff>28575</xdr:rowOff>
                  </to>
                </anchor>
              </controlPr>
            </control>
          </mc:Choice>
        </mc:AlternateContent>
        <mc:AlternateContent xmlns:mc="http://schemas.openxmlformats.org/markup-compatibility/2006">
          <mc:Choice Requires="x14">
            <control shapeId="1198" r:id="rId33" name="Check Box 174">
              <controlPr defaultSize="0" autoFill="0" autoLine="0" autoPict="0">
                <anchor moveWithCells="1">
                  <from>
                    <xdr:col>7</xdr:col>
                    <xdr:colOff>85725</xdr:colOff>
                    <xdr:row>11</xdr:row>
                    <xdr:rowOff>133350</xdr:rowOff>
                  </from>
                  <to>
                    <xdr:col>7</xdr:col>
                    <xdr:colOff>504825</xdr:colOff>
                    <xdr:row>13</xdr:row>
                    <xdr:rowOff>28575</xdr:rowOff>
                  </to>
                </anchor>
              </controlPr>
            </control>
          </mc:Choice>
        </mc:AlternateContent>
        <mc:AlternateContent xmlns:mc="http://schemas.openxmlformats.org/markup-compatibility/2006">
          <mc:Choice Requires="x14">
            <control shapeId="1199" r:id="rId34" name="Check Box 175">
              <controlPr defaultSize="0" autoFill="0" autoLine="0" autoPict="0">
                <anchor moveWithCells="1">
                  <from>
                    <xdr:col>8</xdr:col>
                    <xdr:colOff>85725</xdr:colOff>
                    <xdr:row>11</xdr:row>
                    <xdr:rowOff>133350</xdr:rowOff>
                  </from>
                  <to>
                    <xdr:col>8</xdr:col>
                    <xdr:colOff>504825</xdr:colOff>
                    <xdr:row>13</xdr:row>
                    <xdr:rowOff>28575</xdr:rowOff>
                  </to>
                </anchor>
              </controlPr>
            </control>
          </mc:Choice>
        </mc:AlternateContent>
        <mc:AlternateContent xmlns:mc="http://schemas.openxmlformats.org/markup-compatibility/2006">
          <mc:Choice Requires="x14">
            <control shapeId="1200" r:id="rId35" name="Check Box 176">
              <controlPr defaultSize="0" autoFill="0" autoLine="0" autoPict="0">
                <anchor moveWithCells="1">
                  <from>
                    <xdr:col>9</xdr:col>
                    <xdr:colOff>85725</xdr:colOff>
                    <xdr:row>11</xdr:row>
                    <xdr:rowOff>133350</xdr:rowOff>
                  </from>
                  <to>
                    <xdr:col>9</xdr:col>
                    <xdr:colOff>504825</xdr:colOff>
                    <xdr:row>13</xdr:row>
                    <xdr:rowOff>28575</xdr:rowOff>
                  </to>
                </anchor>
              </controlPr>
            </control>
          </mc:Choice>
        </mc:AlternateContent>
        <mc:AlternateContent xmlns:mc="http://schemas.openxmlformats.org/markup-compatibility/2006">
          <mc:Choice Requires="x14">
            <control shapeId="1201" r:id="rId36" name="Check Box 177">
              <controlPr defaultSize="0" autoFill="0" autoLine="0" autoPict="0">
                <anchor moveWithCells="1">
                  <from>
                    <xdr:col>10</xdr:col>
                    <xdr:colOff>85725</xdr:colOff>
                    <xdr:row>11</xdr:row>
                    <xdr:rowOff>133350</xdr:rowOff>
                  </from>
                  <to>
                    <xdr:col>10</xdr:col>
                    <xdr:colOff>504825</xdr:colOff>
                    <xdr:row>13</xdr:row>
                    <xdr:rowOff>28575</xdr:rowOff>
                  </to>
                </anchor>
              </controlPr>
            </control>
          </mc:Choice>
        </mc:AlternateContent>
        <mc:AlternateContent xmlns:mc="http://schemas.openxmlformats.org/markup-compatibility/2006">
          <mc:Choice Requires="x14">
            <control shapeId="1202" r:id="rId37" name="Check Box 178">
              <controlPr defaultSize="0" autoFill="0" autoLine="0" autoPict="0">
                <anchor moveWithCells="1">
                  <from>
                    <xdr:col>11</xdr:col>
                    <xdr:colOff>85725</xdr:colOff>
                    <xdr:row>11</xdr:row>
                    <xdr:rowOff>133350</xdr:rowOff>
                  </from>
                  <to>
                    <xdr:col>11</xdr:col>
                    <xdr:colOff>504825</xdr:colOff>
                    <xdr:row>13</xdr:row>
                    <xdr:rowOff>28575</xdr:rowOff>
                  </to>
                </anchor>
              </controlPr>
            </control>
          </mc:Choice>
        </mc:AlternateContent>
        <mc:AlternateContent xmlns:mc="http://schemas.openxmlformats.org/markup-compatibility/2006">
          <mc:Choice Requires="x14">
            <control shapeId="1203" r:id="rId38" name="Check Box 179">
              <controlPr defaultSize="0" autoFill="0" autoLine="0" autoPict="0">
                <anchor moveWithCells="1">
                  <from>
                    <xdr:col>12</xdr:col>
                    <xdr:colOff>85725</xdr:colOff>
                    <xdr:row>11</xdr:row>
                    <xdr:rowOff>133350</xdr:rowOff>
                  </from>
                  <to>
                    <xdr:col>12</xdr:col>
                    <xdr:colOff>504825</xdr:colOff>
                    <xdr:row>13</xdr:row>
                    <xdr:rowOff>28575</xdr:rowOff>
                  </to>
                </anchor>
              </controlPr>
            </control>
          </mc:Choice>
        </mc:AlternateContent>
        <mc:AlternateContent xmlns:mc="http://schemas.openxmlformats.org/markup-compatibility/2006">
          <mc:Choice Requires="x14">
            <control shapeId="1204" r:id="rId39" name="Check Box 180">
              <controlPr defaultSize="0" autoFill="0" autoLine="0" autoPict="0">
                <anchor moveWithCells="1">
                  <from>
                    <xdr:col>2</xdr:col>
                    <xdr:colOff>66675</xdr:colOff>
                    <xdr:row>11</xdr:row>
                    <xdr:rowOff>133350</xdr:rowOff>
                  </from>
                  <to>
                    <xdr:col>2</xdr:col>
                    <xdr:colOff>485775</xdr:colOff>
                    <xdr:row>13</xdr:row>
                    <xdr:rowOff>28575</xdr:rowOff>
                  </to>
                </anchor>
              </controlPr>
            </control>
          </mc:Choice>
        </mc:AlternateContent>
        <mc:AlternateContent xmlns:mc="http://schemas.openxmlformats.org/markup-compatibility/2006">
          <mc:Choice Requires="x14">
            <control shapeId="1236" r:id="rId40" name="Check Box 212">
              <controlPr defaultSize="0" autoFill="0" autoLine="0" autoPict="0">
                <anchor moveWithCells="1">
                  <from>
                    <xdr:col>14</xdr:col>
                    <xdr:colOff>85725</xdr:colOff>
                    <xdr:row>11</xdr:row>
                    <xdr:rowOff>133350</xdr:rowOff>
                  </from>
                  <to>
                    <xdr:col>14</xdr:col>
                    <xdr:colOff>504825</xdr:colOff>
                    <xdr:row>13</xdr:row>
                    <xdr:rowOff>28575</xdr:rowOff>
                  </to>
                </anchor>
              </controlPr>
            </control>
          </mc:Choice>
        </mc:AlternateContent>
        <mc:AlternateContent xmlns:mc="http://schemas.openxmlformats.org/markup-compatibility/2006">
          <mc:Choice Requires="x14">
            <control shapeId="1237" r:id="rId41" name="Check Box 213">
              <controlPr defaultSize="0" autoFill="0" autoLine="0" autoPict="0">
                <anchor moveWithCells="1">
                  <from>
                    <xdr:col>15</xdr:col>
                    <xdr:colOff>85725</xdr:colOff>
                    <xdr:row>11</xdr:row>
                    <xdr:rowOff>133350</xdr:rowOff>
                  </from>
                  <to>
                    <xdr:col>15</xdr:col>
                    <xdr:colOff>504825</xdr:colOff>
                    <xdr:row>13</xdr:row>
                    <xdr:rowOff>28575</xdr:rowOff>
                  </to>
                </anchor>
              </controlPr>
            </control>
          </mc:Choice>
        </mc:AlternateContent>
        <mc:AlternateContent xmlns:mc="http://schemas.openxmlformats.org/markup-compatibility/2006">
          <mc:Choice Requires="x14">
            <control shapeId="1238" r:id="rId42" name="Check Box 214">
              <controlPr defaultSize="0" autoFill="0" autoLine="0" autoPict="0">
                <anchor moveWithCells="1">
                  <from>
                    <xdr:col>16</xdr:col>
                    <xdr:colOff>85725</xdr:colOff>
                    <xdr:row>11</xdr:row>
                    <xdr:rowOff>133350</xdr:rowOff>
                  </from>
                  <to>
                    <xdr:col>16</xdr:col>
                    <xdr:colOff>504825</xdr:colOff>
                    <xdr:row>13</xdr:row>
                    <xdr:rowOff>28575</xdr:rowOff>
                  </to>
                </anchor>
              </controlPr>
            </control>
          </mc:Choice>
        </mc:AlternateContent>
        <mc:AlternateContent xmlns:mc="http://schemas.openxmlformats.org/markup-compatibility/2006">
          <mc:Choice Requires="x14">
            <control shapeId="1239" r:id="rId43" name="Check Box 215">
              <controlPr defaultSize="0" autoFill="0" autoLine="0" autoPict="0">
                <anchor moveWithCells="1">
                  <from>
                    <xdr:col>17</xdr:col>
                    <xdr:colOff>85725</xdr:colOff>
                    <xdr:row>11</xdr:row>
                    <xdr:rowOff>133350</xdr:rowOff>
                  </from>
                  <to>
                    <xdr:col>17</xdr:col>
                    <xdr:colOff>504825</xdr:colOff>
                    <xdr:row>13</xdr:row>
                    <xdr:rowOff>28575</xdr:rowOff>
                  </to>
                </anchor>
              </controlPr>
            </control>
          </mc:Choice>
        </mc:AlternateContent>
        <mc:AlternateContent xmlns:mc="http://schemas.openxmlformats.org/markup-compatibility/2006">
          <mc:Choice Requires="x14">
            <control shapeId="1240" r:id="rId44" name="Check Box 216">
              <controlPr defaultSize="0" autoFill="0" autoLine="0" autoPict="0">
                <anchor moveWithCells="1">
                  <from>
                    <xdr:col>18</xdr:col>
                    <xdr:colOff>85725</xdr:colOff>
                    <xdr:row>11</xdr:row>
                    <xdr:rowOff>133350</xdr:rowOff>
                  </from>
                  <to>
                    <xdr:col>18</xdr:col>
                    <xdr:colOff>504825</xdr:colOff>
                    <xdr:row>13</xdr:row>
                    <xdr:rowOff>28575</xdr:rowOff>
                  </to>
                </anchor>
              </controlPr>
            </control>
          </mc:Choice>
        </mc:AlternateContent>
        <mc:AlternateContent xmlns:mc="http://schemas.openxmlformats.org/markup-compatibility/2006">
          <mc:Choice Requires="x14">
            <control shapeId="1241" r:id="rId45" name="Check Box 217">
              <controlPr defaultSize="0" autoFill="0" autoLine="0" autoPict="0">
                <anchor moveWithCells="1">
                  <from>
                    <xdr:col>19</xdr:col>
                    <xdr:colOff>85725</xdr:colOff>
                    <xdr:row>11</xdr:row>
                    <xdr:rowOff>133350</xdr:rowOff>
                  </from>
                  <to>
                    <xdr:col>19</xdr:col>
                    <xdr:colOff>504825</xdr:colOff>
                    <xdr:row>13</xdr:row>
                    <xdr:rowOff>28575</xdr:rowOff>
                  </to>
                </anchor>
              </controlPr>
            </control>
          </mc:Choice>
        </mc:AlternateContent>
        <mc:AlternateContent xmlns:mc="http://schemas.openxmlformats.org/markup-compatibility/2006">
          <mc:Choice Requires="x14">
            <control shapeId="1242" r:id="rId46" name="Check Box 218">
              <controlPr defaultSize="0" autoFill="0" autoLine="0" autoPict="0">
                <anchor moveWithCells="1">
                  <from>
                    <xdr:col>20</xdr:col>
                    <xdr:colOff>85725</xdr:colOff>
                    <xdr:row>11</xdr:row>
                    <xdr:rowOff>133350</xdr:rowOff>
                  </from>
                  <to>
                    <xdr:col>20</xdr:col>
                    <xdr:colOff>504825</xdr:colOff>
                    <xdr:row>13</xdr:row>
                    <xdr:rowOff>28575</xdr:rowOff>
                  </to>
                </anchor>
              </controlPr>
            </control>
          </mc:Choice>
        </mc:AlternateContent>
        <mc:AlternateContent xmlns:mc="http://schemas.openxmlformats.org/markup-compatibility/2006">
          <mc:Choice Requires="x14">
            <control shapeId="1243" r:id="rId47" name="Check Box 219">
              <controlPr defaultSize="0" autoFill="0" autoLine="0" autoPict="0">
                <anchor moveWithCells="1">
                  <from>
                    <xdr:col>21</xdr:col>
                    <xdr:colOff>85725</xdr:colOff>
                    <xdr:row>11</xdr:row>
                    <xdr:rowOff>133350</xdr:rowOff>
                  </from>
                  <to>
                    <xdr:col>21</xdr:col>
                    <xdr:colOff>504825</xdr:colOff>
                    <xdr:row>13</xdr:row>
                    <xdr:rowOff>28575</xdr:rowOff>
                  </to>
                </anchor>
              </controlPr>
            </control>
          </mc:Choice>
        </mc:AlternateContent>
        <mc:AlternateContent xmlns:mc="http://schemas.openxmlformats.org/markup-compatibility/2006">
          <mc:Choice Requires="x14">
            <control shapeId="1244" r:id="rId48" name="Check Box 220">
              <controlPr defaultSize="0" autoFill="0" autoLine="0" autoPict="0">
                <anchor moveWithCells="1">
                  <from>
                    <xdr:col>22</xdr:col>
                    <xdr:colOff>85725</xdr:colOff>
                    <xdr:row>11</xdr:row>
                    <xdr:rowOff>133350</xdr:rowOff>
                  </from>
                  <to>
                    <xdr:col>22</xdr:col>
                    <xdr:colOff>504825</xdr:colOff>
                    <xdr:row>13</xdr:row>
                    <xdr:rowOff>28575</xdr:rowOff>
                  </to>
                </anchor>
              </controlPr>
            </control>
          </mc:Choice>
        </mc:AlternateContent>
        <mc:AlternateContent xmlns:mc="http://schemas.openxmlformats.org/markup-compatibility/2006">
          <mc:Choice Requires="x14">
            <control shapeId="1245" r:id="rId49" name="Check Box 221">
              <controlPr defaultSize="0" autoFill="0" autoLine="0" autoPict="0">
                <anchor moveWithCells="1">
                  <from>
                    <xdr:col>23</xdr:col>
                    <xdr:colOff>85725</xdr:colOff>
                    <xdr:row>11</xdr:row>
                    <xdr:rowOff>133350</xdr:rowOff>
                  </from>
                  <to>
                    <xdr:col>23</xdr:col>
                    <xdr:colOff>504825</xdr:colOff>
                    <xdr:row>13</xdr:row>
                    <xdr:rowOff>28575</xdr:rowOff>
                  </to>
                </anchor>
              </controlPr>
            </control>
          </mc:Choice>
        </mc:AlternateContent>
        <mc:AlternateContent xmlns:mc="http://schemas.openxmlformats.org/markup-compatibility/2006">
          <mc:Choice Requires="x14">
            <control shapeId="1246" r:id="rId50" name="Check Box 222">
              <controlPr defaultSize="0" autoFill="0" autoLine="0" autoPict="0">
                <anchor moveWithCells="1">
                  <from>
                    <xdr:col>24</xdr:col>
                    <xdr:colOff>85725</xdr:colOff>
                    <xdr:row>11</xdr:row>
                    <xdr:rowOff>133350</xdr:rowOff>
                  </from>
                  <to>
                    <xdr:col>24</xdr:col>
                    <xdr:colOff>504825</xdr:colOff>
                    <xdr:row>13</xdr:row>
                    <xdr:rowOff>28575</xdr:rowOff>
                  </to>
                </anchor>
              </controlPr>
            </control>
          </mc:Choice>
        </mc:AlternateContent>
        <mc:AlternateContent xmlns:mc="http://schemas.openxmlformats.org/markup-compatibility/2006">
          <mc:Choice Requires="x14">
            <control shapeId="1247" r:id="rId51" name="Check Box 223">
              <controlPr defaultSize="0" autoFill="0" autoLine="0" autoPict="0">
                <anchor moveWithCells="1">
                  <from>
                    <xdr:col>25</xdr:col>
                    <xdr:colOff>85725</xdr:colOff>
                    <xdr:row>11</xdr:row>
                    <xdr:rowOff>133350</xdr:rowOff>
                  </from>
                  <to>
                    <xdr:col>25</xdr:col>
                    <xdr:colOff>504825</xdr:colOff>
                    <xdr:row>13</xdr:row>
                    <xdr:rowOff>28575</xdr:rowOff>
                  </to>
                </anchor>
              </controlPr>
            </control>
          </mc:Choice>
        </mc:AlternateContent>
        <mc:AlternateContent xmlns:mc="http://schemas.openxmlformats.org/markup-compatibility/2006">
          <mc:Choice Requires="x14">
            <control shapeId="1248" r:id="rId52" name="Check Box 224">
              <controlPr defaultSize="0" autoFill="0" autoLine="0" autoPict="0">
                <anchor moveWithCells="1">
                  <from>
                    <xdr:col>26</xdr:col>
                    <xdr:colOff>85725</xdr:colOff>
                    <xdr:row>11</xdr:row>
                    <xdr:rowOff>133350</xdr:rowOff>
                  </from>
                  <to>
                    <xdr:col>26</xdr:col>
                    <xdr:colOff>504825</xdr:colOff>
                    <xdr:row>13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T182"/>
  <sheetViews>
    <sheetView workbookViewId="0"/>
  </sheetViews>
  <sheetFormatPr defaultColWidth="9.140625" defaultRowHeight="12.75" x14ac:dyDescent="0.2"/>
  <cols>
    <col min="1" max="1" width="13.28515625" style="1" bestFit="1" customWidth="1"/>
    <col min="2" max="2" width="27.42578125" style="1" customWidth="1"/>
    <col min="3" max="42" width="9.140625" style="1"/>
    <col min="43" max="16384" width="9.140625" style="2"/>
  </cols>
  <sheetData>
    <row r="1" spans="1:5" x14ac:dyDescent="0.2">
      <c r="A1" s="196">
        <f ca="1">NOW()</f>
        <v>44631.687362268516</v>
      </c>
      <c r="D1" s="52" t="s">
        <v>42</v>
      </c>
      <c r="E1" s="51" t="s">
        <v>33</v>
      </c>
    </row>
    <row r="2" spans="1:5" x14ac:dyDescent="0.2">
      <c r="D2" s="62" t="s">
        <v>34</v>
      </c>
    </row>
    <row r="3" spans="1:5" ht="13.5" thickBot="1" x14ac:dyDescent="0.25"/>
    <row r="4" spans="1:5" ht="13.5" thickBot="1" x14ac:dyDescent="0.25">
      <c r="B4" s="88" t="s">
        <v>55</v>
      </c>
      <c r="C4" s="89">
        <v>40</v>
      </c>
    </row>
    <row r="5" spans="1:5" x14ac:dyDescent="0.2">
      <c r="D5" s="48"/>
    </row>
    <row r="20" spans="2:98" x14ac:dyDescent="0.2">
      <c r="B20" s="43"/>
      <c r="C20" s="6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4"/>
      <c r="CB20" s="4"/>
      <c r="CC20" s="4"/>
      <c r="CD20" s="4"/>
      <c r="CE20" s="4"/>
      <c r="CF20" s="4"/>
      <c r="CG20" s="4"/>
      <c r="CH20" s="4"/>
      <c r="CI20" s="4"/>
      <c r="CJ20" s="4"/>
      <c r="CK20" s="4"/>
      <c r="CL20" s="4"/>
      <c r="CM20" s="4"/>
      <c r="CN20" s="4"/>
      <c r="CO20" s="4"/>
      <c r="CP20" s="4"/>
      <c r="CQ20" s="4"/>
      <c r="CR20" s="4"/>
      <c r="CS20" s="4"/>
      <c r="CT20" s="4"/>
    </row>
    <row r="21" spans="2:98" x14ac:dyDescent="0.2">
      <c r="B21" s="10" t="s">
        <v>0</v>
      </c>
      <c r="C21" s="23">
        <v>1</v>
      </c>
      <c r="D21" s="65"/>
      <c r="E21" s="65"/>
      <c r="F21" s="66"/>
      <c r="G21" s="23">
        <v>2</v>
      </c>
      <c r="H21" s="65"/>
      <c r="I21" s="65"/>
      <c r="J21" s="66"/>
      <c r="K21" s="23">
        <v>3</v>
      </c>
      <c r="L21" s="65"/>
      <c r="M21" s="65"/>
      <c r="N21" s="66"/>
      <c r="O21" s="23">
        <v>4</v>
      </c>
      <c r="P21" s="65"/>
      <c r="Q21" s="65"/>
      <c r="R21" s="66"/>
      <c r="S21" s="23">
        <v>5</v>
      </c>
      <c r="T21" s="65"/>
      <c r="U21" s="65"/>
      <c r="V21" s="66"/>
      <c r="W21" s="23">
        <v>6</v>
      </c>
      <c r="X21" s="65"/>
      <c r="Y21" s="65"/>
      <c r="Z21" s="66"/>
      <c r="AA21" s="23">
        <v>7</v>
      </c>
      <c r="AB21" s="65"/>
      <c r="AC21" s="65"/>
      <c r="AD21" s="66"/>
      <c r="AE21" s="23">
        <v>8</v>
      </c>
      <c r="AF21" s="65"/>
      <c r="AG21" s="65"/>
      <c r="AH21" s="66"/>
      <c r="AI21" s="23">
        <v>9</v>
      </c>
      <c r="AJ21" s="65"/>
      <c r="AK21" s="65"/>
      <c r="AL21" s="66"/>
      <c r="AM21" s="23">
        <v>10</v>
      </c>
      <c r="AN21" s="65"/>
      <c r="AO21" s="65"/>
      <c r="AP21" s="66"/>
      <c r="AQ21" s="23">
        <v>11</v>
      </c>
      <c r="AR21" s="65"/>
      <c r="AS21" s="65"/>
      <c r="AT21" s="66"/>
      <c r="AU21" s="23">
        <v>12</v>
      </c>
      <c r="AV21" s="65"/>
      <c r="AW21" s="65"/>
      <c r="AX21" s="66"/>
      <c r="AY21" s="23">
        <v>13</v>
      </c>
      <c r="AZ21" s="65"/>
      <c r="BA21" s="65"/>
      <c r="BB21" s="66"/>
      <c r="BC21" s="23">
        <v>14</v>
      </c>
      <c r="BD21" s="65"/>
      <c r="BE21" s="65"/>
      <c r="BF21" s="66"/>
      <c r="BG21" s="23">
        <v>15</v>
      </c>
      <c r="BH21" s="65"/>
      <c r="BI21" s="65"/>
      <c r="BJ21" s="66"/>
      <c r="BK21" s="23">
        <v>16</v>
      </c>
      <c r="BL21" s="65"/>
      <c r="BM21" s="65"/>
      <c r="BN21" s="66"/>
      <c r="BO21" s="23">
        <v>17</v>
      </c>
      <c r="BP21" s="65"/>
      <c r="BQ21" s="65"/>
      <c r="BR21" s="66"/>
      <c r="BS21" s="23">
        <v>18</v>
      </c>
      <c r="BT21" s="65"/>
      <c r="BU21" s="65"/>
      <c r="BV21" s="66"/>
      <c r="BW21" s="23">
        <v>19</v>
      </c>
      <c r="BX21" s="65"/>
      <c r="BY21" s="65"/>
      <c r="BZ21" s="116"/>
      <c r="CA21" s="3"/>
      <c r="CB21" s="3"/>
      <c r="CC21" s="3"/>
      <c r="CD21" s="3"/>
      <c r="CE21" s="3"/>
      <c r="CF21" s="3"/>
      <c r="CG21" s="3"/>
      <c r="CH21" s="3"/>
      <c r="CI21" s="3"/>
      <c r="CJ21" s="3"/>
      <c r="CK21" s="3"/>
      <c r="CL21" s="3"/>
      <c r="CM21" s="3"/>
      <c r="CN21" s="3"/>
      <c r="CO21" s="3"/>
      <c r="CP21" s="3"/>
      <c r="CQ21" s="3"/>
      <c r="CR21" s="3"/>
      <c r="CS21" s="3"/>
      <c r="CT21" s="3"/>
    </row>
    <row r="22" spans="2:98" x14ac:dyDescent="0.2">
      <c r="B22" s="67" t="s">
        <v>35</v>
      </c>
      <c r="C22" s="18"/>
      <c r="D22" s="65"/>
      <c r="E22" s="65"/>
      <c r="F22" s="66"/>
      <c r="G22" s="18"/>
      <c r="H22" s="65"/>
      <c r="I22" s="65"/>
      <c r="J22" s="66"/>
      <c r="K22" s="18"/>
      <c r="L22" s="65"/>
      <c r="M22" s="65"/>
      <c r="N22" s="66"/>
      <c r="O22" s="18"/>
      <c r="P22" s="65"/>
      <c r="Q22" s="65"/>
      <c r="R22" s="66"/>
      <c r="S22" s="18"/>
      <c r="T22" s="65"/>
      <c r="U22" s="65"/>
      <c r="V22" s="66"/>
      <c r="W22" s="18"/>
      <c r="X22" s="65"/>
      <c r="Y22" s="65"/>
      <c r="Z22" s="66"/>
      <c r="AA22" s="18"/>
      <c r="AB22" s="65"/>
      <c r="AC22" s="65"/>
      <c r="AD22" s="66"/>
      <c r="AE22" s="18"/>
      <c r="AF22" s="65"/>
      <c r="AG22" s="65"/>
      <c r="AH22" s="66"/>
      <c r="AI22" s="18"/>
      <c r="AJ22" s="65"/>
      <c r="AK22" s="65"/>
      <c r="AL22" s="66"/>
      <c r="AM22" s="18"/>
      <c r="AN22" s="65"/>
      <c r="AO22" s="65"/>
      <c r="AP22" s="66"/>
      <c r="AQ22" s="18"/>
      <c r="AR22" s="65"/>
      <c r="AS22" s="65"/>
      <c r="AT22" s="66"/>
      <c r="AU22" s="18"/>
      <c r="AV22" s="65"/>
      <c r="AW22" s="65"/>
      <c r="AX22" s="66"/>
      <c r="AY22" s="18"/>
      <c r="AZ22" s="65"/>
      <c r="BA22" s="65"/>
      <c r="BB22" s="66"/>
      <c r="BC22" s="18"/>
      <c r="BD22" s="65"/>
      <c r="BE22" s="65"/>
      <c r="BF22" s="66"/>
      <c r="BG22" s="18"/>
      <c r="BH22" s="65"/>
      <c r="BI22" s="65"/>
      <c r="BJ22" s="66"/>
      <c r="BK22" s="18"/>
      <c r="BL22" s="65"/>
      <c r="BM22" s="65"/>
      <c r="BN22" s="66"/>
      <c r="BO22" s="18"/>
      <c r="BP22" s="65"/>
      <c r="BQ22" s="65"/>
      <c r="BR22" s="66"/>
      <c r="BS22" s="18"/>
      <c r="BT22" s="65"/>
      <c r="BU22" s="65"/>
      <c r="BV22" s="66"/>
      <c r="BW22" s="18"/>
      <c r="BX22" s="65"/>
      <c r="BY22" s="65"/>
      <c r="BZ22" s="66"/>
      <c r="CA22" s="3"/>
      <c r="CB22" s="3"/>
      <c r="CC22" s="3"/>
      <c r="CD22" s="3"/>
      <c r="CE22" s="3"/>
      <c r="CF22" s="3"/>
      <c r="CG22" s="3"/>
      <c r="CH22" s="3"/>
      <c r="CI22" s="3"/>
      <c r="CJ22" s="3"/>
      <c r="CK22" s="3"/>
      <c r="CL22" s="3"/>
      <c r="CM22" s="3"/>
      <c r="CN22" s="3"/>
      <c r="CO22" s="3"/>
      <c r="CP22" s="3"/>
      <c r="CQ22" s="3"/>
      <c r="CR22" s="3"/>
      <c r="CS22" s="3"/>
      <c r="CT22" s="3"/>
    </row>
    <row r="23" spans="2:98" x14ac:dyDescent="0.2">
      <c r="B23" s="68" t="s">
        <v>96</v>
      </c>
      <c r="C23" s="23"/>
      <c r="D23" s="65"/>
      <c r="E23" s="65"/>
      <c r="F23" s="66"/>
      <c r="G23" s="23"/>
      <c r="H23" s="65"/>
      <c r="I23" s="65"/>
      <c r="J23" s="66"/>
      <c r="K23" s="23"/>
      <c r="L23" s="65"/>
      <c r="M23" s="65"/>
      <c r="N23" s="66"/>
      <c r="O23" s="23"/>
      <c r="P23" s="65"/>
      <c r="Q23" s="65"/>
      <c r="R23" s="66"/>
      <c r="S23" s="23"/>
      <c r="T23" s="65"/>
      <c r="U23" s="65"/>
      <c r="V23" s="66"/>
      <c r="W23" s="23"/>
      <c r="X23" s="65"/>
      <c r="Y23" s="65"/>
      <c r="Z23" s="66"/>
      <c r="AA23" s="23"/>
      <c r="AB23" s="65"/>
      <c r="AC23" s="65"/>
      <c r="AD23" s="66"/>
      <c r="AE23" s="23"/>
      <c r="AF23" s="65"/>
      <c r="AG23" s="65"/>
      <c r="AH23" s="66"/>
      <c r="AI23" s="23"/>
      <c r="AJ23" s="65"/>
      <c r="AK23" s="65"/>
      <c r="AL23" s="66"/>
      <c r="AM23" s="23"/>
      <c r="AN23" s="65"/>
      <c r="AO23" s="65"/>
      <c r="AP23" s="66"/>
      <c r="AQ23" s="23"/>
      <c r="AR23" s="65"/>
      <c r="AS23" s="65"/>
      <c r="AT23" s="66"/>
      <c r="AU23" s="23"/>
      <c r="AV23" s="65"/>
      <c r="AW23" s="65"/>
      <c r="AX23" s="66"/>
      <c r="AY23" s="23"/>
      <c r="AZ23" s="65"/>
      <c r="BA23" s="65"/>
      <c r="BB23" s="66"/>
      <c r="BC23" s="23"/>
      <c r="BD23" s="65"/>
      <c r="BE23" s="65"/>
      <c r="BF23" s="66"/>
      <c r="BG23" s="23"/>
      <c r="BH23" s="65"/>
      <c r="BI23" s="65"/>
      <c r="BJ23" s="66"/>
      <c r="BK23" s="23"/>
      <c r="BL23" s="65"/>
      <c r="BM23" s="65"/>
      <c r="BN23" s="66"/>
      <c r="BO23" s="23"/>
      <c r="BP23" s="65"/>
      <c r="BQ23" s="65"/>
      <c r="BR23" s="66"/>
      <c r="BS23" s="23"/>
      <c r="BT23" s="65"/>
      <c r="BU23" s="65"/>
      <c r="BV23" s="66"/>
      <c r="BW23" s="23"/>
      <c r="BX23" s="65"/>
      <c r="BY23" s="65"/>
      <c r="BZ23" s="66"/>
      <c r="CA23" s="3"/>
      <c r="CB23" s="3"/>
      <c r="CC23" s="3"/>
      <c r="CD23" s="3"/>
      <c r="CE23" s="3"/>
      <c r="CF23" s="3"/>
      <c r="CG23" s="3"/>
      <c r="CH23" s="3"/>
      <c r="CI23" s="3"/>
      <c r="CJ23" s="3"/>
      <c r="CK23" s="3"/>
      <c r="CL23" s="3"/>
      <c r="CM23" s="3"/>
      <c r="CN23" s="3"/>
      <c r="CO23" s="3"/>
      <c r="CP23" s="3"/>
      <c r="CQ23" s="3"/>
      <c r="CR23" s="3"/>
      <c r="CS23" s="3"/>
      <c r="CT23" s="3"/>
    </row>
    <row r="24" spans="2:98" x14ac:dyDescent="0.2">
      <c r="B24" s="108" t="s">
        <v>73</v>
      </c>
      <c r="C24" s="101" t="s">
        <v>71</v>
      </c>
      <c r="D24" s="100" t="s">
        <v>70</v>
      </c>
      <c r="E24" s="102" t="s">
        <v>72</v>
      </c>
      <c r="F24" s="29"/>
      <c r="G24" s="114" t="s">
        <v>71</v>
      </c>
      <c r="H24" s="115" t="s">
        <v>70</v>
      </c>
      <c r="I24" s="102" t="s">
        <v>72</v>
      </c>
      <c r="J24" s="29"/>
      <c r="K24" s="101" t="s">
        <v>71</v>
      </c>
      <c r="L24" s="100" t="s">
        <v>70</v>
      </c>
      <c r="M24" s="102" t="s">
        <v>72</v>
      </c>
      <c r="N24" s="29"/>
      <c r="O24" s="101" t="s">
        <v>71</v>
      </c>
      <c r="P24" s="100" t="s">
        <v>70</v>
      </c>
      <c r="Q24" s="102" t="s">
        <v>72</v>
      </c>
      <c r="R24" s="29"/>
      <c r="S24" s="101" t="s">
        <v>71</v>
      </c>
      <c r="T24" s="100" t="s">
        <v>70</v>
      </c>
      <c r="U24" s="102" t="s">
        <v>72</v>
      </c>
      <c r="V24" s="29"/>
      <c r="W24" s="114" t="s">
        <v>71</v>
      </c>
      <c r="X24" s="115" t="s">
        <v>70</v>
      </c>
      <c r="Y24" s="102" t="s">
        <v>72</v>
      </c>
      <c r="Z24" s="29"/>
      <c r="AA24" s="101" t="s">
        <v>71</v>
      </c>
      <c r="AB24" s="100" t="s">
        <v>70</v>
      </c>
      <c r="AC24" s="102" t="s">
        <v>72</v>
      </c>
      <c r="AD24" s="29"/>
      <c r="AE24" s="101" t="s">
        <v>71</v>
      </c>
      <c r="AF24" s="100" t="s">
        <v>70</v>
      </c>
      <c r="AG24" s="102" t="s">
        <v>72</v>
      </c>
      <c r="AH24" s="29"/>
      <c r="AI24" s="101" t="s">
        <v>71</v>
      </c>
      <c r="AJ24" s="100" t="s">
        <v>70</v>
      </c>
      <c r="AK24" s="102" t="s">
        <v>72</v>
      </c>
      <c r="AL24" s="29"/>
      <c r="AM24" s="101" t="s">
        <v>71</v>
      </c>
      <c r="AN24" s="100" t="s">
        <v>70</v>
      </c>
      <c r="AO24" s="102" t="s">
        <v>72</v>
      </c>
      <c r="AP24" s="29"/>
      <c r="AQ24" s="101" t="s">
        <v>71</v>
      </c>
      <c r="AR24" s="100" t="s">
        <v>70</v>
      </c>
      <c r="AS24" s="102" t="s">
        <v>72</v>
      </c>
      <c r="AT24" s="29"/>
      <c r="AU24" s="101" t="s">
        <v>71</v>
      </c>
      <c r="AV24" s="100" t="s">
        <v>70</v>
      </c>
      <c r="AW24" s="102" t="s">
        <v>72</v>
      </c>
      <c r="AX24" s="29"/>
      <c r="AY24" s="23"/>
      <c r="AZ24"/>
      <c r="BA24" s="65"/>
      <c r="BB24" s="66"/>
      <c r="BC24" s="23"/>
      <c r="BD24"/>
      <c r="BE24" s="65"/>
      <c r="BF24" s="66"/>
      <c r="BG24" s="23"/>
      <c r="BH24"/>
      <c r="BI24" s="65"/>
      <c r="BJ24" s="66"/>
      <c r="BK24" s="23"/>
      <c r="BL24"/>
      <c r="BM24" s="65"/>
      <c r="BN24" s="66"/>
      <c r="BO24" s="23"/>
      <c r="BP24"/>
      <c r="BQ24" s="65"/>
      <c r="BR24" s="66"/>
      <c r="BS24" s="23"/>
      <c r="BT24"/>
      <c r="BU24" s="65"/>
      <c r="BV24" s="66"/>
      <c r="BW24" s="23"/>
      <c r="BX24"/>
      <c r="BY24" s="65"/>
      <c r="BZ24" s="66"/>
      <c r="CA24" s="3"/>
      <c r="CB24" s="3"/>
      <c r="CC24" s="3"/>
      <c r="CD24" s="3"/>
      <c r="CE24" s="3"/>
      <c r="CF24" s="4"/>
      <c r="CG24" s="3"/>
      <c r="CH24" s="3"/>
      <c r="CI24" s="3"/>
      <c r="CJ24" s="4"/>
      <c r="CK24" s="3"/>
      <c r="CL24" s="3"/>
      <c r="CM24" s="3"/>
      <c r="CN24" s="4"/>
      <c r="CO24" s="3"/>
      <c r="CP24" s="3"/>
      <c r="CQ24" s="3"/>
      <c r="CR24" s="4"/>
      <c r="CS24" s="3"/>
      <c r="CT24" s="3"/>
    </row>
    <row r="25" spans="2:98" ht="15.75" x14ac:dyDescent="0.3">
      <c r="B25" s="113" t="s">
        <v>52</v>
      </c>
      <c r="C25" s="120"/>
      <c r="D25" s="121"/>
      <c r="E25" s="171" t="s">
        <v>80</v>
      </c>
      <c r="F25" s="171" t="s">
        <v>81</v>
      </c>
      <c r="G25" s="120"/>
      <c r="H25" s="121"/>
      <c r="I25" s="169" t="s">
        <v>80</v>
      </c>
      <c r="J25" s="171" t="s">
        <v>81</v>
      </c>
      <c r="K25" s="124"/>
      <c r="L25" s="124"/>
      <c r="M25" s="171" t="s">
        <v>80</v>
      </c>
      <c r="N25" s="171" t="s">
        <v>81</v>
      </c>
      <c r="O25" s="126"/>
      <c r="P25" s="126"/>
      <c r="Q25" s="171" t="s">
        <v>80</v>
      </c>
      <c r="R25" s="171" t="s">
        <v>81</v>
      </c>
      <c r="S25" s="126"/>
      <c r="T25" s="126"/>
      <c r="U25" s="171" t="s">
        <v>80</v>
      </c>
      <c r="V25" s="170" t="s">
        <v>81</v>
      </c>
      <c r="W25" s="128"/>
      <c r="X25" s="129"/>
      <c r="Y25" s="169" t="s">
        <v>80</v>
      </c>
      <c r="Z25" s="171" t="s">
        <v>81</v>
      </c>
      <c r="AA25" s="126"/>
      <c r="AB25" s="126"/>
      <c r="AC25" s="171" t="s">
        <v>80</v>
      </c>
      <c r="AD25" s="171" t="s">
        <v>81</v>
      </c>
      <c r="AE25" s="126"/>
      <c r="AF25" s="126"/>
      <c r="AG25" s="171" t="s">
        <v>80</v>
      </c>
      <c r="AH25" s="171" t="s">
        <v>81</v>
      </c>
      <c r="AI25" s="126"/>
      <c r="AJ25" s="126"/>
      <c r="AK25" s="171" t="s">
        <v>80</v>
      </c>
      <c r="AL25" s="171" t="s">
        <v>81</v>
      </c>
      <c r="AM25" s="126"/>
      <c r="AN25" s="126"/>
      <c r="AO25" s="171" t="s">
        <v>80</v>
      </c>
      <c r="AP25" s="171" t="s">
        <v>81</v>
      </c>
      <c r="AQ25" s="126"/>
      <c r="AR25" s="126"/>
      <c r="AS25" s="171" t="s">
        <v>80</v>
      </c>
      <c r="AT25" s="171" t="s">
        <v>81</v>
      </c>
      <c r="AU25" s="126"/>
      <c r="AV25" s="126"/>
      <c r="AW25" s="171" t="s">
        <v>80</v>
      </c>
      <c r="AX25" s="171" t="s">
        <v>81</v>
      </c>
      <c r="AY25" s="126"/>
      <c r="AZ25" s="126"/>
      <c r="BA25" s="171" t="s">
        <v>80</v>
      </c>
      <c r="BB25" s="171" t="s">
        <v>81</v>
      </c>
      <c r="BC25" s="126"/>
      <c r="BD25" s="126"/>
      <c r="BE25" s="171" t="s">
        <v>80</v>
      </c>
      <c r="BF25" s="171" t="s">
        <v>81</v>
      </c>
      <c r="BG25" s="126"/>
      <c r="BH25" s="126"/>
      <c r="BI25" s="171" t="s">
        <v>80</v>
      </c>
      <c r="BJ25" s="171" t="s">
        <v>81</v>
      </c>
      <c r="BK25" s="126"/>
      <c r="BL25" s="126"/>
      <c r="BM25" s="171" t="s">
        <v>80</v>
      </c>
      <c r="BN25" s="171" t="s">
        <v>81</v>
      </c>
      <c r="BO25" s="126"/>
      <c r="BP25" s="126"/>
      <c r="BQ25" s="171" t="s">
        <v>80</v>
      </c>
      <c r="BR25" s="171" t="s">
        <v>81</v>
      </c>
      <c r="BS25" s="126"/>
      <c r="BT25" s="126"/>
      <c r="BU25" s="171" t="s">
        <v>80</v>
      </c>
      <c r="BV25" s="171" t="s">
        <v>81</v>
      </c>
      <c r="BW25" s="126"/>
      <c r="BX25" s="126"/>
      <c r="BY25" s="171" t="s">
        <v>80</v>
      </c>
      <c r="BZ25" s="171" t="s">
        <v>81</v>
      </c>
      <c r="CA25" s="3"/>
      <c r="CB25" s="3"/>
      <c r="CC25" s="3"/>
      <c r="CD25" s="3"/>
      <c r="CE25" s="3"/>
      <c r="CF25" s="3"/>
      <c r="CG25" s="3"/>
      <c r="CH25" s="3"/>
      <c r="CI25" s="3"/>
      <c r="CJ25" s="3"/>
      <c r="CK25" s="3"/>
      <c r="CL25" s="3"/>
      <c r="CM25" s="3"/>
      <c r="CN25" s="3"/>
      <c r="CO25" s="3"/>
      <c r="CP25" s="3"/>
      <c r="CQ25" s="3"/>
      <c r="CR25" s="3"/>
      <c r="CS25" s="3"/>
      <c r="CT25" s="3"/>
    </row>
    <row r="26" spans="2:98" ht="15.75" x14ac:dyDescent="0.3">
      <c r="B26" s="113" t="s">
        <v>36</v>
      </c>
      <c r="C26" s="122"/>
      <c r="D26" s="123"/>
      <c r="E26" s="112"/>
      <c r="F26" s="112"/>
      <c r="G26" s="122"/>
      <c r="H26" s="123"/>
      <c r="I26" s="29"/>
      <c r="J26" s="112"/>
      <c r="K26" s="125"/>
      <c r="L26" s="125"/>
      <c r="M26" s="112"/>
      <c r="N26" s="112"/>
      <c r="O26" s="99"/>
      <c r="P26" s="127"/>
      <c r="Q26" s="112"/>
      <c r="R26" s="112"/>
      <c r="S26" s="126"/>
      <c r="T26" s="126"/>
      <c r="U26" s="112"/>
      <c r="V26" s="95"/>
      <c r="W26" s="130"/>
      <c r="X26" s="131"/>
      <c r="Y26" s="29"/>
      <c r="Z26" s="112"/>
      <c r="AA26" s="126"/>
      <c r="AB26" s="126"/>
      <c r="AC26" s="112"/>
      <c r="AD26" s="112"/>
      <c r="AE26" s="126"/>
      <c r="AF26" s="126"/>
      <c r="AG26" s="112"/>
      <c r="AH26" s="112"/>
      <c r="AI26" s="126"/>
      <c r="AJ26" s="126"/>
      <c r="AK26" s="112"/>
      <c r="AL26" s="112"/>
      <c r="AM26" s="126"/>
      <c r="AN26" s="126"/>
      <c r="AO26" s="112"/>
      <c r="AP26" s="112"/>
      <c r="AQ26" s="126"/>
      <c r="AR26" s="126"/>
      <c r="AS26" s="112"/>
      <c r="AT26" s="112"/>
      <c r="AU26" s="126"/>
      <c r="AV26" s="126"/>
      <c r="AW26" s="112"/>
      <c r="AX26" s="112"/>
      <c r="AY26" s="126"/>
      <c r="AZ26" s="126"/>
      <c r="BA26" s="112"/>
      <c r="BB26" s="112"/>
      <c r="BC26" s="126"/>
      <c r="BD26" s="126"/>
      <c r="BE26" s="112"/>
      <c r="BF26" s="112"/>
      <c r="BG26" s="126"/>
      <c r="BH26" s="126"/>
      <c r="BI26" s="112"/>
      <c r="BJ26" s="112"/>
      <c r="BK26" s="126"/>
      <c r="BL26" s="126"/>
      <c r="BM26" s="112"/>
      <c r="BN26" s="112"/>
      <c r="BO26" s="126"/>
      <c r="BP26" s="126"/>
      <c r="BQ26" s="112"/>
      <c r="BR26" s="112"/>
      <c r="BS26" s="126"/>
      <c r="BT26" s="126"/>
      <c r="BU26" s="112"/>
      <c r="BV26" s="112"/>
      <c r="BW26" s="126"/>
      <c r="BX26" s="126"/>
      <c r="BY26" s="112"/>
      <c r="BZ26" s="112"/>
      <c r="CA26" s="3"/>
      <c r="CB26" s="3"/>
      <c r="CC26" s="3"/>
      <c r="CD26" s="3"/>
      <c r="CE26" s="3"/>
      <c r="CF26" s="3"/>
      <c r="CG26" s="3"/>
      <c r="CH26" s="3"/>
      <c r="CI26" s="3"/>
      <c r="CJ26" s="3"/>
      <c r="CK26" s="3"/>
      <c r="CL26" s="3"/>
      <c r="CM26" s="3"/>
      <c r="CN26" s="3"/>
      <c r="CO26" s="3"/>
      <c r="CP26" s="3"/>
      <c r="CQ26" s="3"/>
      <c r="CR26" s="3"/>
      <c r="CS26" s="3"/>
      <c r="CT26" s="3"/>
    </row>
    <row r="27" spans="2:98" ht="15.75" x14ac:dyDescent="0.3">
      <c r="B27" s="167" t="s">
        <v>43</v>
      </c>
      <c r="C27" s="168"/>
      <c r="D27" s="33"/>
      <c r="E27" s="161" t="s">
        <v>86</v>
      </c>
      <c r="F27" s="29"/>
      <c r="G27" s="168"/>
      <c r="H27" s="168"/>
      <c r="I27" s="170" t="s">
        <v>86</v>
      </c>
      <c r="J27" s="29"/>
      <c r="K27" s="168"/>
      <c r="L27" s="168"/>
      <c r="M27" s="170" t="s">
        <v>86</v>
      </c>
      <c r="N27" s="29">
        <v>0</v>
      </c>
      <c r="O27" s="168"/>
      <c r="P27" s="168"/>
      <c r="Q27" s="170" t="s">
        <v>86</v>
      </c>
      <c r="R27" s="29"/>
      <c r="S27" s="168"/>
      <c r="T27" s="168"/>
      <c r="U27" s="170" t="s">
        <v>86</v>
      </c>
      <c r="V27" s="29"/>
      <c r="W27" s="168"/>
      <c r="X27" s="168"/>
      <c r="Y27" s="170" t="s">
        <v>86</v>
      </c>
      <c r="Z27" s="29">
        <v>0</v>
      </c>
      <c r="AA27" s="168"/>
      <c r="AB27" s="168"/>
      <c r="AC27" s="170" t="s">
        <v>86</v>
      </c>
      <c r="AD27" s="29"/>
      <c r="AE27" s="168"/>
      <c r="AF27" s="168"/>
      <c r="AG27" s="170" t="s">
        <v>86</v>
      </c>
      <c r="AH27" s="29"/>
      <c r="AI27" s="168"/>
      <c r="AJ27" s="168"/>
      <c r="AK27" s="170" t="s">
        <v>86</v>
      </c>
      <c r="AL27" s="29">
        <v>0</v>
      </c>
      <c r="AM27" s="168"/>
      <c r="AN27" s="168"/>
      <c r="AO27" s="170" t="s">
        <v>86</v>
      </c>
      <c r="AP27" s="29">
        <v>0</v>
      </c>
      <c r="AQ27" s="168"/>
      <c r="AR27" s="168"/>
      <c r="AS27" s="170" t="s">
        <v>86</v>
      </c>
      <c r="AT27" s="29">
        <v>0</v>
      </c>
      <c r="AU27" s="168"/>
      <c r="AV27" s="168"/>
      <c r="AW27" s="170" t="s">
        <v>86</v>
      </c>
      <c r="AX27" s="29">
        <v>0</v>
      </c>
      <c r="AY27" s="168"/>
      <c r="AZ27" s="168"/>
      <c r="BA27" s="170" t="s">
        <v>86</v>
      </c>
      <c r="BB27" s="29">
        <v>0</v>
      </c>
      <c r="BC27" s="168"/>
      <c r="BD27" s="168"/>
      <c r="BE27" s="170" t="s">
        <v>86</v>
      </c>
      <c r="BF27" s="29">
        <v>0</v>
      </c>
      <c r="BG27" s="168"/>
      <c r="BH27" s="168"/>
      <c r="BI27" s="170" t="s">
        <v>86</v>
      </c>
      <c r="BJ27" s="29">
        <v>0</v>
      </c>
      <c r="BK27" s="168"/>
      <c r="BL27" s="168"/>
      <c r="BM27" s="170" t="s">
        <v>86</v>
      </c>
      <c r="BN27" s="29">
        <v>0</v>
      </c>
      <c r="BO27" s="168"/>
      <c r="BP27" s="168"/>
      <c r="BQ27" s="170" t="s">
        <v>86</v>
      </c>
      <c r="BR27" s="29">
        <v>0</v>
      </c>
      <c r="BS27" s="168"/>
      <c r="BT27" s="168"/>
      <c r="BU27" s="170" t="s">
        <v>86</v>
      </c>
      <c r="BV27" s="29">
        <v>0</v>
      </c>
      <c r="BW27" s="168"/>
      <c r="BX27" s="168"/>
      <c r="BY27" s="170" t="s">
        <v>86</v>
      </c>
      <c r="BZ27" s="29">
        <v>0</v>
      </c>
      <c r="CA27" s="3"/>
      <c r="CB27" s="3"/>
      <c r="CC27" s="3"/>
      <c r="CD27" s="3"/>
      <c r="CE27" s="3"/>
      <c r="CF27" s="3"/>
      <c r="CG27" s="3"/>
      <c r="CH27" s="3"/>
      <c r="CI27" s="3"/>
      <c r="CJ27" s="3"/>
      <c r="CK27" s="3"/>
      <c r="CL27" s="3"/>
      <c r="CM27" s="3"/>
      <c r="CN27" s="3"/>
      <c r="CO27" s="3"/>
      <c r="CP27" s="3"/>
      <c r="CQ27" s="3"/>
      <c r="CR27" s="3"/>
      <c r="CS27" s="3"/>
      <c r="CT27" s="3"/>
    </row>
    <row r="28" spans="2:98" ht="15.75" x14ac:dyDescent="0.3">
      <c r="B28" s="136" t="s">
        <v>38</v>
      </c>
      <c r="C28" s="26" t="s">
        <v>87</v>
      </c>
      <c r="D28" s="26" t="s">
        <v>39</v>
      </c>
      <c r="E28" s="26" t="s">
        <v>40</v>
      </c>
      <c r="F28" s="69" t="s">
        <v>41</v>
      </c>
      <c r="G28" s="26" t="s">
        <v>87</v>
      </c>
      <c r="H28" s="26" t="s">
        <v>39</v>
      </c>
      <c r="I28" s="26" t="s">
        <v>40</v>
      </c>
      <c r="J28" s="69" t="s">
        <v>41</v>
      </c>
      <c r="K28" s="26" t="s">
        <v>87</v>
      </c>
      <c r="L28" s="26" t="s">
        <v>39</v>
      </c>
      <c r="M28" s="26" t="s">
        <v>40</v>
      </c>
      <c r="N28" s="69" t="s">
        <v>41</v>
      </c>
      <c r="O28" s="26" t="s">
        <v>87</v>
      </c>
      <c r="P28" s="26" t="s">
        <v>39</v>
      </c>
      <c r="Q28" s="26" t="s">
        <v>40</v>
      </c>
      <c r="R28" s="69" t="s">
        <v>41</v>
      </c>
      <c r="S28" s="26" t="s">
        <v>87</v>
      </c>
      <c r="T28" s="26" t="s">
        <v>39</v>
      </c>
      <c r="U28" s="26" t="s">
        <v>40</v>
      </c>
      <c r="V28" s="69" t="s">
        <v>41</v>
      </c>
      <c r="W28" s="26" t="s">
        <v>87</v>
      </c>
      <c r="X28" s="26" t="s">
        <v>39</v>
      </c>
      <c r="Y28" s="26" t="s">
        <v>40</v>
      </c>
      <c r="Z28" s="69" t="s">
        <v>41</v>
      </c>
      <c r="AA28" s="26" t="s">
        <v>87</v>
      </c>
      <c r="AB28" s="26" t="s">
        <v>39</v>
      </c>
      <c r="AC28" s="26" t="s">
        <v>40</v>
      </c>
      <c r="AD28" s="69" t="s">
        <v>41</v>
      </c>
      <c r="AE28" s="26" t="s">
        <v>87</v>
      </c>
      <c r="AF28" s="26" t="s">
        <v>39</v>
      </c>
      <c r="AG28" s="26" t="s">
        <v>40</v>
      </c>
      <c r="AH28" s="69" t="s">
        <v>41</v>
      </c>
      <c r="AI28" s="26" t="s">
        <v>87</v>
      </c>
      <c r="AJ28" s="26" t="s">
        <v>39</v>
      </c>
      <c r="AK28" s="26" t="s">
        <v>40</v>
      </c>
      <c r="AL28" s="69" t="s">
        <v>41</v>
      </c>
      <c r="AM28" s="26" t="s">
        <v>87</v>
      </c>
      <c r="AN28" s="26" t="s">
        <v>39</v>
      </c>
      <c r="AO28" s="26" t="s">
        <v>40</v>
      </c>
      <c r="AP28" s="69" t="s">
        <v>41</v>
      </c>
      <c r="AQ28" s="26" t="s">
        <v>87</v>
      </c>
      <c r="AR28" s="26" t="s">
        <v>39</v>
      </c>
      <c r="AS28" s="26" t="s">
        <v>40</v>
      </c>
      <c r="AT28" s="69" t="s">
        <v>41</v>
      </c>
      <c r="AU28" s="26" t="s">
        <v>87</v>
      </c>
      <c r="AV28" s="26" t="s">
        <v>39</v>
      </c>
      <c r="AW28" s="26" t="s">
        <v>40</v>
      </c>
      <c r="AX28" s="69" t="s">
        <v>41</v>
      </c>
      <c r="AY28" s="26" t="s">
        <v>87</v>
      </c>
      <c r="AZ28" s="26" t="s">
        <v>39</v>
      </c>
      <c r="BA28" s="26" t="s">
        <v>40</v>
      </c>
      <c r="BB28" s="69" t="s">
        <v>41</v>
      </c>
      <c r="BC28" s="26" t="s">
        <v>87</v>
      </c>
      <c r="BD28" s="26" t="s">
        <v>39</v>
      </c>
      <c r="BE28" s="26" t="s">
        <v>40</v>
      </c>
      <c r="BF28" s="69" t="s">
        <v>41</v>
      </c>
      <c r="BG28" s="26" t="s">
        <v>87</v>
      </c>
      <c r="BH28" s="26" t="s">
        <v>39</v>
      </c>
      <c r="BI28" s="26" t="s">
        <v>40</v>
      </c>
      <c r="BJ28" s="69" t="s">
        <v>41</v>
      </c>
      <c r="BK28" s="26" t="s">
        <v>87</v>
      </c>
      <c r="BL28" s="26" t="s">
        <v>39</v>
      </c>
      <c r="BM28" s="26" t="s">
        <v>40</v>
      </c>
      <c r="BN28" s="69" t="s">
        <v>41</v>
      </c>
      <c r="BO28" s="26" t="s">
        <v>87</v>
      </c>
      <c r="BP28" s="26" t="s">
        <v>39</v>
      </c>
      <c r="BQ28" s="26" t="s">
        <v>40</v>
      </c>
      <c r="BR28" s="69" t="s">
        <v>41</v>
      </c>
      <c r="BS28" s="26" t="s">
        <v>87</v>
      </c>
      <c r="BT28" s="26" t="s">
        <v>39</v>
      </c>
      <c r="BU28" s="26" t="s">
        <v>40</v>
      </c>
      <c r="BV28" s="69" t="s">
        <v>41</v>
      </c>
      <c r="BW28" s="26" t="s">
        <v>87</v>
      </c>
      <c r="BX28" s="26" t="s">
        <v>39</v>
      </c>
      <c r="BY28" s="26" t="s">
        <v>40</v>
      </c>
      <c r="BZ28" s="69" t="s">
        <v>41</v>
      </c>
      <c r="CA28" s="117"/>
      <c r="CB28" s="117"/>
      <c r="CC28" s="117"/>
      <c r="CD28" s="117"/>
      <c r="CE28" s="117"/>
      <c r="CF28" s="117"/>
      <c r="CG28" s="117"/>
      <c r="CH28" s="117"/>
      <c r="CI28" s="117"/>
      <c r="CJ28" s="117"/>
      <c r="CK28" s="117"/>
      <c r="CL28" s="117"/>
      <c r="CM28" s="117"/>
      <c r="CN28" s="117"/>
      <c r="CO28" s="117"/>
      <c r="CP28" s="117"/>
      <c r="CQ28" s="117"/>
      <c r="CR28" s="117"/>
      <c r="CS28" s="117"/>
      <c r="CT28" s="117"/>
    </row>
    <row r="29" spans="2:98" x14ac:dyDescent="0.2">
      <c r="B29" s="172" t="s">
        <v>50</v>
      </c>
      <c r="C29" s="249"/>
      <c r="D29" s="250"/>
      <c r="E29" s="249"/>
      <c r="F29" s="251"/>
      <c r="G29" s="58"/>
      <c r="H29" s="58"/>
      <c r="I29" s="58"/>
      <c r="J29" s="87"/>
      <c r="K29" s="58"/>
      <c r="L29" s="58"/>
      <c r="M29" s="58"/>
      <c r="N29" s="87"/>
      <c r="O29" s="249"/>
      <c r="P29" s="250"/>
      <c r="Q29" s="249"/>
      <c r="R29" s="251"/>
      <c r="S29" s="249"/>
      <c r="T29" s="250"/>
      <c r="U29" s="249"/>
      <c r="V29" s="251"/>
      <c r="W29" s="58"/>
      <c r="X29" s="58"/>
      <c r="Y29" s="23"/>
      <c r="Z29" s="11"/>
      <c r="AA29" s="58"/>
      <c r="AB29" s="58"/>
      <c r="AC29" s="58"/>
      <c r="AD29" s="87"/>
      <c r="AE29" s="58"/>
      <c r="AF29" s="58"/>
      <c r="AG29" s="58"/>
      <c r="AH29" s="87"/>
      <c r="AI29" s="58"/>
      <c r="AJ29" s="58"/>
      <c r="AK29" s="58"/>
      <c r="AL29" s="87"/>
      <c r="AM29" s="58"/>
      <c r="AN29" s="58"/>
      <c r="AO29" s="58"/>
      <c r="AP29" s="87"/>
      <c r="AQ29" s="58"/>
      <c r="AR29" s="58"/>
      <c r="AS29" s="58"/>
      <c r="AT29" s="87"/>
      <c r="AU29" s="58"/>
      <c r="AV29" s="58"/>
      <c r="AW29" s="58"/>
      <c r="AX29" s="87"/>
      <c r="AY29" s="23"/>
      <c r="AZ29" s="23"/>
      <c r="BA29" s="23"/>
      <c r="BB29" s="11"/>
      <c r="BC29" s="23"/>
      <c r="BD29" s="23"/>
      <c r="BE29" s="23"/>
      <c r="BF29" s="11"/>
      <c r="BG29" s="23"/>
      <c r="BH29" s="23"/>
      <c r="BI29" s="23"/>
      <c r="BJ29" s="11"/>
      <c r="BK29" s="23"/>
      <c r="BL29" s="23"/>
      <c r="BM29" s="23"/>
      <c r="BN29" s="11"/>
      <c r="BO29" s="23"/>
      <c r="BP29" s="23"/>
      <c r="BQ29" s="23"/>
      <c r="BR29" s="11"/>
      <c r="BS29" s="23"/>
      <c r="BT29" s="23"/>
      <c r="BU29" s="23"/>
      <c r="BV29" s="11"/>
      <c r="BW29" s="23"/>
      <c r="BX29" s="23"/>
      <c r="BY29" s="23"/>
      <c r="BZ29" s="11"/>
      <c r="CA29" s="3"/>
      <c r="CB29" s="3"/>
      <c r="CC29" s="3"/>
      <c r="CD29" s="3"/>
      <c r="CE29" s="3"/>
      <c r="CF29" s="3"/>
      <c r="CG29" s="3"/>
      <c r="CH29" s="3"/>
      <c r="CI29" s="3"/>
      <c r="CJ29" s="3"/>
      <c r="CK29" s="3"/>
      <c r="CL29" s="3"/>
      <c r="CM29" s="3"/>
      <c r="CN29" s="3"/>
      <c r="CO29" s="3"/>
      <c r="CP29" s="3"/>
      <c r="CQ29" s="3"/>
      <c r="CR29" s="3"/>
      <c r="CS29" s="3"/>
      <c r="CT29" s="3"/>
    </row>
    <row r="30" spans="2:98" x14ac:dyDescent="0.2">
      <c r="B30" s="172" t="s">
        <v>93</v>
      </c>
      <c r="C30" s="249"/>
      <c r="D30" s="250"/>
      <c r="E30" s="249"/>
      <c r="F30" s="251"/>
      <c r="G30" s="58"/>
      <c r="H30" s="58"/>
      <c r="I30" s="58"/>
      <c r="J30" s="87"/>
      <c r="K30" s="58"/>
      <c r="L30" s="58"/>
      <c r="M30" s="58"/>
      <c r="N30" s="87"/>
      <c r="O30" s="249"/>
      <c r="P30" s="250"/>
      <c r="Q30" s="249"/>
      <c r="R30" s="251"/>
      <c r="S30" s="249"/>
      <c r="T30" s="250"/>
      <c r="U30" s="249"/>
      <c r="V30" s="251"/>
      <c r="W30" s="58"/>
      <c r="X30" s="58"/>
      <c r="Y30" s="23"/>
      <c r="Z30" s="11"/>
      <c r="AA30" s="58"/>
      <c r="AB30" s="58"/>
      <c r="AC30" s="58"/>
      <c r="AD30" s="87"/>
      <c r="AE30" s="58"/>
      <c r="AF30" s="58"/>
      <c r="AG30" s="58"/>
      <c r="AH30" s="87"/>
      <c r="AI30" s="58"/>
      <c r="AJ30" s="58"/>
      <c r="AK30" s="58"/>
      <c r="AL30" s="87"/>
      <c r="AM30" s="58"/>
      <c r="AN30" s="58"/>
      <c r="AO30" s="58"/>
      <c r="AP30" s="87"/>
      <c r="AQ30" s="58"/>
      <c r="AR30" s="58"/>
      <c r="AS30" s="58"/>
      <c r="AT30" s="87"/>
      <c r="AU30" s="58"/>
      <c r="AV30" s="58"/>
      <c r="AW30" s="58"/>
      <c r="AX30" s="87"/>
      <c r="AY30" s="23"/>
      <c r="AZ30" s="23"/>
      <c r="BA30" s="23"/>
      <c r="BB30" s="11"/>
      <c r="BC30" s="23"/>
      <c r="BD30" s="23"/>
      <c r="BE30" s="23"/>
      <c r="BF30" s="11"/>
      <c r="BG30" s="23"/>
      <c r="BH30" s="23"/>
      <c r="BI30" s="23"/>
      <c r="BJ30" s="11"/>
      <c r="BK30" s="23"/>
      <c r="BL30" s="23"/>
      <c r="BM30" s="23"/>
      <c r="BN30" s="11"/>
      <c r="BO30" s="23"/>
      <c r="BP30" s="23"/>
      <c r="BQ30" s="23"/>
      <c r="BR30" s="11"/>
      <c r="BS30" s="23"/>
      <c r="BT30" s="23"/>
      <c r="BU30" s="23"/>
      <c r="BV30" s="11"/>
      <c r="BW30" s="23"/>
      <c r="BX30" s="23"/>
      <c r="BY30" s="23"/>
      <c r="BZ30" s="11"/>
      <c r="CA30" s="3"/>
      <c r="CB30" s="3"/>
      <c r="CC30" s="3"/>
      <c r="CD30" s="3"/>
      <c r="CE30" s="3"/>
      <c r="CF30" s="3"/>
      <c r="CG30" s="3"/>
      <c r="CH30" s="3"/>
      <c r="CI30" s="3"/>
      <c r="CJ30" s="3"/>
      <c r="CK30" s="3"/>
      <c r="CL30" s="3"/>
      <c r="CM30" s="3"/>
      <c r="CN30" s="3"/>
      <c r="CO30" s="3"/>
      <c r="CP30" s="3"/>
      <c r="CQ30" s="3"/>
      <c r="CR30" s="3"/>
      <c r="CS30" s="3"/>
      <c r="CT30" s="3"/>
    </row>
    <row r="31" spans="2:98" x14ac:dyDescent="0.2">
      <c r="B31" s="137" t="s">
        <v>95</v>
      </c>
      <c r="C31" s="249"/>
      <c r="D31" s="250"/>
      <c r="E31" s="249"/>
      <c r="F31" s="251"/>
      <c r="G31" s="58"/>
      <c r="H31" s="58"/>
      <c r="I31" s="58"/>
      <c r="J31" s="87"/>
      <c r="K31" s="23"/>
      <c r="L31" s="23"/>
      <c r="M31" s="23"/>
      <c r="N31" s="11"/>
      <c r="O31" s="249"/>
      <c r="P31" s="250"/>
      <c r="Q31" s="249"/>
      <c r="R31" s="251"/>
      <c r="S31" s="249"/>
      <c r="T31" s="250"/>
      <c r="U31" s="249"/>
      <c r="V31" s="251"/>
      <c r="W31" s="23"/>
      <c r="X31" s="23"/>
      <c r="Y31" s="23"/>
      <c r="Z31" s="11"/>
      <c r="AA31" s="23"/>
      <c r="AB31" s="23"/>
      <c r="AC31" s="23"/>
      <c r="AD31" s="11"/>
      <c r="AE31" s="23"/>
      <c r="AF31" s="23"/>
      <c r="AG31" s="23"/>
      <c r="AH31" s="11"/>
      <c r="AI31" s="23"/>
      <c r="AJ31" s="23"/>
      <c r="AK31" s="23"/>
      <c r="AL31" s="11"/>
      <c r="AM31" s="23"/>
      <c r="AN31" s="23"/>
      <c r="AO31" s="23"/>
      <c r="AP31" s="11"/>
      <c r="AQ31" s="23"/>
      <c r="AR31" s="23"/>
      <c r="AS31" s="23"/>
      <c r="AT31" s="11"/>
      <c r="AU31" s="23"/>
      <c r="AV31" s="23"/>
      <c r="AW31" s="23"/>
      <c r="AX31" s="11"/>
      <c r="AY31" s="23"/>
      <c r="AZ31" s="23"/>
      <c r="BA31" s="23"/>
      <c r="BB31" s="11"/>
      <c r="BC31" s="23"/>
      <c r="BD31" s="23"/>
      <c r="BE31" s="23"/>
      <c r="BF31" s="11"/>
      <c r="BG31" s="23"/>
      <c r="BH31" s="23"/>
      <c r="BI31" s="23"/>
      <c r="BJ31" s="11"/>
      <c r="BK31" s="23"/>
      <c r="BL31" s="23"/>
      <c r="BM31" s="23"/>
      <c r="BN31" s="11"/>
      <c r="BO31" s="23"/>
      <c r="BP31" s="23"/>
      <c r="BQ31" s="23"/>
      <c r="BR31" s="11"/>
      <c r="BS31" s="23"/>
      <c r="BT31" s="23"/>
      <c r="BU31" s="23"/>
      <c r="BV31" s="11"/>
      <c r="BW31" s="23"/>
      <c r="BX31" s="23"/>
      <c r="BY31" s="23"/>
      <c r="BZ31" s="11"/>
      <c r="CA31" s="3"/>
      <c r="CB31" s="3"/>
      <c r="CC31" s="3"/>
      <c r="CD31" s="3"/>
      <c r="CE31" s="3"/>
      <c r="CF31" s="3"/>
      <c r="CG31" s="3"/>
      <c r="CH31" s="3"/>
      <c r="CI31" s="3"/>
      <c r="CJ31" s="3"/>
      <c r="CK31" s="3"/>
      <c r="CL31" s="3"/>
      <c r="CM31" s="3"/>
      <c r="CN31" s="3"/>
      <c r="CO31" s="3"/>
      <c r="CP31" s="3"/>
      <c r="CQ31" s="3"/>
      <c r="CR31" s="3"/>
      <c r="CS31" s="3"/>
      <c r="CT31" s="3"/>
    </row>
    <row r="32" spans="2:98" x14ac:dyDescent="0.2">
      <c r="B32" s="137" t="s">
        <v>51</v>
      </c>
      <c r="C32" s="249"/>
      <c r="D32" s="250"/>
      <c r="E32" s="249"/>
      <c r="F32" s="251"/>
      <c r="G32" s="58"/>
      <c r="H32" s="58"/>
      <c r="I32" s="58"/>
      <c r="J32" s="87"/>
      <c r="K32" s="23"/>
      <c r="L32" s="23"/>
      <c r="M32" s="23"/>
      <c r="N32" s="11"/>
      <c r="O32" s="249"/>
      <c r="P32" s="250"/>
      <c r="Q32" s="249"/>
      <c r="R32" s="251"/>
      <c r="S32" s="249"/>
      <c r="T32" s="250"/>
      <c r="U32" s="249"/>
      <c r="V32" s="251"/>
      <c r="W32" s="23"/>
      <c r="X32" s="23"/>
      <c r="Y32" s="23"/>
      <c r="Z32" s="11"/>
      <c r="AA32" s="23"/>
      <c r="AB32" s="23"/>
      <c r="AC32" s="23"/>
      <c r="AD32" s="11"/>
      <c r="AE32" s="23"/>
      <c r="AF32" s="23"/>
      <c r="AG32" s="23"/>
      <c r="AH32" s="11"/>
      <c r="AI32" s="23"/>
      <c r="AJ32" s="23"/>
      <c r="AK32" s="23"/>
      <c r="AL32" s="11"/>
      <c r="AM32" s="23"/>
      <c r="AN32" s="23"/>
      <c r="AO32" s="23"/>
      <c r="AP32" s="11"/>
      <c r="AQ32" s="23"/>
      <c r="AR32" s="23"/>
      <c r="AS32" s="23"/>
      <c r="AT32" s="11"/>
      <c r="AU32" s="23"/>
      <c r="AV32" s="23"/>
      <c r="AW32" s="23"/>
      <c r="AX32" s="11"/>
      <c r="AY32" s="23"/>
      <c r="AZ32" s="23"/>
      <c r="BA32" s="23"/>
      <c r="BB32" s="11"/>
      <c r="BC32" s="23"/>
      <c r="BD32" s="23"/>
      <c r="BE32" s="23"/>
      <c r="BF32" s="11"/>
      <c r="BG32" s="23"/>
      <c r="BH32" s="23"/>
      <c r="BI32" s="23"/>
      <c r="BJ32" s="11"/>
      <c r="BK32" s="23"/>
      <c r="BL32" s="23"/>
      <c r="BM32" s="23"/>
      <c r="BN32" s="11"/>
      <c r="BO32" s="23"/>
      <c r="BP32" s="23"/>
      <c r="BQ32" s="23"/>
      <c r="BR32" s="11"/>
      <c r="BS32" s="23"/>
      <c r="BT32" s="23"/>
      <c r="BU32" s="23"/>
      <c r="BV32" s="11"/>
      <c r="BW32" s="23"/>
      <c r="BX32" s="23"/>
      <c r="BY32" s="23"/>
      <c r="BZ32" s="11"/>
      <c r="CA32" s="3"/>
      <c r="CB32" s="3"/>
      <c r="CC32" s="3"/>
      <c r="CD32" s="3"/>
      <c r="CE32" s="3"/>
      <c r="CF32" s="3"/>
      <c r="CG32" s="3"/>
      <c r="CH32" s="3"/>
      <c r="CI32" s="3"/>
      <c r="CJ32" s="3"/>
      <c r="CK32" s="3"/>
      <c r="CL32" s="3"/>
      <c r="CM32" s="3"/>
      <c r="CN32" s="3"/>
      <c r="CO32" s="3"/>
      <c r="CP32" s="3"/>
      <c r="CQ32" s="3"/>
      <c r="CR32" s="3"/>
      <c r="CS32" s="3"/>
      <c r="CT32" s="3"/>
    </row>
    <row r="33" spans="2:98" x14ac:dyDescent="0.2">
      <c r="B33" s="137" t="s">
        <v>94</v>
      </c>
      <c r="C33" s="249"/>
      <c r="D33" s="250"/>
      <c r="E33" s="249"/>
      <c r="F33" s="251"/>
      <c r="G33" s="58"/>
      <c r="H33" s="58"/>
      <c r="I33" s="58"/>
      <c r="J33" s="87"/>
      <c r="K33" s="23"/>
      <c r="L33" s="23"/>
      <c r="M33" s="23"/>
      <c r="N33" s="11"/>
      <c r="O33" s="249"/>
      <c r="P33" s="250"/>
      <c r="Q33" s="249"/>
      <c r="R33" s="251"/>
      <c r="S33" s="249"/>
      <c r="T33" s="250"/>
      <c r="U33" s="249"/>
      <c r="V33" s="251"/>
      <c r="W33" s="23"/>
      <c r="X33" s="23"/>
      <c r="Y33" s="23"/>
      <c r="Z33" s="11"/>
      <c r="AA33" s="23"/>
      <c r="AB33" s="23"/>
      <c r="AC33" s="23"/>
      <c r="AD33" s="11"/>
      <c r="AE33" s="23"/>
      <c r="AF33" s="23"/>
      <c r="AG33" s="23"/>
      <c r="AH33" s="11"/>
      <c r="AI33" s="23"/>
      <c r="AJ33" s="23"/>
      <c r="AK33" s="23"/>
      <c r="AL33" s="11"/>
      <c r="AM33" s="23"/>
      <c r="AN33" s="23"/>
      <c r="AO33" s="23"/>
      <c r="AP33" s="11"/>
      <c r="AQ33" s="23"/>
      <c r="AR33" s="23"/>
      <c r="AS33" s="23"/>
      <c r="AT33" s="11"/>
      <c r="AU33" s="23"/>
      <c r="AV33" s="23"/>
      <c r="AW33" s="23"/>
      <c r="AX33" s="11"/>
      <c r="AY33" s="23"/>
      <c r="AZ33" s="23"/>
      <c r="BA33" s="23"/>
      <c r="BB33" s="11"/>
      <c r="BC33" s="23"/>
      <c r="BD33" s="23"/>
      <c r="BE33" s="23"/>
      <c r="BF33" s="11"/>
      <c r="BG33" s="23"/>
      <c r="BH33" s="23"/>
      <c r="BI33" s="23"/>
      <c r="BJ33" s="11"/>
      <c r="BK33" s="23"/>
      <c r="BL33" s="23"/>
      <c r="BM33" s="23"/>
      <c r="BN33" s="11"/>
      <c r="BO33" s="23"/>
      <c r="BP33" s="23"/>
      <c r="BQ33" s="23"/>
      <c r="BR33" s="11"/>
      <c r="BS33" s="23"/>
      <c r="BT33" s="23"/>
      <c r="BU33" s="23"/>
      <c r="BV33" s="11"/>
      <c r="BW33" s="23"/>
      <c r="BX33" s="23"/>
      <c r="BY33" s="23"/>
      <c r="BZ33" s="11"/>
      <c r="CA33" s="3"/>
      <c r="CB33" s="3"/>
      <c r="CC33" s="3"/>
      <c r="CD33" s="3"/>
      <c r="CE33" s="3"/>
      <c r="CF33" s="3"/>
      <c r="CG33" s="3"/>
      <c r="CH33" s="3"/>
      <c r="CI33" s="3"/>
      <c r="CJ33" s="3"/>
      <c r="CK33" s="3"/>
      <c r="CL33" s="3"/>
      <c r="CM33" s="3"/>
      <c r="CN33" s="3"/>
      <c r="CO33" s="3"/>
      <c r="CP33" s="3"/>
      <c r="CQ33" s="3"/>
      <c r="CR33" s="3"/>
      <c r="CS33" s="3"/>
      <c r="CT33" s="3"/>
    </row>
    <row r="34" spans="2:98" x14ac:dyDescent="0.2">
      <c r="B34" s="172" t="s">
        <v>97</v>
      </c>
      <c r="C34" s="249"/>
      <c r="D34" s="250"/>
      <c r="E34" s="249"/>
      <c r="F34" s="251"/>
      <c r="G34" s="58"/>
      <c r="H34" s="58"/>
      <c r="I34" s="58"/>
      <c r="J34" s="87"/>
      <c r="K34" s="23"/>
      <c r="L34" s="23"/>
      <c r="M34" s="23"/>
      <c r="N34" s="11"/>
      <c r="O34" s="249"/>
      <c r="P34" s="250"/>
      <c r="Q34" s="249"/>
      <c r="R34" s="251"/>
      <c r="S34" s="249"/>
      <c r="T34" s="250"/>
      <c r="U34" s="249"/>
      <c r="V34" s="251"/>
      <c r="W34" s="23"/>
      <c r="X34" s="23"/>
      <c r="Y34" s="23"/>
      <c r="Z34" s="11"/>
      <c r="AA34" s="23"/>
      <c r="AB34" s="23"/>
      <c r="AC34" s="23"/>
      <c r="AD34" s="11"/>
      <c r="AE34" s="23"/>
      <c r="AF34" s="23"/>
      <c r="AG34" s="23"/>
      <c r="AH34" s="11"/>
      <c r="AI34" s="23"/>
      <c r="AJ34" s="23"/>
      <c r="AK34" s="23"/>
      <c r="AL34" s="11"/>
      <c r="AM34" s="23"/>
      <c r="AN34" s="23"/>
      <c r="AO34" s="23"/>
      <c r="AP34" s="11"/>
      <c r="AQ34" s="23"/>
      <c r="AR34" s="23"/>
      <c r="AS34" s="23"/>
      <c r="AT34" s="11"/>
      <c r="AU34" s="23"/>
      <c r="AV34" s="23"/>
      <c r="AW34" s="23"/>
      <c r="AX34" s="11"/>
      <c r="AY34" s="23"/>
      <c r="AZ34" s="23"/>
      <c r="BA34" s="23"/>
      <c r="BB34" s="11"/>
      <c r="BC34" s="23"/>
      <c r="BD34" s="23"/>
      <c r="BE34" s="23"/>
      <c r="BF34" s="11"/>
      <c r="BG34" s="23"/>
      <c r="BH34" s="23"/>
      <c r="BI34" s="23"/>
      <c r="BJ34" s="11"/>
      <c r="BK34" s="23"/>
      <c r="BL34" s="23"/>
      <c r="BM34" s="23"/>
      <c r="BN34" s="11"/>
      <c r="BO34" s="23"/>
      <c r="BP34" s="23"/>
      <c r="BQ34" s="23"/>
      <c r="BR34" s="11"/>
      <c r="BS34" s="23"/>
      <c r="BT34" s="23"/>
      <c r="BU34" s="23"/>
      <c r="BV34" s="11"/>
      <c r="BW34" s="23"/>
      <c r="BX34" s="23"/>
      <c r="BY34" s="23"/>
      <c r="BZ34" s="11"/>
      <c r="CA34" s="3"/>
      <c r="CB34" s="3"/>
      <c r="CC34" s="3"/>
      <c r="CD34" s="3"/>
      <c r="CE34" s="3"/>
      <c r="CF34" s="3"/>
      <c r="CG34" s="3"/>
      <c r="CH34" s="3"/>
      <c r="CI34" s="3"/>
      <c r="CJ34" s="3"/>
      <c r="CK34" s="3"/>
      <c r="CL34" s="3"/>
      <c r="CM34" s="3"/>
      <c r="CN34" s="3"/>
      <c r="CO34" s="3"/>
      <c r="CP34" s="3"/>
      <c r="CQ34" s="3"/>
      <c r="CR34" s="3"/>
      <c r="CS34" s="3"/>
      <c r="CT34" s="3"/>
    </row>
    <row r="35" spans="2:98" x14ac:dyDescent="0.2">
      <c r="B35" s="172" t="s">
        <v>98</v>
      </c>
      <c r="C35" s="249"/>
      <c r="D35" s="250"/>
      <c r="E35" s="249"/>
      <c r="F35" s="251"/>
      <c r="G35" s="58"/>
      <c r="H35" s="58"/>
      <c r="I35" s="58"/>
      <c r="J35" s="87"/>
      <c r="K35" s="23"/>
      <c r="L35" s="23"/>
      <c r="M35" s="23"/>
      <c r="N35" s="11"/>
      <c r="O35" s="249"/>
      <c r="P35" s="250"/>
      <c r="Q35" s="249"/>
      <c r="R35" s="251"/>
      <c r="S35" s="249"/>
      <c r="T35" s="250"/>
      <c r="U35" s="249"/>
      <c r="V35" s="251"/>
      <c r="W35" s="23"/>
      <c r="X35" s="23"/>
      <c r="Y35" s="23"/>
      <c r="Z35" s="11"/>
      <c r="AA35" s="23"/>
      <c r="AB35" s="23"/>
      <c r="AC35" s="23"/>
      <c r="AD35" s="11"/>
      <c r="AE35" s="23"/>
      <c r="AF35" s="23"/>
      <c r="AG35" s="23"/>
      <c r="AH35" s="11"/>
      <c r="AI35" s="23"/>
      <c r="AJ35" s="23"/>
      <c r="AK35" s="23"/>
      <c r="AL35" s="11"/>
      <c r="AM35" s="23"/>
      <c r="AN35" s="23"/>
      <c r="AO35" s="23"/>
      <c r="AP35" s="11"/>
      <c r="AQ35" s="23"/>
      <c r="AR35" s="23"/>
      <c r="AS35" s="23"/>
      <c r="AT35" s="11"/>
      <c r="AU35" s="23"/>
      <c r="AV35" s="23"/>
      <c r="AW35" s="23"/>
      <c r="AX35" s="11"/>
      <c r="AY35" s="23"/>
      <c r="AZ35" s="23"/>
      <c r="BA35" s="23"/>
      <c r="BB35" s="11"/>
      <c r="BC35" s="23"/>
      <c r="BD35" s="23"/>
      <c r="BE35" s="23"/>
      <c r="BF35" s="11"/>
      <c r="BG35" s="23"/>
      <c r="BH35" s="23"/>
      <c r="BI35" s="23"/>
      <c r="BJ35" s="11"/>
      <c r="BK35" s="23"/>
      <c r="BL35" s="23"/>
      <c r="BM35" s="23"/>
      <c r="BN35" s="11"/>
      <c r="BO35" s="23"/>
      <c r="BP35" s="23"/>
      <c r="BQ35" s="23"/>
      <c r="BR35" s="11"/>
      <c r="BS35" s="23"/>
      <c r="BT35" s="23"/>
      <c r="BU35" s="23"/>
      <c r="BV35" s="11"/>
      <c r="BW35" s="23"/>
      <c r="BX35" s="23"/>
      <c r="BY35" s="23"/>
      <c r="BZ35" s="11"/>
      <c r="CA35" s="3"/>
      <c r="CB35" s="3"/>
      <c r="CC35" s="3"/>
      <c r="CD35" s="3"/>
      <c r="CE35" s="3"/>
      <c r="CF35" s="3"/>
      <c r="CG35" s="3"/>
      <c r="CH35" s="3"/>
      <c r="CI35" s="3"/>
      <c r="CJ35" s="3"/>
      <c r="CK35" s="3"/>
      <c r="CL35" s="3"/>
      <c r="CM35" s="3"/>
      <c r="CN35" s="3"/>
      <c r="CO35" s="3"/>
      <c r="CP35" s="3"/>
      <c r="CQ35" s="3"/>
      <c r="CR35" s="3"/>
      <c r="CS35" s="3"/>
      <c r="CT35" s="3"/>
    </row>
    <row r="36" spans="2:98" x14ac:dyDescent="0.2">
      <c r="B36" s="138"/>
      <c r="C36" s="249"/>
      <c r="D36" s="250"/>
      <c r="E36" s="249"/>
      <c r="F36" s="251"/>
      <c r="G36" s="58"/>
      <c r="H36" s="58"/>
      <c r="I36" s="58"/>
      <c r="J36" s="87"/>
      <c r="K36" s="23"/>
      <c r="L36" s="23"/>
      <c r="M36" s="23"/>
      <c r="N36" s="11"/>
      <c r="O36" s="249"/>
      <c r="P36" s="250"/>
      <c r="Q36" s="249"/>
      <c r="R36" s="251"/>
      <c r="S36" s="249"/>
      <c r="T36" s="250"/>
      <c r="U36" s="249"/>
      <c r="V36" s="251"/>
      <c r="W36" s="23"/>
      <c r="X36" s="23"/>
      <c r="Y36" s="23"/>
      <c r="Z36" s="11"/>
      <c r="AA36" s="23"/>
      <c r="AB36" s="23"/>
      <c r="AC36" s="23"/>
      <c r="AD36" s="11"/>
      <c r="AE36" s="23"/>
      <c r="AF36" s="23"/>
      <c r="AG36" s="23"/>
      <c r="AH36" s="11"/>
      <c r="AI36" s="23"/>
      <c r="AJ36" s="23"/>
      <c r="AK36" s="23"/>
      <c r="AL36" s="11"/>
      <c r="AM36" s="23"/>
      <c r="AN36" s="23"/>
      <c r="AO36" s="23"/>
      <c r="AP36" s="11"/>
      <c r="AQ36" s="23"/>
      <c r="AR36" s="23"/>
      <c r="AS36" s="23"/>
      <c r="AT36" s="11"/>
      <c r="AU36" s="23"/>
      <c r="AV36" s="23"/>
      <c r="AW36" s="23"/>
      <c r="AX36" s="11"/>
      <c r="AY36" s="23"/>
      <c r="AZ36" s="23"/>
      <c r="BA36" s="23"/>
      <c r="BB36" s="11"/>
      <c r="BC36" s="23"/>
      <c r="BD36" s="23"/>
      <c r="BE36" s="23"/>
      <c r="BF36" s="11"/>
      <c r="BG36" s="23"/>
      <c r="BH36" s="23"/>
      <c r="BI36" s="23"/>
      <c r="BJ36" s="11"/>
      <c r="BK36" s="23"/>
      <c r="BL36" s="23"/>
      <c r="BM36" s="23"/>
      <c r="BN36" s="11"/>
      <c r="BO36" s="23"/>
      <c r="BP36" s="23"/>
      <c r="BQ36" s="23"/>
      <c r="BR36" s="11"/>
      <c r="BS36" s="23"/>
      <c r="BT36" s="23"/>
      <c r="BU36" s="23"/>
      <c r="BV36" s="11"/>
      <c r="BW36" s="23"/>
      <c r="BX36" s="23"/>
      <c r="BY36" s="23"/>
      <c r="BZ36" s="11"/>
      <c r="CA36" s="3"/>
      <c r="CB36" s="3"/>
      <c r="CC36" s="3"/>
      <c r="CD36" s="3"/>
      <c r="CE36" s="3"/>
      <c r="CF36" s="3"/>
      <c r="CG36" s="3"/>
      <c r="CH36" s="3"/>
      <c r="CI36" s="3"/>
      <c r="CJ36" s="3"/>
      <c r="CK36" s="3"/>
      <c r="CL36" s="3"/>
      <c r="CM36" s="3"/>
      <c r="CN36" s="3"/>
      <c r="CO36" s="3"/>
      <c r="CP36" s="3"/>
      <c r="CQ36" s="3"/>
      <c r="CR36" s="3"/>
      <c r="CS36" s="3"/>
      <c r="CT36" s="3"/>
    </row>
    <row r="37" spans="2:98" x14ac:dyDescent="0.2">
      <c r="B37" s="138"/>
      <c r="C37" s="249"/>
      <c r="D37" s="250"/>
      <c r="E37" s="249"/>
      <c r="F37" s="251"/>
      <c r="G37" s="58"/>
      <c r="H37" s="58"/>
      <c r="I37" s="58"/>
      <c r="J37" s="87"/>
      <c r="K37" s="23"/>
      <c r="L37" s="23"/>
      <c r="M37" s="23"/>
      <c r="N37" s="11"/>
      <c r="O37" s="249"/>
      <c r="P37" s="250"/>
      <c r="Q37" s="249"/>
      <c r="R37" s="251"/>
      <c r="S37" s="249"/>
      <c r="T37" s="250"/>
      <c r="U37" s="249"/>
      <c r="V37" s="251"/>
      <c r="W37" s="23"/>
      <c r="X37" s="23"/>
      <c r="Y37" s="23"/>
      <c r="Z37" s="11"/>
      <c r="AA37" s="23"/>
      <c r="AB37" s="23"/>
      <c r="AC37" s="23"/>
      <c r="AD37" s="11"/>
      <c r="AE37" s="23"/>
      <c r="AF37" s="23"/>
      <c r="AG37" s="23"/>
      <c r="AH37" s="11"/>
      <c r="AI37" s="23"/>
      <c r="AJ37" s="23"/>
      <c r="AK37" s="23"/>
      <c r="AL37" s="11"/>
      <c r="AM37" s="23"/>
      <c r="AN37" s="23"/>
      <c r="AO37" s="23"/>
      <c r="AP37" s="11"/>
      <c r="AQ37" s="23"/>
      <c r="AR37" s="23"/>
      <c r="AS37" s="23"/>
      <c r="AT37" s="11"/>
      <c r="AU37" s="23"/>
      <c r="AV37" s="23"/>
      <c r="AW37" s="23"/>
      <c r="AX37" s="11"/>
      <c r="AY37" s="23"/>
      <c r="AZ37" s="23"/>
      <c r="BA37" s="23"/>
      <c r="BB37" s="11"/>
      <c r="BC37" s="23"/>
      <c r="BD37" s="23"/>
      <c r="BE37" s="23"/>
      <c r="BF37" s="11"/>
      <c r="BG37" s="23"/>
      <c r="BH37" s="23"/>
      <c r="BI37" s="23"/>
      <c r="BJ37" s="11"/>
      <c r="BK37" s="23"/>
      <c r="BL37" s="23"/>
      <c r="BM37" s="23"/>
      <c r="BN37" s="11"/>
      <c r="BO37" s="23"/>
      <c r="BP37" s="23"/>
      <c r="BQ37" s="23"/>
      <c r="BR37" s="11"/>
      <c r="BS37" s="23"/>
      <c r="BT37" s="23"/>
      <c r="BU37" s="23"/>
      <c r="BV37" s="11"/>
      <c r="BW37" s="23"/>
      <c r="BX37" s="23"/>
      <c r="BY37" s="23"/>
      <c r="BZ37" s="11"/>
      <c r="CA37" s="3"/>
      <c r="CB37" s="3"/>
      <c r="CC37" s="3"/>
      <c r="CD37" s="3"/>
      <c r="CE37" s="3"/>
      <c r="CF37" s="3"/>
      <c r="CG37" s="3"/>
      <c r="CH37" s="3"/>
      <c r="CI37" s="3"/>
      <c r="CJ37" s="3"/>
      <c r="CK37" s="3"/>
      <c r="CL37" s="3"/>
      <c r="CM37" s="3"/>
      <c r="CN37" s="3"/>
      <c r="CO37" s="3"/>
      <c r="CP37" s="3"/>
      <c r="CQ37" s="3"/>
      <c r="CR37" s="3"/>
      <c r="CS37" s="3"/>
      <c r="CT37" s="3"/>
    </row>
    <row r="38" spans="2:98" x14ac:dyDescent="0.2">
      <c r="B38" s="138"/>
      <c r="C38" s="249"/>
      <c r="D38" s="250"/>
      <c r="E38" s="249"/>
      <c r="F38" s="251"/>
      <c r="G38" s="58"/>
      <c r="H38" s="58"/>
      <c r="I38" s="58"/>
      <c r="J38" s="87"/>
      <c r="K38" s="23"/>
      <c r="L38" s="23"/>
      <c r="M38" s="23"/>
      <c r="N38" s="11"/>
      <c r="O38" s="249"/>
      <c r="P38" s="250"/>
      <c r="Q38" s="249"/>
      <c r="R38" s="251"/>
      <c r="S38" s="249"/>
      <c r="T38" s="250"/>
      <c r="U38" s="249"/>
      <c r="V38" s="251"/>
      <c r="W38" s="23"/>
      <c r="X38" s="23"/>
      <c r="Y38" s="23"/>
      <c r="Z38" s="11"/>
      <c r="AA38" s="23"/>
      <c r="AB38" s="23"/>
      <c r="AC38" s="23"/>
      <c r="AD38" s="11"/>
      <c r="AE38" s="23"/>
      <c r="AF38" s="23"/>
      <c r="AG38" s="23"/>
      <c r="AH38" s="11"/>
      <c r="AI38" s="23"/>
      <c r="AJ38" s="23"/>
      <c r="AK38" s="23"/>
      <c r="AL38" s="11"/>
      <c r="AM38" s="23"/>
      <c r="AN38" s="23"/>
      <c r="AO38" s="23"/>
      <c r="AP38" s="11"/>
      <c r="AQ38" s="23"/>
      <c r="AR38" s="23"/>
      <c r="AS38" s="23"/>
      <c r="AT38" s="11"/>
      <c r="AU38" s="23"/>
      <c r="AV38" s="23"/>
      <c r="AW38" s="23"/>
      <c r="AX38" s="11"/>
      <c r="AY38" s="23"/>
      <c r="AZ38" s="23"/>
      <c r="BA38" s="23"/>
      <c r="BB38" s="11"/>
      <c r="BC38" s="23"/>
      <c r="BD38" s="23"/>
      <c r="BE38" s="23"/>
      <c r="BF38" s="11"/>
      <c r="BG38" s="23"/>
      <c r="BH38" s="23"/>
      <c r="BI38" s="23"/>
      <c r="BJ38" s="11"/>
      <c r="BK38" s="23"/>
      <c r="BL38" s="23"/>
      <c r="BM38" s="23"/>
      <c r="BN38" s="11"/>
      <c r="BO38" s="23"/>
      <c r="BP38" s="23"/>
      <c r="BQ38" s="23"/>
      <c r="BR38" s="11"/>
      <c r="BS38" s="23"/>
      <c r="BT38" s="23"/>
      <c r="BU38" s="23"/>
      <c r="BV38" s="11"/>
      <c r="BW38" s="23"/>
      <c r="BX38" s="23"/>
      <c r="BY38" s="23"/>
      <c r="BZ38" s="11"/>
      <c r="CA38" s="3"/>
      <c r="CB38" s="3"/>
      <c r="CC38" s="3"/>
      <c r="CD38" s="3"/>
      <c r="CE38" s="3"/>
      <c r="CF38" s="3"/>
      <c r="CG38" s="3"/>
      <c r="CH38" s="3"/>
      <c r="CI38" s="3"/>
      <c r="CJ38" s="3"/>
      <c r="CK38" s="3"/>
      <c r="CL38" s="3"/>
      <c r="CM38" s="3"/>
      <c r="CN38" s="3"/>
      <c r="CO38" s="3"/>
      <c r="CP38" s="3"/>
      <c r="CQ38" s="3"/>
      <c r="CR38" s="3"/>
      <c r="CS38" s="3"/>
      <c r="CT38" s="3"/>
    </row>
    <row r="39" spans="2:98" x14ac:dyDescent="0.2">
      <c r="B39" s="138"/>
      <c r="C39" s="249"/>
      <c r="D39" s="250"/>
      <c r="E39" s="249"/>
      <c r="F39" s="251"/>
      <c r="G39" s="58"/>
      <c r="H39" s="58"/>
      <c r="I39" s="58"/>
      <c r="J39" s="87"/>
      <c r="K39" s="23"/>
      <c r="L39" s="23"/>
      <c r="M39" s="23"/>
      <c r="N39" s="11"/>
      <c r="O39" s="249"/>
      <c r="P39" s="250"/>
      <c r="Q39" s="249"/>
      <c r="R39" s="251"/>
      <c r="S39" s="249"/>
      <c r="T39" s="250"/>
      <c r="U39" s="249"/>
      <c r="V39" s="251"/>
      <c r="W39" s="23"/>
      <c r="X39" s="23"/>
      <c r="Y39" s="23"/>
      <c r="Z39" s="11"/>
      <c r="AA39" s="23"/>
      <c r="AB39" s="23"/>
      <c r="AC39" s="23"/>
      <c r="AD39" s="11"/>
      <c r="AE39" s="23"/>
      <c r="AF39" s="23"/>
      <c r="AG39" s="23"/>
      <c r="AH39" s="11"/>
      <c r="AI39" s="23"/>
      <c r="AJ39" s="23"/>
      <c r="AK39" s="23"/>
      <c r="AL39" s="11"/>
      <c r="AM39" s="23"/>
      <c r="AN39" s="23"/>
      <c r="AO39" s="23"/>
      <c r="AP39" s="11"/>
      <c r="AQ39" s="23"/>
      <c r="AR39" s="23"/>
      <c r="AS39" s="23"/>
      <c r="AT39" s="11"/>
      <c r="AU39" s="23"/>
      <c r="AV39" s="23"/>
      <c r="AW39" s="23"/>
      <c r="AX39" s="11"/>
      <c r="AY39" s="23"/>
      <c r="AZ39" s="23"/>
      <c r="BA39" s="23"/>
      <c r="BB39" s="11"/>
      <c r="BC39" s="23"/>
      <c r="BD39" s="23"/>
      <c r="BE39" s="23"/>
      <c r="BF39" s="11"/>
      <c r="BG39" s="23"/>
      <c r="BH39" s="23"/>
      <c r="BI39" s="23"/>
      <c r="BJ39" s="11"/>
      <c r="BK39" s="23"/>
      <c r="BL39" s="23"/>
      <c r="BM39" s="23"/>
      <c r="BN39" s="11"/>
      <c r="BO39" s="23"/>
      <c r="BP39" s="23"/>
      <c r="BQ39" s="23"/>
      <c r="BR39" s="11"/>
      <c r="BS39" s="23"/>
      <c r="BT39" s="23"/>
      <c r="BU39" s="23"/>
      <c r="BV39" s="11"/>
      <c r="BW39" s="23"/>
      <c r="BX39" s="23"/>
      <c r="BY39" s="23"/>
      <c r="BZ39" s="11"/>
      <c r="CA39" s="3"/>
      <c r="CB39" s="3"/>
      <c r="CC39" s="3"/>
      <c r="CD39" s="3"/>
      <c r="CE39" s="3"/>
      <c r="CF39" s="3"/>
      <c r="CG39" s="3"/>
      <c r="CH39" s="3"/>
      <c r="CI39" s="3"/>
      <c r="CJ39" s="3"/>
      <c r="CK39" s="3"/>
      <c r="CL39" s="3"/>
      <c r="CM39" s="3"/>
      <c r="CN39" s="3"/>
      <c r="CO39" s="3"/>
      <c r="CP39" s="3"/>
      <c r="CQ39" s="3"/>
      <c r="CR39" s="3"/>
      <c r="CS39" s="3"/>
      <c r="CT39" s="3"/>
    </row>
    <row r="40" spans="2:98" x14ac:dyDescent="0.2">
      <c r="B40" s="138"/>
      <c r="C40" s="249"/>
      <c r="D40" s="250"/>
      <c r="E40" s="249"/>
      <c r="F40" s="251"/>
      <c r="G40" s="58"/>
      <c r="H40" s="58"/>
      <c r="I40" s="58"/>
      <c r="J40" s="87"/>
      <c r="K40" s="23"/>
      <c r="L40" s="23"/>
      <c r="M40" s="23"/>
      <c r="N40" s="11"/>
      <c r="O40" s="249"/>
      <c r="P40" s="250"/>
      <c r="Q40" s="249"/>
      <c r="R40" s="251"/>
      <c r="S40" s="249"/>
      <c r="T40" s="250"/>
      <c r="U40" s="249"/>
      <c r="V40" s="251"/>
      <c r="W40" s="23"/>
      <c r="X40" s="23"/>
      <c r="Y40" s="23"/>
      <c r="Z40" s="11"/>
      <c r="AA40" s="23"/>
      <c r="AB40" s="23"/>
      <c r="AC40" s="23"/>
      <c r="AD40" s="11"/>
      <c r="AE40" s="23"/>
      <c r="AF40" s="23"/>
      <c r="AG40" s="23"/>
      <c r="AH40" s="11"/>
      <c r="AI40" s="23"/>
      <c r="AJ40" s="23"/>
      <c r="AK40" s="23"/>
      <c r="AL40" s="11"/>
      <c r="AM40" s="23"/>
      <c r="AN40" s="23"/>
      <c r="AO40" s="23"/>
      <c r="AP40" s="11"/>
      <c r="AQ40" s="23"/>
      <c r="AR40" s="23"/>
      <c r="AS40" s="23"/>
      <c r="AT40" s="11"/>
      <c r="AU40" s="23"/>
      <c r="AV40" s="23"/>
      <c r="AW40" s="23"/>
      <c r="AX40" s="11"/>
      <c r="AY40" s="23"/>
      <c r="AZ40" s="23"/>
      <c r="BA40" s="23"/>
      <c r="BB40" s="11"/>
      <c r="BC40" s="23"/>
      <c r="BD40" s="23"/>
      <c r="BE40" s="23"/>
      <c r="BF40" s="11"/>
      <c r="BG40" s="23"/>
      <c r="BH40" s="23"/>
      <c r="BI40" s="23"/>
      <c r="BJ40" s="11"/>
      <c r="BK40" s="23"/>
      <c r="BL40" s="23"/>
      <c r="BM40" s="23"/>
      <c r="BN40" s="11"/>
      <c r="BO40" s="23"/>
      <c r="BP40" s="23"/>
      <c r="BQ40" s="23"/>
      <c r="BR40" s="11"/>
      <c r="BS40" s="23"/>
      <c r="BT40" s="23"/>
      <c r="BU40" s="23"/>
      <c r="BV40" s="11"/>
      <c r="BW40" s="23"/>
      <c r="BX40" s="23"/>
      <c r="BY40" s="23"/>
      <c r="BZ40" s="11"/>
      <c r="CA40" s="3"/>
      <c r="CB40" s="3"/>
      <c r="CC40" s="3"/>
      <c r="CD40" s="3"/>
      <c r="CE40" s="3"/>
      <c r="CF40" s="3"/>
      <c r="CG40" s="3"/>
      <c r="CH40" s="3"/>
      <c r="CI40" s="3"/>
      <c r="CJ40" s="3"/>
      <c r="CK40" s="3"/>
      <c r="CL40" s="3"/>
      <c r="CM40" s="3"/>
      <c r="CN40" s="3"/>
      <c r="CO40" s="3"/>
      <c r="CP40" s="3"/>
      <c r="CQ40" s="3"/>
      <c r="CR40" s="3"/>
      <c r="CS40" s="3"/>
      <c r="CT40" s="3"/>
    </row>
    <row r="41" spans="2:98" x14ac:dyDescent="0.2">
      <c r="B41" s="138"/>
      <c r="C41" s="249"/>
      <c r="D41" s="250"/>
      <c r="E41" s="249"/>
      <c r="F41" s="251"/>
      <c r="G41" s="58"/>
      <c r="H41" s="58"/>
      <c r="I41" s="58"/>
      <c r="J41" s="87"/>
      <c r="K41" s="23"/>
      <c r="L41" s="23"/>
      <c r="M41" s="23"/>
      <c r="N41" s="11"/>
      <c r="O41" s="249"/>
      <c r="P41" s="250"/>
      <c r="Q41" s="249"/>
      <c r="R41" s="251"/>
      <c r="S41" s="249"/>
      <c r="T41" s="250"/>
      <c r="U41" s="249"/>
      <c r="V41" s="251"/>
      <c r="W41" s="23"/>
      <c r="X41" s="23"/>
      <c r="Y41" s="23"/>
      <c r="Z41" s="11"/>
      <c r="AA41" s="23"/>
      <c r="AB41" s="23"/>
      <c r="AC41" s="23"/>
      <c r="AD41" s="11"/>
      <c r="AE41" s="23"/>
      <c r="AF41" s="23"/>
      <c r="AG41" s="23"/>
      <c r="AH41" s="11"/>
      <c r="AI41" s="23"/>
      <c r="AJ41" s="23"/>
      <c r="AK41" s="23"/>
      <c r="AL41" s="11"/>
      <c r="AM41" s="23"/>
      <c r="AN41" s="23"/>
      <c r="AO41" s="23"/>
      <c r="AP41" s="11"/>
      <c r="AQ41" s="23"/>
      <c r="AR41" s="23"/>
      <c r="AS41" s="23"/>
      <c r="AT41" s="11"/>
      <c r="AU41" s="23"/>
      <c r="AV41" s="23"/>
      <c r="AW41" s="23"/>
      <c r="AX41" s="11"/>
      <c r="AY41" s="23"/>
      <c r="AZ41" s="23"/>
      <c r="BA41" s="23"/>
      <c r="BB41" s="11"/>
      <c r="BC41" s="23"/>
      <c r="BD41" s="23"/>
      <c r="BE41" s="23"/>
      <c r="BF41" s="11"/>
      <c r="BG41" s="23"/>
      <c r="BH41" s="23"/>
      <c r="BI41" s="23"/>
      <c r="BJ41" s="11"/>
      <c r="BK41" s="23"/>
      <c r="BL41" s="23"/>
      <c r="BM41" s="23"/>
      <c r="BN41" s="11"/>
      <c r="BO41" s="23"/>
      <c r="BP41" s="23"/>
      <c r="BQ41" s="23"/>
      <c r="BR41" s="11"/>
      <c r="BS41" s="23"/>
      <c r="BT41" s="23"/>
      <c r="BU41" s="23"/>
      <c r="BV41" s="11"/>
      <c r="BW41" s="23"/>
      <c r="BX41" s="23"/>
      <c r="BY41" s="23"/>
      <c r="BZ41" s="11"/>
      <c r="CA41" s="3"/>
      <c r="CB41" s="3"/>
      <c r="CC41" s="3"/>
      <c r="CD41" s="3"/>
      <c r="CE41" s="3"/>
      <c r="CF41" s="3"/>
      <c r="CG41" s="3"/>
      <c r="CH41" s="3"/>
      <c r="CI41" s="3"/>
      <c r="CJ41" s="3"/>
      <c r="CK41" s="3"/>
      <c r="CL41" s="3"/>
      <c r="CM41" s="3"/>
      <c r="CN41" s="3"/>
      <c r="CO41" s="3"/>
      <c r="CP41" s="3"/>
      <c r="CQ41" s="3"/>
      <c r="CR41" s="3"/>
      <c r="CS41" s="3"/>
      <c r="CT41" s="3"/>
    </row>
    <row r="42" spans="2:98" x14ac:dyDescent="0.2">
      <c r="B42" s="138"/>
      <c r="C42" s="249"/>
      <c r="D42" s="250"/>
      <c r="E42" s="249"/>
      <c r="F42" s="251"/>
      <c r="G42" s="58"/>
      <c r="H42" s="58"/>
      <c r="I42" s="58"/>
      <c r="J42" s="87"/>
      <c r="K42" s="23"/>
      <c r="L42" s="23"/>
      <c r="M42" s="23"/>
      <c r="N42" s="11"/>
      <c r="O42" s="249"/>
      <c r="P42" s="250"/>
      <c r="Q42" s="249"/>
      <c r="R42" s="251"/>
      <c r="S42" s="249"/>
      <c r="T42" s="250"/>
      <c r="U42" s="249"/>
      <c r="V42" s="251"/>
      <c r="W42" s="23"/>
      <c r="X42" s="23"/>
      <c r="Y42" s="23"/>
      <c r="Z42" s="11"/>
      <c r="AA42" s="23"/>
      <c r="AB42" s="23"/>
      <c r="AC42" s="23"/>
      <c r="AD42" s="11"/>
      <c r="AE42" s="23"/>
      <c r="AF42" s="23"/>
      <c r="AG42" s="23"/>
      <c r="AH42" s="11"/>
      <c r="AI42" s="23"/>
      <c r="AJ42" s="23"/>
      <c r="AK42" s="23"/>
      <c r="AL42" s="11"/>
      <c r="AM42" s="23"/>
      <c r="AN42" s="23"/>
      <c r="AO42" s="23"/>
      <c r="AP42" s="11"/>
      <c r="AQ42" s="23"/>
      <c r="AR42" s="23"/>
      <c r="AS42" s="23"/>
      <c r="AT42" s="11"/>
      <c r="AU42" s="23"/>
      <c r="AV42" s="23"/>
      <c r="AW42" s="23"/>
      <c r="AX42" s="11"/>
      <c r="AY42" s="23"/>
      <c r="AZ42" s="23"/>
      <c r="BA42" s="23"/>
      <c r="BB42" s="11"/>
      <c r="BC42" s="23"/>
      <c r="BD42" s="23"/>
      <c r="BE42" s="23"/>
      <c r="BF42" s="11"/>
      <c r="BG42" s="23"/>
      <c r="BH42" s="23"/>
      <c r="BI42" s="23"/>
      <c r="BJ42" s="11"/>
      <c r="BK42" s="23"/>
      <c r="BL42" s="23"/>
      <c r="BM42" s="23"/>
      <c r="BN42" s="11"/>
      <c r="BO42" s="23"/>
      <c r="BP42" s="23"/>
      <c r="BQ42" s="23"/>
      <c r="BR42" s="11"/>
      <c r="BS42" s="23"/>
      <c r="BT42" s="23"/>
      <c r="BU42" s="23"/>
      <c r="BV42" s="11"/>
      <c r="BW42" s="23"/>
      <c r="BX42" s="23"/>
      <c r="BY42" s="23"/>
      <c r="BZ42" s="11"/>
      <c r="CA42" s="3"/>
      <c r="CB42" s="3"/>
      <c r="CC42" s="3"/>
      <c r="CD42" s="3"/>
      <c r="CE42" s="3"/>
      <c r="CF42" s="3"/>
      <c r="CG42" s="3"/>
      <c r="CH42" s="3"/>
      <c r="CI42" s="3"/>
      <c r="CJ42" s="3"/>
      <c r="CK42" s="3"/>
      <c r="CL42" s="3"/>
      <c r="CM42" s="3"/>
      <c r="CN42" s="3"/>
      <c r="CO42" s="3"/>
      <c r="CP42" s="3"/>
      <c r="CQ42" s="3"/>
      <c r="CR42" s="3"/>
      <c r="CS42" s="3"/>
      <c r="CT42" s="3"/>
    </row>
    <row r="43" spans="2:98" x14ac:dyDescent="0.2">
      <c r="B43" s="138"/>
      <c r="C43" s="249"/>
      <c r="D43" s="250"/>
      <c r="E43" s="249"/>
      <c r="F43" s="251"/>
      <c r="G43" s="58"/>
      <c r="H43" s="58"/>
      <c r="I43" s="58"/>
      <c r="J43" s="87"/>
      <c r="K43" s="23"/>
      <c r="L43" s="23"/>
      <c r="M43" s="23"/>
      <c r="N43" s="11"/>
      <c r="O43" s="249"/>
      <c r="P43" s="250"/>
      <c r="Q43" s="249"/>
      <c r="R43" s="251"/>
      <c r="S43" s="249"/>
      <c r="T43" s="250"/>
      <c r="U43" s="249"/>
      <c r="V43" s="251"/>
      <c r="W43" s="23"/>
      <c r="X43" s="23"/>
      <c r="Y43" s="23"/>
      <c r="Z43" s="11"/>
      <c r="AA43" s="23"/>
      <c r="AB43" s="23"/>
      <c r="AC43" s="23"/>
      <c r="AD43" s="11"/>
      <c r="AE43" s="23"/>
      <c r="AF43" s="23"/>
      <c r="AG43" s="23"/>
      <c r="AH43" s="11"/>
      <c r="AI43" s="23"/>
      <c r="AJ43" s="23"/>
      <c r="AK43" s="23"/>
      <c r="AL43" s="11"/>
      <c r="AM43" s="23"/>
      <c r="AN43" s="23"/>
      <c r="AO43" s="23"/>
      <c r="AP43" s="11"/>
      <c r="AQ43" s="23"/>
      <c r="AR43" s="23"/>
      <c r="AS43" s="23"/>
      <c r="AT43" s="11"/>
      <c r="AU43" s="23"/>
      <c r="AV43" s="23"/>
      <c r="AW43" s="23"/>
      <c r="AX43" s="11"/>
      <c r="AY43" s="23"/>
      <c r="AZ43" s="23"/>
      <c r="BA43" s="23"/>
      <c r="BB43" s="11"/>
      <c r="BC43" s="23"/>
      <c r="BD43" s="23"/>
      <c r="BE43" s="23"/>
      <c r="BF43" s="11"/>
      <c r="BG43" s="23"/>
      <c r="BH43" s="23"/>
      <c r="BI43" s="23"/>
      <c r="BJ43" s="11"/>
      <c r="BK43" s="23"/>
      <c r="BL43" s="23"/>
      <c r="BM43" s="23"/>
      <c r="BN43" s="11"/>
      <c r="BO43" s="23"/>
      <c r="BP43" s="23"/>
      <c r="BQ43" s="23"/>
      <c r="BR43" s="11"/>
      <c r="BS43" s="23"/>
      <c r="BT43" s="23"/>
      <c r="BU43" s="23"/>
      <c r="BV43" s="11"/>
      <c r="BW43" s="23"/>
      <c r="BX43" s="23"/>
      <c r="BY43" s="23"/>
      <c r="BZ43" s="11"/>
      <c r="CA43" s="3"/>
      <c r="CB43" s="3"/>
      <c r="CC43" s="3"/>
      <c r="CD43" s="3"/>
      <c r="CE43" s="3"/>
      <c r="CF43" s="3"/>
      <c r="CG43" s="3"/>
      <c r="CH43" s="3"/>
      <c r="CI43" s="3"/>
      <c r="CJ43" s="3"/>
      <c r="CK43" s="3"/>
      <c r="CL43" s="3"/>
      <c r="CM43" s="3"/>
      <c r="CN43" s="3"/>
      <c r="CO43" s="3"/>
      <c r="CP43" s="3"/>
      <c r="CQ43" s="3"/>
      <c r="CR43" s="3"/>
      <c r="CS43" s="3"/>
      <c r="CT43" s="3"/>
    </row>
    <row r="44" spans="2:98" x14ac:dyDescent="0.2">
      <c r="B44" s="138"/>
      <c r="C44" s="249"/>
      <c r="D44" s="250"/>
      <c r="E44" s="249"/>
      <c r="F44" s="251"/>
      <c r="G44" s="58"/>
      <c r="H44" s="58"/>
      <c r="I44" s="58"/>
      <c r="J44" s="87"/>
      <c r="K44" s="23"/>
      <c r="L44" s="23"/>
      <c r="M44" s="23"/>
      <c r="N44" s="11"/>
      <c r="O44" s="249"/>
      <c r="P44" s="250"/>
      <c r="Q44" s="249"/>
      <c r="R44" s="251"/>
      <c r="S44" s="249"/>
      <c r="T44" s="250"/>
      <c r="U44" s="249"/>
      <c r="V44" s="251"/>
      <c r="W44" s="23"/>
      <c r="X44" s="23"/>
      <c r="Y44" s="23"/>
      <c r="Z44" s="11"/>
      <c r="AA44" s="23"/>
      <c r="AB44" s="23"/>
      <c r="AC44" s="23"/>
      <c r="AD44" s="11"/>
      <c r="AE44" s="23"/>
      <c r="AF44" s="23"/>
      <c r="AG44" s="23"/>
      <c r="AH44" s="11"/>
      <c r="AI44" s="23"/>
      <c r="AJ44" s="23"/>
      <c r="AK44" s="23"/>
      <c r="AL44" s="11"/>
      <c r="AM44" s="23"/>
      <c r="AN44" s="23"/>
      <c r="AO44" s="23"/>
      <c r="AP44" s="11"/>
      <c r="AQ44" s="23"/>
      <c r="AR44" s="23"/>
      <c r="AS44" s="23"/>
      <c r="AT44" s="11"/>
      <c r="AU44" s="23"/>
      <c r="AV44" s="23"/>
      <c r="AW44" s="23"/>
      <c r="AX44" s="11"/>
      <c r="AY44" s="23"/>
      <c r="AZ44" s="23"/>
      <c r="BA44" s="23"/>
      <c r="BB44" s="11"/>
      <c r="BC44" s="23"/>
      <c r="BD44" s="23"/>
      <c r="BE44" s="23"/>
      <c r="BF44" s="11"/>
      <c r="BG44" s="23"/>
      <c r="BH44" s="23"/>
      <c r="BI44" s="23"/>
      <c r="BJ44" s="11"/>
      <c r="BK44" s="23"/>
      <c r="BL44" s="23"/>
      <c r="BM44" s="23"/>
      <c r="BN44" s="11"/>
      <c r="BO44" s="23"/>
      <c r="BP44" s="23"/>
      <c r="BQ44" s="23"/>
      <c r="BR44" s="11"/>
      <c r="BS44" s="23"/>
      <c r="BT44" s="23"/>
      <c r="BU44" s="23"/>
      <c r="BV44" s="11"/>
      <c r="BW44" s="23"/>
      <c r="BX44" s="23"/>
      <c r="BY44" s="23"/>
      <c r="BZ44" s="11"/>
      <c r="CA44" s="3"/>
      <c r="CB44" s="3"/>
      <c r="CC44" s="3"/>
      <c r="CD44" s="3"/>
      <c r="CE44" s="3"/>
      <c r="CF44" s="3"/>
      <c r="CG44" s="3"/>
      <c r="CH44" s="3"/>
      <c r="CI44" s="3"/>
      <c r="CJ44" s="3"/>
      <c r="CK44" s="3"/>
      <c r="CL44" s="3"/>
      <c r="CM44" s="3"/>
      <c r="CN44" s="3"/>
      <c r="CO44" s="3"/>
      <c r="CP44" s="3"/>
      <c r="CQ44" s="3"/>
      <c r="CR44" s="3"/>
      <c r="CS44" s="3"/>
      <c r="CT44" s="3"/>
    </row>
    <row r="45" spans="2:98" x14ac:dyDescent="0.2">
      <c r="B45" s="138"/>
      <c r="C45" s="249"/>
      <c r="D45" s="250"/>
      <c r="E45" s="249"/>
      <c r="F45" s="251"/>
      <c r="G45" s="58"/>
      <c r="H45" s="58"/>
      <c r="I45" s="58"/>
      <c r="J45" s="87"/>
      <c r="K45" s="23"/>
      <c r="L45" s="23"/>
      <c r="M45" s="23"/>
      <c r="N45" s="11"/>
      <c r="O45" s="249"/>
      <c r="P45" s="250"/>
      <c r="Q45" s="249"/>
      <c r="R45" s="251"/>
      <c r="S45" s="249"/>
      <c r="T45" s="250"/>
      <c r="U45" s="249"/>
      <c r="V45" s="251"/>
      <c r="W45" s="23"/>
      <c r="X45" s="23"/>
      <c r="Y45" s="23"/>
      <c r="Z45" s="11"/>
      <c r="AA45" s="23"/>
      <c r="AB45" s="23"/>
      <c r="AC45" s="23"/>
      <c r="AD45" s="11"/>
      <c r="AE45" s="23"/>
      <c r="AF45" s="23"/>
      <c r="AG45" s="23"/>
      <c r="AH45" s="11"/>
      <c r="AI45" s="23"/>
      <c r="AJ45" s="23"/>
      <c r="AK45" s="23"/>
      <c r="AL45" s="11"/>
      <c r="AM45" s="23"/>
      <c r="AN45" s="23"/>
      <c r="AO45" s="23"/>
      <c r="AP45" s="11"/>
      <c r="AQ45" s="23"/>
      <c r="AR45" s="23"/>
      <c r="AS45" s="23"/>
      <c r="AT45" s="11"/>
      <c r="AU45" s="23"/>
      <c r="AV45" s="23"/>
      <c r="AW45" s="23"/>
      <c r="AX45" s="11"/>
      <c r="AY45" s="23"/>
      <c r="AZ45" s="23"/>
      <c r="BA45" s="23"/>
      <c r="BB45" s="11"/>
      <c r="BC45" s="23"/>
      <c r="BD45" s="23"/>
      <c r="BE45" s="23"/>
      <c r="BF45" s="11"/>
      <c r="BG45" s="23"/>
      <c r="BH45" s="23"/>
      <c r="BI45" s="23"/>
      <c r="BJ45" s="11"/>
      <c r="BK45" s="23"/>
      <c r="BL45" s="23"/>
      <c r="BM45" s="23"/>
      <c r="BN45" s="11"/>
      <c r="BO45" s="23"/>
      <c r="BP45" s="23"/>
      <c r="BQ45" s="23"/>
      <c r="BR45" s="11"/>
      <c r="BS45" s="23"/>
      <c r="BT45" s="23"/>
      <c r="BU45" s="23"/>
      <c r="BV45" s="11"/>
      <c r="BW45" s="23"/>
      <c r="BX45" s="23"/>
      <c r="BY45" s="23"/>
      <c r="BZ45" s="11"/>
      <c r="CA45" s="3"/>
      <c r="CB45" s="3"/>
      <c r="CC45" s="3"/>
      <c r="CD45" s="3"/>
      <c r="CE45" s="3"/>
      <c r="CF45" s="3"/>
      <c r="CG45" s="3"/>
      <c r="CH45" s="3"/>
      <c r="CI45" s="3"/>
      <c r="CJ45" s="3"/>
      <c r="CK45" s="3"/>
      <c r="CL45" s="3"/>
      <c r="CM45" s="3"/>
      <c r="CN45" s="3"/>
      <c r="CO45" s="3"/>
      <c r="CP45" s="3"/>
      <c r="CQ45" s="3"/>
      <c r="CR45" s="3"/>
      <c r="CS45" s="3"/>
      <c r="CT45" s="3"/>
    </row>
    <row r="46" spans="2:98" x14ac:dyDescent="0.2">
      <c r="B46" s="138"/>
      <c r="C46" s="249"/>
      <c r="D46" s="250"/>
      <c r="E46" s="249"/>
      <c r="F46" s="251"/>
      <c r="G46" s="58"/>
      <c r="H46" s="58"/>
      <c r="I46" s="58"/>
      <c r="J46" s="87"/>
      <c r="K46" s="23"/>
      <c r="L46" s="23"/>
      <c r="M46" s="23"/>
      <c r="N46" s="11"/>
      <c r="O46" s="249"/>
      <c r="P46" s="250"/>
      <c r="Q46" s="249"/>
      <c r="R46" s="251"/>
      <c r="S46" s="249"/>
      <c r="T46" s="250"/>
      <c r="U46" s="249"/>
      <c r="V46" s="251"/>
      <c r="W46" s="23"/>
      <c r="X46" s="23"/>
      <c r="Y46" s="23"/>
      <c r="Z46" s="11"/>
      <c r="AA46" s="23"/>
      <c r="AB46" s="23"/>
      <c r="AC46" s="23"/>
      <c r="AD46" s="11"/>
      <c r="AE46" s="23"/>
      <c r="AF46" s="23"/>
      <c r="AG46" s="23"/>
      <c r="AH46" s="11"/>
      <c r="AI46" s="23"/>
      <c r="AJ46" s="23"/>
      <c r="AK46" s="23"/>
      <c r="AL46" s="11"/>
      <c r="AM46" s="23"/>
      <c r="AN46" s="23"/>
      <c r="AO46" s="23"/>
      <c r="AP46" s="11"/>
      <c r="AQ46" s="23"/>
      <c r="AR46" s="23"/>
      <c r="AS46" s="23"/>
      <c r="AT46" s="11"/>
      <c r="AU46" s="23"/>
      <c r="AV46" s="23"/>
      <c r="AW46" s="23"/>
      <c r="AX46" s="11"/>
      <c r="AY46" s="23"/>
      <c r="AZ46" s="23"/>
      <c r="BA46" s="23"/>
      <c r="BB46" s="11"/>
      <c r="BC46" s="23"/>
      <c r="BD46" s="23"/>
      <c r="BE46" s="23"/>
      <c r="BF46" s="11"/>
      <c r="BG46" s="23"/>
      <c r="BH46" s="23"/>
      <c r="BI46" s="23"/>
      <c r="BJ46" s="11"/>
      <c r="BK46" s="23"/>
      <c r="BL46" s="23"/>
      <c r="BM46" s="23"/>
      <c r="BN46" s="11"/>
      <c r="BO46" s="23"/>
      <c r="BP46" s="23"/>
      <c r="BQ46" s="23"/>
      <c r="BR46" s="11"/>
      <c r="BS46" s="23"/>
      <c r="BT46" s="23"/>
      <c r="BU46" s="23"/>
      <c r="BV46" s="11"/>
      <c r="BW46" s="23"/>
      <c r="BX46" s="23"/>
      <c r="BY46" s="23"/>
      <c r="BZ46" s="11"/>
      <c r="CA46" s="3"/>
      <c r="CB46" s="3"/>
      <c r="CC46" s="3"/>
      <c r="CD46" s="3"/>
      <c r="CE46" s="3"/>
      <c r="CF46" s="3"/>
      <c r="CG46" s="3"/>
      <c r="CH46" s="3"/>
      <c r="CI46" s="3"/>
      <c r="CJ46" s="3"/>
      <c r="CK46" s="3"/>
      <c r="CL46" s="3"/>
      <c r="CM46" s="3"/>
      <c r="CN46" s="3"/>
      <c r="CO46" s="3"/>
      <c r="CP46" s="3"/>
      <c r="CQ46" s="3"/>
      <c r="CR46" s="3"/>
      <c r="CS46" s="3"/>
      <c r="CT46" s="3"/>
    </row>
    <row r="47" spans="2:98" x14ac:dyDescent="0.2">
      <c r="B47" s="138"/>
      <c r="C47" s="249"/>
      <c r="D47" s="250"/>
      <c r="E47" s="249"/>
      <c r="F47" s="251"/>
      <c r="G47" s="58"/>
      <c r="H47" s="58"/>
      <c r="I47" s="58"/>
      <c r="J47" s="87"/>
      <c r="K47" s="23"/>
      <c r="L47" s="23"/>
      <c r="M47" s="23"/>
      <c r="N47" s="11"/>
      <c r="O47" s="249"/>
      <c r="P47" s="250"/>
      <c r="Q47" s="249"/>
      <c r="R47" s="251"/>
      <c r="S47" s="249"/>
      <c r="T47" s="250"/>
      <c r="U47" s="249"/>
      <c r="V47" s="251"/>
      <c r="W47" s="23"/>
      <c r="X47" s="23"/>
      <c r="Y47" s="23"/>
      <c r="Z47" s="11"/>
      <c r="AA47" s="23"/>
      <c r="AB47" s="23"/>
      <c r="AC47" s="23"/>
      <c r="AD47" s="11"/>
      <c r="AE47" s="23"/>
      <c r="AF47" s="23"/>
      <c r="AG47" s="23"/>
      <c r="AH47" s="11"/>
      <c r="AI47" s="23"/>
      <c r="AJ47" s="23"/>
      <c r="AK47" s="23"/>
      <c r="AL47" s="11"/>
      <c r="AM47" s="23"/>
      <c r="AN47" s="23"/>
      <c r="AO47" s="23"/>
      <c r="AP47" s="11"/>
      <c r="AQ47" s="23"/>
      <c r="AR47" s="23"/>
      <c r="AS47" s="23"/>
      <c r="AT47" s="11"/>
      <c r="AU47" s="23"/>
      <c r="AV47" s="23"/>
      <c r="AW47" s="23"/>
      <c r="AX47" s="11"/>
      <c r="AY47" s="23"/>
      <c r="AZ47" s="23"/>
      <c r="BA47" s="23"/>
      <c r="BB47" s="11"/>
      <c r="BC47" s="23"/>
      <c r="BD47" s="23"/>
      <c r="BE47" s="23"/>
      <c r="BF47" s="11"/>
      <c r="BG47" s="23"/>
      <c r="BH47" s="23"/>
      <c r="BI47" s="23"/>
      <c r="BJ47" s="11"/>
      <c r="BK47" s="23"/>
      <c r="BL47" s="23"/>
      <c r="BM47" s="23"/>
      <c r="BN47" s="11"/>
      <c r="BO47" s="23"/>
      <c r="BP47" s="23"/>
      <c r="BQ47" s="23"/>
      <c r="BR47" s="11"/>
      <c r="BS47" s="23"/>
      <c r="BT47" s="23"/>
      <c r="BU47" s="23"/>
      <c r="BV47" s="11"/>
      <c r="BW47" s="23"/>
      <c r="BX47" s="23"/>
      <c r="BY47" s="23"/>
      <c r="BZ47" s="11"/>
      <c r="CA47" s="3"/>
      <c r="CB47" s="3"/>
      <c r="CC47" s="3"/>
      <c r="CD47" s="3"/>
      <c r="CE47" s="3"/>
      <c r="CF47" s="3"/>
      <c r="CG47" s="3"/>
      <c r="CH47" s="3"/>
      <c r="CI47" s="3"/>
      <c r="CJ47" s="3"/>
      <c r="CK47" s="3"/>
      <c r="CL47" s="3"/>
      <c r="CM47" s="3"/>
      <c r="CN47" s="3"/>
      <c r="CO47" s="3"/>
      <c r="CP47" s="3"/>
      <c r="CQ47" s="3"/>
      <c r="CR47" s="3"/>
      <c r="CS47" s="3"/>
      <c r="CT47" s="3"/>
    </row>
    <row r="48" spans="2:98" ht="15.75" x14ac:dyDescent="0.3">
      <c r="B48" s="138"/>
      <c r="C48" s="249"/>
      <c r="D48" s="250"/>
      <c r="E48" s="249"/>
      <c r="F48" s="251"/>
      <c r="G48" s="58"/>
      <c r="H48" s="58"/>
      <c r="I48" s="58"/>
      <c r="J48" s="87"/>
      <c r="K48" s="23"/>
      <c r="L48" s="23"/>
      <c r="M48" s="23"/>
      <c r="N48" s="11"/>
      <c r="O48" s="249"/>
      <c r="P48" s="250"/>
      <c r="Q48" s="249"/>
      <c r="R48" s="251"/>
      <c r="S48" s="249"/>
      <c r="T48" s="250"/>
      <c r="U48" s="249"/>
      <c r="V48" s="251"/>
      <c r="W48" s="23"/>
      <c r="X48" s="23"/>
      <c r="Y48" s="23"/>
      <c r="Z48" s="11"/>
      <c r="AA48" s="23"/>
      <c r="AB48" s="23"/>
      <c r="AC48" s="23"/>
      <c r="AD48" s="11"/>
      <c r="AE48" s="23"/>
      <c r="AF48" s="23"/>
      <c r="AG48" s="23"/>
      <c r="AH48" s="11"/>
      <c r="AI48" s="23"/>
      <c r="AJ48" s="23"/>
      <c r="AK48" s="23"/>
      <c r="AL48" s="11"/>
      <c r="AM48" s="23"/>
      <c r="AN48" s="23"/>
      <c r="AO48" s="23"/>
      <c r="AP48" s="11"/>
      <c r="AQ48" s="23"/>
      <c r="AR48" s="23"/>
      <c r="AS48" s="23"/>
      <c r="AT48" s="11"/>
      <c r="AU48" s="23"/>
      <c r="AV48" s="23"/>
      <c r="AW48" s="23"/>
      <c r="AX48" s="11"/>
      <c r="AY48" s="23"/>
      <c r="AZ48" s="23"/>
      <c r="BA48" s="23"/>
      <c r="BB48" s="11"/>
      <c r="BC48" s="23"/>
      <c r="BD48" s="23"/>
      <c r="BE48" s="23"/>
      <c r="BF48" s="11"/>
      <c r="BG48" s="23"/>
      <c r="BH48" s="23"/>
      <c r="BI48" s="23"/>
      <c r="BJ48" s="11"/>
      <c r="BK48" s="23"/>
      <c r="BL48" s="23"/>
      <c r="BM48" s="23"/>
      <c r="BN48" s="11"/>
      <c r="BO48" s="23"/>
      <c r="BP48" s="23"/>
      <c r="BQ48" s="23"/>
      <c r="BR48" s="11"/>
      <c r="BS48" s="23"/>
      <c r="BT48" s="23"/>
      <c r="BU48" s="23"/>
      <c r="BV48" s="11"/>
      <c r="BW48" s="23"/>
      <c r="BX48" s="23"/>
      <c r="BY48" s="170" t="s">
        <v>86</v>
      </c>
      <c r="BZ48" s="29">
        <v>0</v>
      </c>
      <c r="CA48" s="3"/>
      <c r="CB48" s="3"/>
      <c r="CC48" s="3"/>
      <c r="CD48" s="3"/>
      <c r="CE48" s="3"/>
      <c r="CF48" s="3"/>
      <c r="CG48" s="3"/>
      <c r="CH48" s="3"/>
      <c r="CI48" s="3"/>
      <c r="CJ48" s="3"/>
      <c r="CK48" s="3"/>
      <c r="CL48" s="3"/>
      <c r="CM48" s="3"/>
      <c r="CN48" s="3"/>
      <c r="CO48" s="3"/>
      <c r="CP48" s="3"/>
      <c r="CQ48" s="3"/>
      <c r="CR48" s="3"/>
      <c r="CS48" s="3"/>
      <c r="CT48" s="3"/>
    </row>
    <row r="49" spans="2:98" x14ac:dyDescent="0.2">
      <c r="B49" s="138"/>
      <c r="C49" s="249"/>
      <c r="D49" s="250"/>
      <c r="E49" s="249"/>
      <c r="F49" s="251"/>
      <c r="G49" s="58"/>
      <c r="H49" s="58"/>
      <c r="I49" s="58"/>
      <c r="J49" s="87"/>
      <c r="K49" s="23"/>
      <c r="L49" s="23"/>
      <c r="M49" s="23"/>
      <c r="N49" s="11"/>
      <c r="O49" s="249"/>
      <c r="P49" s="250"/>
      <c r="Q49" s="249"/>
      <c r="R49" s="251"/>
      <c r="S49" s="249"/>
      <c r="T49" s="250"/>
      <c r="U49" s="249"/>
      <c r="V49" s="251"/>
      <c r="W49" s="23"/>
      <c r="X49" s="23"/>
      <c r="Y49" s="23"/>
      <c r="Z49" s="11"/>
      <c r="AA49" s="23"/>
      <c r="AB49" s="23"/>
      <c r="AC49" s="23"/>
      <c r="AD49" s="11"/>
      <c r="AE49" s="23"/>
      <c r="AF49" s="23"/>
      <c r="AG49" s="23"/>
      <c r="AH49" s="11"/>
      <c r="AI49" s="23"/>
      <c r="AJ49" s="23"/>
      <c r="AK49" s="23"/>
      <c r="AL49" s="11"/>
      <c r="AM49" s="23"/>
      <c r="AN49" s="23"/>
      <c r="AO49" s="23"/>
      <c r="AP49" s="11"/>
      <c r="AQ49" s="23"/>
      <c r="AR49" s="23"/>
      <c r="AS49" s="23"/>
      <c r="AT49" s="11"/>
      <c r="AU49" s="23"/>
      <c r="AV49" s="23"/>
      <c r="AW49" s="23"/>
      <c r="AX49" s="11"/>
      <c r="AY49" s="23"/>
      <c r="AZ49" s="23"/>
      <c r="BA49" s="23"/>
      <c r="BB49" s="11"/>
      <c r="BC49" s="23"/>
      <c r="BD49" s="23"/>
      <c r="BE49" s="23"/>
      <c r="BF49" s="11"/>
      <c r="BG49" s="23"/>
      <c r="BH49" s="23"/>
      <c r="BI49" s="23"/>
      <c r="BJ49" s="11"/>
      <c r="BK49" s="23"/>
      <c r="BL49" s="23"/>
      <c r="BM49" s="23"/>
      <c r="BN49" s="11"/>
      <c r="BO49" s="23"/>
      <c r="BP49" s="23"/>
      <c r="BQ49" s="23"/>
      <c r="BR49" s="11"/>
      <c r="BS49" s="23"/>
      <c r="BT49" s="23"/>
      <c r="BU49" s="23"/>
      <c r="BV49" s="11"/>
      <c r="BW49" s="23"/>
      <c r="BX49" s="23"/>
      <c r="BY49" s="23"/>
      <c r="BZ49" s="11"/>
      <c r="CA49" s="3"/>
      <c r="CB49" s="3"/>
      <c r="CC49" s="3"/>
      <c r="CD49" s="3"/>
      <c r="CE49" s="3"/>
      <c r="CF49" s="3"/>
      <c r="CG49" s="3"/>
      <c r="CH49" s="3"/>
      <c r="CI49" s="3"/>
      <c r="CJ49" s="3"/>
      <c r="CK49" s="3"/>
      <c r="CL49" s="3"/>
      <c r="CM49" s="3"/>
      <c r="CN49" s="3"/>
      <c r="CO49" s="3"/>
      <c r="CP49" s="3"/>
      <c r="CQ49" s="3"/>
      <c r="CR49" s="3"/>
      <c r="CS49" s="3"/>
      <c r="CT49" s="3"/>
    </row>
    <row r="50" spans="2:98" x14ac:dyDescent="0.2">
      <c r="B50" s="138"/>
      <c r="C50" s="249"/>
      <c r="D50" s="250"/>
      <c r="E50" s="249"/>
      <c r="F50" s="251"/>
      <c r="G50" s="58"/>
      <c r="H50" s="58"/>
      <c r="I50" s="58"/>
      <c r="J50" s="87"/>
      <c r="K50" s="23"/>
      <c r="L50" s="23"/>
      <c r="M50" s="23"/>
      <c r="N50" s="11"/>
      <c r="O50" s="249"/>
      <c r="P50" s="250"/>
      <c r="Q50" s="249"/>
      <c r="R50" s="251"/>
      <c r="S50" s="249"/>
      <c r="T50" s="250"/>
      <c r="U50" s="249"/>
      <c r="V50" s="251"/>
      <c r="W50" s="23"/>
      <c r="X50" s="23"/>
      <c r="Y50" s="23"/>
      <c r="Z50" s="11"/>
      <c r="AA50" s="23"/>
      <c r="AB50" s="23"/>
      <c r="AC50" s="23"/>
      <c r="AD50" s="11"/>
      <c r="AE50" s="23"/>
      <c r="AF50" s="23"/>
      <c r="AG50" s="23"/>
      <c r="AH50" s="11"/>
      <c r="AI50" s="23"/>
      <c r="AJ50" s="23"/>
      <c r="AK50" s="23"/>
      <c r="AL50" s="11"/>
      <c r="AM50" s="23"/>
      <c r="AN50" s="23"/>
      <c r="AO50" s="23"/>
      <c r="AP50" s="11"/>
      <c r="AQ50" s="23"/>
      <c r="AR50" s="23"/>
      <c r="AS50" s="23"/>
      <c r="AT50" s="11"/>
      <c r="AU50" s="23"/>
      <c r="AV50" s="23"/>
      <c r="AW50" s="23"/>
      <c r="AX50" s="11"/>
      <c r="AY50" s="23"/>
      <c r="AZ50" s="23"/>
      <c r="BA50" s="23"/>
      <c r="BB50" s="11"/>
      <c r="BC50" s="23"/>
      <c r="BD50" s="23"/>
      <c r="BE50" s="23"/>
      <c r="BF50" s="11"/>
      <c r="BG50" s="23"/>
      <c r="BH50" s="23"/>
      <c r="BI50" s="23"/>
      <c r="BJ50" s="11"/>
      <c r="BK50" s="23"/>
      <c r="BL50" s="23"/>
      <c r="BM50" s="23"/>
      <c r="BN50" s="11"/>
      <c r="BO50" s="23"/>
      <c r="BP50" s="23"/>
      <c r="BQ50" s="23"/>
      <c r="BR50" s="11"/>
      <c r="BS50" s="23"/>
      <c r="BT50" s="23"/>
      <c r="BU50" s="23"/>
      <c r="BV50" s="11"/>
      <c r="BW50" s="23"/>
      <c r="BX50" s="23"/>
      <c r="BY50" s="23"/>
      <c r="BZ50" s="11"/>
      <c r="CA50" s="3"/>
      <c r="CB50" s="3"/>
      <c r="CC50" s="3"/>
      <c r="CD50" s="3"/>
      <c r="CE50" s="3"/>
      <c r="CF50" s="3"/>
      <c r="CG50" s="3"/>
      <c r="CH50" s="3"/>
      <c r="CI50" s="3"/>
      <c r="CJ50" s="3"/>
      <c r="CK50" s="3"/>
      <c r="CL50" s="3"/>
      <c r="CM50" s="3"/>
      <c r="CN50" s="3"/>
      <c r="CO50" s="3"/>
      <c r="CP50" s="3"/>
      <c r="CQ50" s="3"/>
      <c r="CR50" s="3"/>
      <c r="CS50" s="3"/>
      <c r="CT50" s="3"/>
    </row>
    <row r="51" spans="2:98" x14ac:dyDescent="0.2">
      <c r="B51" s="138"/>
      <c r="C51" s="249"/>
      <c r="D51" s="250"/>
      <c r="E51" s="249"/>
      <c r="F51" s="251"/>
      <c r="G51" s="58"/>
      <c r="H51" s="58"/>
      <c r="I51" s="58"/>
      <c r="J51" s="87"/>
      <c r="K51" s="23"/>
      <c r="L51" s="23"/>
      <c r="M51" s="23"/>
      <c r="N51" s="11"/>
      <c r="O51" s="249"/>
      <c r="P51" s="250"/>
      <c r="Q51" s="249"/>
      <c r="R51" s="251"/>
      <c r="S51" s="249"/>
      <c r="T51" s="250"/>
      <c r="U51" s="249"/>
      <c r="V51" s="251"/>
      <c r="W51" s="23"/>
      <c r="X51" s="23"/>
      <c r="Y51" s="23"/>
      <c r="Z51" s="11"/>
      <c r="AA51" s="23"/>
      <c r="AB51" s="23"/>
      <c r="AC51" s="23"/>
      <c r="AD51" s="11"/>
      <c r="AE51" s="23"/>
      <c r="AF51" s="23"/>
      <c r="AG51" s="23"/>
      <c r="AH51" s="11"/>
      <c r="AI51" s="23"/>
      <c r="AJ51" s="23"/>
      <c r="AK51" s="23"/>
      <c r="AL51" s="11"/>
      <c r="AM51" s="23"/>
      <c r="AN51" s="23"/>
      <c r="AO51" s="23"/>
      <c r="AP51" s="11"/>
      <c r="AQ51" s="23"/>
      <c r="AR51" s="23"/>
      <c r="AS51" s="23"/>
      <c r="AT51" s="11"/>
      <c r="AU51" s="23"/>
      <c r="AV51" s="23"/>
      <c r="AW51" s="23"/>
      <c r="AX51" s="11"/>
      <c r="AY51" s="23"/>
      <c r="AZ51" s="23"/>
      <c r="BA51" s="23"/>
      <c r="BB51" s="11"/>
      <c r="BC51" s="23"/>
      <c r="BD51" s="23"/>
      <c r="BE51" s="23"/>
      <c r="BF51" s="11"/>
      <c r="BG51" s="23"/>
      <c r="BH51" s="23"/>
      <c r="BI51" s="23"/>
      <c r="BJ51" s="11"/>
      <c r="BK51" s="23"/>
      <c r="BL51" s="23"/>
      <c r="BM51" s="23"/>
      <c r="BN51" s="11"/>
      <c r="BO51" s="23"/>
      <c r="BP51" s="23"/>
      <c r="BQ51" s="23"/>
      <c r="BR51" s="11"/>
      <c r="BS51" s="23"/>
      <c r="BT51" s="23"/>
      <c r="BU51" s="23"/>
      <c r="BV51" s="11"/>
      <c r="BW51" s="23"/>
      <c r="BX51" s="23"/>
      <c r="BY51" s="23"/>
      <c r="BZ51" s="11"/>
      <c r="CA51" s="3"/>
      <c r="CB51" s="3"/>
      <c r="CC51" s="3"/>
      <c r="CD51" s="3"/>
      <c r="CE51" s="3"/>
      <c r="CF51" s="3"/>
      <c r="CG51" s="3"/>
      <c r="CH51" s="3"/>
      <c r="CI51" s="3"/>
      <c r="CJ51" s="3"/>
      <c r="CK51" s="3"/>
      <c r="CL51" s="3"/>
      <c r="CM51" s="3"/>
      <c r="CN51" s="3"/>
      <c r="CO51" s="3"/>
      <c r="CP51" s="3"/>
      <c r="CQ51" s="3"/>
      <c r="CR51" s="3"/>
      <c r="CS51" s="3"/>
      <c r="CT51" s="3"/>
    </row>
    <row r="52" spans="2:98" x14ac:dyDescent="0.2">
      <c r="B52" s="138"/>
      <c r="C52" s="249"/>
      <c r="D52" s="250"/>
      <c r="E52" s="249"/>
      <c r="F52" s="251"/>
      <c r="G52" s="58"/>
      <c r="H52" s="58"/>
      <c r="I52" s="58"/>
      <c r="J52" s="87"/>
      <c r="K52" s="23"/>
      <c r="L52" s="23"/>
      <c r="M52" s="23"/>
      <c r="N52" s="11"/>
      <c r="O52" s="249"/>
      <c r="P52" s="250"/>
      <c r="Q52" s="249"/>
      <c r="R52" s="251"/>
      <c r="S52" s="249"/>
      <c r="T52" s="250"/>
      <c r="U52" s="249"/>
      <c r="V52" s="251"/>
      <c r="W52" s="23"/>
      <c r="X52" s="23"/>
      <c r="Y52" s="23"/>
      <c r="Z52" s="11"/>
      <c r="AA52" s="23"/>
      <c r="AB52" s="23"/>
      <c r="AC52" s="23"/>
      <c r="AD52" s="11"/>
      <c r="AE52" s="23"/>
      <c r="AF52" s="23"/>
      <c r="AG52" s="23"/>
      <c r="AH52" s="11"/>
      <c r="AI52" s="23"/>
      <c r="AJ52" s="23"/>
      <c r="AK52" s="23"/>
      <c r="AL52" s="11"/>
      <c r="AM52" s="23"/>
      <c r="AN52" s="23"/>
      <c r="AO52" s="23"/>
      <c r="AP52" s="11"/>
      <c r="AQ52" s="23"/>
      <c r="AR52" s="23"/>
      <c r="AS52" s="23"/>
      <c r="AT52" s="11"/>
      <c r="AU52" s="23"/>
      <c r="AV52" s="23"/>
      <c r="AW52" s="23"/>
      <c r="AX52" s="11"/>
      <c r="AY52" s="23"/>
      <c r="AZ52" s="23"/>
      <c r="BA52" s="23"/>
      <c r="BB52" s="11"/>
      <c r="BC52" s="23"/>
      <c r="BD52" s="23"/>
      <c r="BE52" s="23"/>
      <c r="BF52" s="11"/>
      <c r="BG52" s="23"/>
      <c r="BH52" s="23"/>
      <c r="BI52" s="23"/>
      <c r="BJ52" s="11"/>
      <c r="BK52" s="23"/>
      <c r="BL52" s="23"/>
      <c r="BM52" s="23"/>
      <c r="BN52" s="11"/>
      <c r="BO52" s="23"/>
      <c r="BP52" s="23"/>
      <c r="BQ52" s="23"/>
      <c r="BR52" s="11"/>
      <c r="BS52" s="23"/>
      <c r="BT52" s="23"/>
      <c r="BU52" s="23"/>
      <c r="BV52" s="11"/>
      <c r="BW52" s="23"/>
      <c r="BX52" s="23"/>
      <c r="BY52" s="23"/>
      <c r="BZ52" s="11"/>
      <c r="CA52" s="3"/>
      <c r="CB52" s="3"/>
      <c r="CC52" s="3"/>
      <c r="CD52" s="3"/>
      <c r="CE52" s="3"/>
      <c r="CF52" s="3"/>
      <c r="CG52" s="3"/>
      <c r="CH52" s="3"/>
      <c r="CI52" s="3"/>
      <c r="CJ52" s="3"/>
      <c r="CK52" s="3"/>
      <c r="CL52" s="3"/>
      <c r="CM52" s="3"/>
      <c r="CN52" s="3"/>
      <c r="CO52" s="3"/>
      <c r="CP52" s="3"/>
      <c r="CQ52" s="3"/>
      <c r="CR52" s="3"/>
      <c r="CS52" s="3"/>
      <c r="CT52" s="3"/>
    </row>
    <row r="53" spans="2:98" x14ac:dyDescent="0.2">
      <c r="B53" s="138"/>
      <c r="C53" s="249"/>
      <c r="D53" s="250"/>
      <c r="E53" s="249"/>
      <c r="F53" s="251"/>
      <c r="G53" s="58"/>
      <c r="H53" s="58"/>
      <c r="I53" s="58"/>
      <c r="J53" s="87"/>
      <c r="K53" s="23"/>
      <c r="L53" s="23"/>
      <c r="M53" s="23"/>
      <c r="N53" s="11"/>
      <c r="O53" s="249"/>
      <c r="P53" s="250"/>
      <c r="Q53" s="249"/>
      <c r="R53" s="251"/>
      <c r="S53" s="249"/>
      <c r="T53" s="250"/>
      <c r="U53" s="249"/>
      <c r="V53" s="251"/>
      <c r="W53" s="23"/>
      <c r="X53" s="23"/>
      <c r="Y53" s="23"/>
      <c r="Z53" s="11"/>
      <c r="AA53" s="23"/>
      <c r="AB53" s="23"/>
      <c r="AC53" s="23"/>
      <c r="AD53" s="11"/>
      <c r="AE53" s="23"/>
      <c r="AF53" s="23"/>
      <c r="AG53" s="23"/>
      <c r="AH53" s="11"/>
      <c r="AI53" s="23"/>
      <c r="AJ53" s="23"/>
      <c r="AK53" s="23"/>
      <c r="AL53" s="11"/>
      <c r="AM53" s="23"/>
      <c r="AN53" s="23"/>
      <c r="AO53" s="23"/>
      <c r="AP53" s="11"/>
      <c r="AQ53" s="23"/>
      <c r="AR53" s="23"/>
      <c r="AS53" s="23"/>
      <c r="AT53" s="11"/>
      <c r="AU53" s="23"/>
      <c r="AV53" s="23"/>
      <c r="AW53" s="23"/>
      <c r="AX53" s="11"/>
      <c r="AY53" s="23"/>
      <c r="AZ53" s="23"/>
      <c r="BA53" s="23"/>
      <c r="BB53" s="11"/>
      <c r="BC53" s="23"/>
      <c r="BD53" s="23"/>
      <c r="BE53" s="23"/>
      <c r="BF53" s="11"/>
      <c r="BG53" s="23"/>
      <c r="BH53" s="23"/>
      <c r="BI53" s="23"/>
      <c r="BJ53" s="11"/>
      <c r="BK53" s="23"/>
      <c r="BL53" s="23"/>
      <c r="BM53" s="23"/>
      <c r="BN53" s="11"/>
      <c r="BO53" s="23"/>
      <c r="BP53" s="23"/>
      <c r="BQ53" s="23"/>
      <c r="BR53" s="11"/>
      <c r="BS53" s="23"/>
      <c r="BT53" s="23"/>
      <c r="BU53" s="23"/>
      <c r="BV53" s="11"/>
      <c r="BW53" s="23"/>
      <c r="BX53" s="23"/>
      <c r="BY53" s="23"/>
      <c r="BZ53" s="11"/>
      <c r="CA53" s="3"/>
      <c r="CB53" s="3"/>
      <c r="CC53" s="3"/>
      <c r="CD53" s="3"/>
      <c r="CE53" s="3"/>
      <c r="CF53" s="3"/>
      <c r="CG53" s="3"/>
      <c r="CH53" s="3"/>
      <c r="CI53" s="3"/>
      <c r="CJ53" s="3"/>
      <c r="CK53" s="3"/>
      <c r="CL53" s="3"/>
      <c r="CM53" s="3"/>
      <c r="CN53" s="3"/>
      <c r="CO53" s="3"/>
      <c r="CP53" s="3"/>
      <c r="CQ53" s="3"/>
      <c r="CR53" s="3"/>
      <c r="CS53" s="3"/>
      <c r="CT53" s="3"/>
    </row>
    <row r="54" spans="2:98" x14ac:dyDescent="0.2">
      <c r="B54" s="138"/>
      <c r="C54" s="249"/>
      <c r="D54" s="250"/>
      <c r="E54" s="249"/>
      <c r="F54" s="251"/>
      <c r="G54" s="58"/>
      <c r="H54" s="58"/>
      <c r="I54" s="58"/>
      <c r="J54" s="87"/>
      <c r="K54" s="23"/>
      <c r="L54" s="23"/>
      <c r="M54" s="23"/>
      <c r="N54" s="11"/>
      <c r="O54" s="249"/>
      <c r="P54" s="250"/>
      <c r="Q54" s="249"/>
      <c r="R54" s="251"/>
      <c r="S54" s="249"/>
      <c r="T54" s="250"/>
      <c r="U54" s="249"/>
      <c r="V54" s="251"/>
      <c r="W54" s="23"/>
      <c r="X54" s="23"/>
      <c r="Y54" s="23"/>
      <c r="Z54" s="11"/>
      <c r="AA54" s="23"/>
      <c r="AB54" s="23"/>
      <c r="AC54" s="23"/>
      <c r="AD54" s="11"/>
      <c r="AE54" s="23"/>
      <c r="AF54" s="23"/>
      <c r="AG54" s="23"/>
      <c r="AH54" s="11"/>
      <c r="AI54" s="23"/>
      <c r="AJ54" s="23"/>
      <c r="AK54" s="23"/>
      <c r="AL54" s="11"/>
      <c r="AM54" s="23"/>
      <c r="AN54" s="23"/>
      <c r="AO54" s="23"/>
      <c r="AP54" s="11"/>
      <c r="AQ54" s="23"/>
      <c r="AR54" s="23"/>
      <c r="AS54" s="23"/>
      <c r="AT54" s="11"/>
      <c r="AU54" s="23"/>
      <c r="AV54" s="23"/>
      <c r="AW54" s="23"/>
      <c r="AX54" s="11"/>
      <c r="AY54" s="23"/>
      <c r="AZ54" s="23"/>
      <c r="BA54" s="23"/>
      <c r="BB54" s="11"/>
      <c r="BC54" s="23"/>
      <c r="BD54" s="23"/>
      <c r="BE54" s="23"/>
      <c r="BF54" s="11"/>
      <c r="BG54" s="23"/>
      <c r="BH54" s="23"/>
      <c r="BI54" s="23"/>
      <c r="BJ54" s="11"/>
      <c r="BK54" s="23"/>
      <c r="BL54" s="23"/>
      <c r="BM54" s="23"/>
      <c r="BN54" s="11"/>
      <c r="BO54" s="23"/>
      <c r="BP54" s="23"/>
      <c r="BQ54" s="23"/>
      <c r="BR54" s="11"/>
      <c r="BS54" s="23"/>
      <c r="BT54" s="23"/>
      <c r="BU54" s="23"/>
      <c r="BV54" s="11"/>
      <c r="BW54" s="23"/>
      <c r="BX54" s="23"/>
      <c r="BY54" s="23"/>
      <c r="BZ54" s="11"/>
      <c r="CA54" s="3"/>
      <c r="CB54" s="3"/>
      <c r="CC54" s="3"/>
      <c r="CD54" s="3"/>
      <c r="CE54" s="3"/>
      <c r="CF54" s="3"/>
      <c r="CG54" s="3"/>
      <c r="CH54" s="3"/>
      <c r="CI54" s="3"/>
      <c r="CJ54" s="3"/>
      <c r="CK54" s="3"/>
      <c r="CL54" s="3"/>
      <c r="CM54" s="3"/>
      <c r="CN54" s="3"/>
      <c r="CO54" s="3"/>
      <c r="CP54" s="3"/>
      <c r="CQ54" s="3"/>
      <c r="CR54" s="3"/>
      <c r="CS54" s="3"/>
      <c r="CT54" s="3"/>
    </row>
    <row r="55" spans="2:98" x14ac:dyDescent="0.2">
      <c r="B55" s="138"/>
      <c r="C55" s="249"/>
      <c r="D55" s="250"/>
      <c r="E55" s="249"/>
      <c r="F55" s="251"/>
      <c r="G55" s="58"/>
      <c r="H55" s="58"/>
      <c r="I55" s="58"/>
      <c r="J55" s="87"/>
      <c r="K55" s="23"/>
      <c r="L55" s="23"/>
      <c r="M55" s="23"/>
      <c r="N55" s="11"/>
      <c r="O55" s="249"/>
      <c r="P55" s="250"/>
      <c r="Q55" s="249"/>
      <c r="R55" s="251"/>
      <c r="S55" s="249"/>
      <c r="T55" s="250"/>
      <c r="U55" s="249"/>
      <c r="V55" s="251"/>
      <c r="W55" s="23"/>
      <c r="X55" s="23"/>
      <c r="Y55" s="23"/>
      <c r="Z55" s="11"/>
      <c r="AA55" s="23"/>
      <c r="AB55" s="23"/>
      <c r="AC55" s="23"/>
      <c r="AD55" s="11"/>
      <c r="AE55" s="23"/>
      <c r="AF55" s="23"/>
      <c r="AG55" s="23"/>
      <c r="AH55" s="11"/>
      <c r="AI55" s="23"/>
      <c r="AJ55" s="23"/>
      <c r="AK55" s="23"/>
      <c r="AL55" s="11"/>
      <c r="AM55" s="23"/>
      <c r="AN55" s="23"/>
      <c r="AO55" s="23"/>
      <c r="AP55" s="11"/>
      <c r="AQ55" s="23"/>
      <c r="AR55" s="23"/>
      <c r="AS55" s="23"/>
      <c r="AT55" s="11"/>
      <c r="AU55" s="23"/>
      <c r="AV55" s="23"/>
      <c r="AW55" s="23"/>
      <c r="AX55" s="11"/>
      <c r="AY55" s="23"/>
      <c r="AZ55" s="23"/>
      <c r="BA55" s="23"/>
      <c r="BB55" s="11"/>
      <c r="BC55" s="23"/>
      <c r="BD55" s="23"/>
      <c r="BE55" s="23"/>
      <c r="BF55" s="11"/>
      <c r="BG55" s="23"/>
      <c r="BH55" s="23"/>
      <c r="BI55" s="23"/>
      <c r="BJ55" s="11"/>
      <c r="BK55" s="23"/>
      <c r="BL55" s="23"/>
      <c r="BM55" s="23"/>
      <c r="BN55" s="11"/>
      <c r="BO55" s="23"/>
      <c r="BP55" s="23"/>
      <c r="BQ55" s="23"/>
      <c r="BR55" s="11"/>
      <c r="BS55" s="23"/>
      <c r="BT55" s="23"/>
      <c r="BU55" s="23"/>
      <c r="BV55" s="11"/>
      <c r="BW55" s="23"/>
      <c r="BX55" s="23"/>
      <c r="BY55" s="23"/>
      <c r="BZ55" s="11"/>
      <c r="CA55" s="3"/>
      <c r="CB55" s="3"/>
      <c r="CC55" s="3"/>
      <c r="CD55" s="3"/>
      <c r="CE55" s="3"/>
      <c r="CF55" s="3"/>
      <c r="CG55" s="3"/>
      <c r="CH55" s="3"/>
      <c r="CI55" s="3"/>
      <c r="CJ55" s="3"/>
      <c r="CK55" s="3"/>
      <c r="CL55" s="3"/>
      <c r="CM55" s="3"/>
      <c r="CN55" s="3"/>
      <c r="CO55" s="3"/>
      <c r="CP55" s="3"/>
      <c r="CQ55" s="3"/>
      <c r="CR55" s="3"/>
      <c r="CS55" s="3"/>
      <c r="CT55" s="3"/>
    </row>
    <row r="56" spans="2:98" x14ac:dyDescent="0.2">
      <c r="B56" s="138"/>
      <c r="C56" s="58"/>
      <c r="D56" s="58"/>
      <c r="E56" s="58"/>
      <c r="F56" s="87"/>
      <c r="G56" s="58"/>
      <c r="H56" s="58"/>
      <c r="I56" s="58"/>
      <c r="J56" s="87"/>
      <c r="K56" s="23"/>
      <c r="L56" s="23"/>
      <c r="M56" s="23"/>
      <c r="N56" s="11"/>
      <c r="O56" s="23"/>
      <c r="P56" s="23"/>
      <c r="Q56" s="23"/>
      <c r="R56" s="11"/>
      <c r="S56" s="23"/>
      <c r="T56" s="23"/>
      <c r="U56" s="23"/>
      <c r="V56" s="11"/>
      <c r="W56" s="23"/>
      <c r="X56" s="23"/>
      <c r="Y56" s="23"/>
      <c r="Z56" s="11"/>
      <c r="AA56" s="23"/>
      <c r="AB56" s="23"/>
      <c r="AC56" s="23"/>
      <c r="AD56" s="11"/>
      <c r="AE56" s="23"/>
      <c r="AF56" s="23"/>
      <c r="AG56" s="23"/>
      <c r="AH56" s="11"/>
      <c r="AI56" s="23"/>
      <c r="AJ56" s="23"/>
      <c r="AK56" s="23"/>
      <c r="AL56" s="11"/>
      <c r="AM56" s="23"/>
      <c r="AN56" s="23"/>
      <c r="AO56" s="23"/>
      <c r="AP56" s="11"/>
      <c r="AQ56" s="23"/>
      <c r="AR56" s="23"/>
      <c r="AS56" s="23"/>
      <c r="AT56" s="11"/>
      <c r="AU56" s="23"/>
      <c r="AV56" s="23"/>
      <c r="AW56" s="23"/>
      <c r="AX56" s="11"/>
      <c r="AY56" s="23"/>
      <c r="AZ56" s="23"/>
      <c r="BA56" s="23"/>
      <c r="BB56" s="11"/>
      <c r="BC56" s="23"/>
      <c r="BD56" s="23"/>
      <c r="BE56" s="23"/>
      <c r="BF56" s="11"/>
      <c r="BG56" s="23"/>
      <c r="BH56" s="23"/>
      <c r="BI56" s="23"/>
      <c r="BJ56" s="11"/>
      <c r="BK56" s="23"/>
      <c r="BL56" s="23"/>
      <c r="BM56" s="23"/>
      <c r="BN56" s="11"/>
      <c r="BO56" s="23"/>
      <c r="BP56" s="23"/>
      <c r="BQ56" s="23"/>
      <c r="BR56" s="11"/>
      <c r="BS56" s="23"/>
      <c r="BT56" s="23"/>
      <c r="BU56" s="23"/>
      <c r="BV56" s="11"/>
      <c r="BW56" s="23"/>
      <c r="BX56" s="23"/>
      <c r="BY56" s="23"/>
      <c r="BZ56" s="11"/>
      <c r="CA56" s="3"/>
      <c r="CB56" s="3"/>
      <c r="CC56" s="3"/>
      <c r="CD56" s="3"/>
      <c r="CE56" s="3"/>
      <c r="CF56" s="3"/>
      <c r="CG56" s="3"/>
      <c r="CH56" s="3"/>
      <c r="CI56" s="3"/>
      <c r="CJ56" s="3"/>
      <c r="CK56" s="3"/>
      <c r="CL56" s="3"/>
      <c r="CM56" s="3"/>
      <c r="CN56" s="3"/>
      <c r="CO56" s="3"/>
      <c r="CP56" s="3"/>
      <c r="CQ56" s="3"/>
      <c r="CR56" s="3"/>
      <c r="CS56" s="3"/>
      <c r="CT56" s="3"/>
    </row>
    <row r="57" spans="2:98" x14ac:dyDescent="0.2">
      <c r="B57" s="138"/>
      <c r="C57" s="58"/>
      <c r="D57" s="58"/>
      <c r="E57" s="58"/>
      <c r="F57" s="87"/>
      <c r="G57" s="58"/>
      <c r="H57" s="58"/>
      <c r="I57" s="58"/>
      <c r="J57" s="87"/>
      <c r="K57" s="23"/>
      <c r="L57" s="23"/>
      <c r="M57" s="23"/>
      <c r="N57" s="11"/>
      <c r="O57" s="23"/>
      <c r="P57" s="23"/>
      <c r="Q57" s="23"/>
      <c r="R57" s="11"/>
      <c r="S57" s="23"/>
      <c r="T57" s="23"/>
      <c r="U57" s="23"/>
      <c r="V57" s="11"/>
      <c r="W57" s="23"/>
      <c r="X57" s="23"/>
      <c r="Y57" s="23"/>
      <c r="Z57" s="11"/>
      <c r="AA57" s="23"/>
      <c r="AB57" s="23"/>
      <c r="AC57" s="23"/>
      <c r="AD57" s="11"/>
      <c r="AE57" s="23"/>
      <c r="AF57" s="23"/>
      <c r="AG57" s="23"/>
      <c r="AH57" s="11"/>
      <c r="AI57" s="23"/>
      <c r="AJ57" s="23"/>
      <c r="AK57" s="23"/>
      <c r="AL57" s="11"/>
      <c r="AM57" s="23"/>
      <c r="AN57" s="23"/>
      <c r="AO57" s="23"/>
      <c r="AP57" s="11"/>
      <c r="AQ57" s="23"/>
      <c r="AR57" s="23"/>
      <c r="AS57" s="23"/>
      <c r="AT57" s="11"/>
      <c r="AU57" s="23"/>
      <c r="AV57" s="23"/>
      <c r="AW57" s="23"/>
      <c r="AX57" s="11"/>
      <c r="AY57" s="23"/>
      <c r="AZ57" s="23"/>
      <c r="BA57" s="23"/>
      <c r="BB57" s="11"/>
      <c r="BC57" s="23"/>
      <c r="BD57" s="23"/>
      <c r="BE57" s="23"/>
      <c r="BF57" s="11"/>
      <c r="BG57" s="23"/>
      <c r="BH57" s="23"/>
      <c r="BI57" s="23"/>
      <c r="BJ57" s="11"/>
      <c r="BK57" s="23"/>
      <c r="BL57" s="23"/>
      <c r="BM57" s="23"/>
      <c r="BN57" s="11"/>
      <c r="BO57" s="23"/>
      <c r="BP57" s="23"/>
      <c r="BQ57" s="23"/>
      <c r="BR57" s="11"/>
      <c r="BS57" s="23"/>
      <c r="BT57" s="23"/>
      <c r="BU57" s="23"/>
      <c r="BV57" s="11"/>
      <c r="BW57" s="23"/>
      <c r="BX57" s="23"/>
      <c r="BY57" s="23"/>
      <c r="BZ57" s="11"/>
      <c r="CA57" s="3"/>
      <c r="CB57" s="3"/>
      <c r="CC57" s="3"/>
      <c r="CD57" s="3"/>
      <c r="CE57" s="3"/>
      <c r="CF57" s="3"/>
      <c r="CG57" s="3"/>
      <c r="CH57" s="3"/>
      <c r="CI57" s="3"/>
      <c r="CJ57" s="3"/>
      <c r="CK57" s="3"/>
      <c r="CL57" s="3"/>
      <c r="CM57" s="3"/>
      <c r="CN57" s="3"/>
      <c r="CO57" s="3"/>
      <c r="CP57" s="3"/>
      <c r="CQ57" s="3"/>
      <c r="CR57" s="3"/>
      <c r="CS57" s="3"/>
      <c r="CT57" s="3"/>
    </row>
    <row r="58" spans="2:98" x14ac:dyDescent="0.2">
      <c r="B58" s="138"/>
      <c r="C58" s="58"/>
      <c r="D58" s="58"/>
      <c r="E58" s="58"/>
      <c r="F58" s="87"/>
      <c r="G58" s="58"/>
      <c r="H58" s="58"/>
      <c r="I58" s="58"/>
      <c r="J58" s="87"/>
      <c r="K58" s="23"/>
      <c r="L58" s="23"/>
      <c r="M58" s="23"/>
      <c r="N58" s="11"/>
      <c r="O58" s="23"/>
      <c r="P58" s="23"/>
      <c r="Q58" s="23"/>
      <c r="R58" s="11"/>
      <c r="S58" s="23"/>
      <c r="T58" s="23"/>
      <c r="U58" s="23"/>
      <c r="V58" s="11"/>
      <c r="W58" s="23"/>
      <c r="X58" s="23"/>
      <c r="Y58" s="23"/>
      <c r="Z58" s="11"/>
      <c r="AA58" s="23"/>
      <c r="AB58" s="23"/>
      <c r="AC58" s="23"/>
      <c r="AD58" s="11"/>
      <c r="AE58" s="23"/>
      <c r="AF58" s="23"/>
      <c r="AG58" s="23"/>
      <c r="AH58" s="11"/>
      <c r="AI58" s="23"/>
      <c r="AJ58" s="23"/>
      <c r="AK58" s="23"/>
      <c r="AL58" s="11"/>
      <c r="AM58" s="23"/>
      <c r="AN58" s="23"/>
      <c r="AO58" s="23"/>
      <c r="AP58" s="11"/>
      <c r="AQ58" s="23"/>
      <c r="AR58" s="23"/>
      <c r="AS58" s="23"/>
      <c r="AT58" s="11"/>
      <c r="AU58" s="23"/>
      <c r="AV58" s="23"/>
      <c r="AW58" s="23"/>
      <c r="AX58" s="11"/>
      <c r="AY58" s="23"/>
      <c r="AZ58" s="23"/>
      <c r="BA58" s="23"/>
      <c r="BB58" s="11"/>
      <c r="BC58" s="23"/>
      <c r="BD58" s="23"/>
      <c r="BE58" s="23"/>
      <c r="BF58" s="11"/>
      <c r="BG58" s="23"/>
      <c r="BH58" s="23"/>
      <c r="BI58" s="23"/>
      <c r="BJ58" s="11"/>
      <c r="BK58" s="23"/>
      <c r="BL58" s="23"/>
      <c r="BM58" s="23"/>
      <c r="BN58" s="11"/>
      <c r="BO58" s="23"/>
      <c r="BP58" s="23"/>
      <c r="BQ58" s="23"/>
      <c r="BR58" s="11"/>
      <c r="BS58" s="23"/>
      <c r="BT58" s="23"/>
      <c r="BU58" s="23"/>
      <c r="BV58" s="11"/>
      <c r="BW58" s="23"/>
      <c r="BX58" s="23"/>
      <c r="BY58" s="23"/>
      <c r="BZ58" s="11"/>
      <c r="CA58" s="3"/>
      <c r="CB58" s="3"/>
      <c r="CC58" s="3"/>
      <c r="CD58" s="3"/>
      <c r="CE58" s="3"/>
      <c r="CF58" s="3"/>
      <c r="CG58" s="3"/>
      <c r="CH58" s="3"/>
      <c r="CI58" s="3"/>
      <c r="CJ58" s="3"/>
      <c r="CK58" s="3"/>
      <c r="CL58" s="3"/>
      <c r="CM58" s="3"/>
      <c r="CN58" s="3"/>
      <c r="CO58" s="3"/>
      <c r="CP58" s="3"/>
      <c r="CQ58" s="3"/>
      <c r="CR58" s="3"/>
      <c r="CS58" s="3"/>
      <c r="CT58" s="3"/>
    </row>
    <row r="59" spans="2:98" x14ac:dyDescent="0.2">
      <c r="B59" s="138"/>
      <c r="C59" s="58"/>
      <c r="D59" s="58"/>
      <c r="E59" s="58"/>
      <c r="F59" s="87"/>
      <c r="G59" s="58"/>
      <c r="H59" s="58"/>
      <c r="I59" s="58"/>
      <c r="J59" s="87"/>
      <c r="K59" s="23"/>
      <c r="L59" s="23"/>
      <c r="M59" s="23"/>
      <c r="N59" s="11"/>
      <c r="O59" s="23"/>
      <c r="P59" s="23"/>
      <c r="Q59" s="23"/>
      <c r="R59" s="11"/>
      <c r="S59" s="23"/>
      <c r="T59" s="23"/>
      <c r="U59" s="23"/>
      <c r="V59" s="11"/>
      <c r="W59" s="23"/>
      <c r="X59" s="23"/>
      <c r="Y59" s="23"/>
      <c r="Z59" s="11"/>
      <c r="AA59" s="23"/>
      <c r="AB59" s="23"/>
      <c r="AC59" s="23"/>
      <c r="AD59" s="11"/>
      <c r="AE59" s="23"/>
      <c r="AF59" s="23"/>
      <c r="AG59" s="23"/>
      <c r="AH59" s="11"/>
      <c r="AI59" s="23"/>
      <c r="AJ59" s="23"/>
      <c r="AK59" s="23"/>
      <c r="AL59" s="11"/>
      <c r="AM59" s="23"/>
      <c r="AN59" s="23"/>
      <c r="AO59" s="23"/>
      <c r="AP59" s="11"/>
      <c r="AQ59" s="23"/>
      <c r="AR59" s="23"/>
      <c r="AS59" s="23"/>
      <c r="AT59" s="11"/>
      <c r="AU59" s="23"/>
      <c r="AV59" s="23"/>
      <c r="AW59" s="23"/>
      <c r="AX59" s="11"/>
      <c r="AY59" s="23"/>
      <c r="AZ59" s="23"/>
      <c r="BA59" s="23"/>
      <c r="BB59" s="11"/>
      <c r="BC59" s="23"/>
      <c r="BD59" s="23"/>
      <c r="BE59" s="23"/>
      <c r="BF59" s="11"/>
      <c r="BG59" s="23"/>
      <c r="BH59" s="23"/>
      <c r="BI59" s="23"/>
      <c r="BJ59" s="11"/>
      <c r="BK59" s="23"/>
      <c r="BL59" s="23"/>
      <c r="BM59" s="23"/>
      <c r="BN59" s="11"/>
      <c r="BO59" s="23"/>
      <c r="BP59" s="23"/>
      <c r="BQ59" s="23"/>
      <c r="BR59" s="11"/>
      <c r="BS59" s="23"/>
      <c r="BT59" s="23"/>
      <c r="BU59" s="23"/>
      <c r="BV59" s="11"/>
      <c r="BW59" s="23"/>
      <c r="BX59" s="23"/>
      <c r="BY59" s="23"/>
      <c r="BZ59" s="11"/>
      <c r="CA59" s="3"/>
      <c r="CB59" s="3"/>
      <c r="CC59" s="3"/>
      <c r="CD59" s="3"/>
      <c r="CE59" s="3"/>
      <c r="CF59" s="3"/>
      <c r="CG59" s="3"/>
      <c r="CH59" s="3"/>
      <c r="CI59" s="3"/>
      <c r="CJ59" s="3"/>
      <c r="CK59" s="3"/>
      <c r="CL59" s="3"/>
      <c r="CM59" s="3"/>
      <c r="CN59" s="3"/>
      <c r="CO59" s="3"/>
      <c r="CP59" s="3"/>
      <c r="CQ59" s="3"/>
      <c r="CR59" s="3"/>
      <c r="CS59" s="3"/>
      <c r="CT59" s="3"/>
    </row>
    <row r="60" spans="2:98" x14ac:dyDescent="0.2">
      <c r="B60" s="138"/>
      <c r="C60" s="58"/>
      <c r="D60" s="58"/>
      <c r="E60" s="58"/>
      <c r="F60" s="87"/>
      <c r="G60" s="58"/>
      <c r="H60" s="58"/>
      <c r="I60" s="58"/>
      <c r="J60" s="87"/>
      <c r="K60" s="23"/>
      <c r="L60" s="23"/>
      <c r="M60" s="23"/>
      <c r="N60" s="11"/>
      <c r="O60" s="23"/>
      <c r="P60" s="23"/>
      <c r="Q60" s="23"/>
      <c r="R60" s="11"/>
      <c r="S60" s="23"/>
      <c r="T60" s="23"/>
      <c r="U60" s="23"/>
      <c r="V60" s="11"/>
      <c r="W60" s="23"/>
      <c r="X60" s="23"/>
      <c r="Y60" s="23"/>
      <c r="Z60" s="11"/>
      <c r="AA60" s="23"/>
      <c r="AB60" s="23"/>
      <c r="AC60" s="23"/>
      <c r="AD60" s="11"/>
      <c r="AE60" s="23"/>
      <c r="AF60" s="23"/>
      <c r="AG60" s="23"/>
      <c r="AH60" s="11"/>
      <c r="AI60" s="23"/>
      <c r="AJ60" s="23"/>
      <c r="AK60" s="23"/>
      <c r="AL60" s="11"/>
      <c r="AM60" s="23"/>
      <c r="AN60" s="23"/>
      <c r="AO60" s="23"/>
      <c r="AP60" s="11"/>
      <c r="AQ60" s="23"/>
      <c r="AR60" s="23"/>
      <c r="AS60" s="23"/>
      <c r="AT60" s="11"/>
      <c r="AU60" s="23"/>
      <c r="AV60" s="23"/>
      <c r="AW60" s="23"/>
      <c r="AX60" s="11"/>
      <c r="AY60" s="23"/>
      <c r="AZ60" s="23"/>
      <c r="BA60" s="23"/>
      <c r="BB60" s="11"/>
      <c r="BC60" s="23"/>
      <c r="BD60" s="23"/>
      <c r="BE60" s="23"/>
      <c r="BF60" s="11"/>
      <c r="BG60" s="23"/>
      <c r="BH60" s="23"/>
      <c r="BI60" s="23"/>
      <c r="BJ60" s="11"/>
      <c r="BK60" s="23"/>
      <c r="BL60" s="23"/>
      <c r="BM60" s="23"/>
      <c r="BN60" s="11"/>
      <c r="BO60" s="23"/>
      <c r="BP60" s="23"/>
      <c r="BQ60" s="23"/>
      <c r="BR60" s="11"/>
      <c r="BS60" s="23"/>
      <c r="BT60" s="23"/>
      <c r="BU60" s="23"/>
      <c r="BV60" s="11"/>
      <c r="BW60" s="23"/>
      <c r="BX60" s="23"/>
      <c r="BY60" s="23"/>
      <c r="BZ60" s="11"/>
      <c r="CA60" s="3"/>
      <c r="CB60" s="3"/>
      <c r="CC60" s="3"/>
      <c r="CD60" s="3"/>
      <c r="CE60" s="3"/>
      <c r="CF60" s="3"/>
      <c r="CG60" s="3"/>
      <c r="CH60" s="3"/>
      <c r="CI60" s="3"/>
      <c r="CJ60" s="3"/>
      <c r="CK60" s="3"/>
      <c r="CL60" s="3"/>
      <c r="CM60" s="3"/>
      <c r="CN60" s="3"/>
      <c r="CO60" s="3"/>
      <c r="CP60" s="3"/>
      <c r="CQ60" s="3"/>
      <c r="CR60" s="3"/>
      <c r="CS60" s="3"/>
      <c r="CT60" s="3"/>
    </row>
    <row r="61" spans="2:98" x14ac:dyDescent="0.2">
      <c r="B61" s="138"/>
      <c r="C61" s="58"/>
      <c r="D61" s="58"/>
      <c r="E61" s="58"/>
      <c r="F61" s="87"/>
      <c r="G61" s="58"/>
      <c r="H61" s="58"/>
      <c r="I61" s="58"/>
      <c r="J61" s="87"/>
      <c r="K61" s="23"/>
      <c r="L61" s="23"/>
      <c r="M61" s="23"/>
      <c r="N61" s="11"/>
      <c r="O61" s="23"/>
      <c r="P61" s="23"/>
      <c r="Q61" s="23"/>
      <c r="R61" s="11"/>
      <c r="S61" s="23"/>
      <c r="T61" s="23"/>
      <c r="U61" s="23"/>
      <c r="V61" s="11"/>
      <c r="W61" s="23"/>
      <c r="X61" s="23"/>
      <c r="Y61" s="23"/>
      <c r="Z61" s="11"/>
      <c r="AA61" s="23"/>
      <c r="AB61" s="23"/>
      <c r="AC61" s="23"/>
      <c r="AD61" s="11"/>
      <c r="AE61" s="23"/>
      <c r="AF61" s="23"/>
      <c r="AG61" s="23"/>
      <c r="AH61" s="11"/>
      <c r="AI61" s="23"/>
      <c r="AJ61" s="23"/>
      <c r="AK61" s="23"/>
      <c r="AL61" s="11"/>
      <c r="AM61" s="23"/>
      <c r="AN61" s="23"/>
      <c r="AO61" s="23"/>
      <c r="AP61" s="11"/>
      <c r="AQ61" s="23"/>
      <c r="AR61" s="23"/>
      <c r="AS61" s="23"/>
      <c r="AT61" s="11"/>
      <c r="AU61" s="23"/>
      <c r="AV61" s="23"/>
      <c r="AW61" s="23"/>
      <c r="AX61" s="11"/>
      <c r="AY61" s="23"/>
      <c r="AZ61" s="23"/>
      <c r="BA61" s="23"/>
      <c r="BB61" s="11"/>
      <c r="BC61" s="23"/>
      <c r="BD61" s="23"/>
      <c r="BE61" s="23"/>
      <c r="BF61" s="11"/>
      <c r="BG61" s="23"/>
      <c r="BH61" s="23"/>
      <c r="BI61" s="23"/>
      <c r="BJ61" s="11"/>
      <c r="BK61" s="23"/>
      <c r="BL61" s="23"/>
      <c r="BM61" s="23"/>
      <c r="BN61" s="11"/>
      <c r="BO61" s="23"/>
      <c r="BP61" s="23"/>
      <c r="BQ61" s="23"/>
      <c r="BR61" s="11"/>
      <c r="BS61" s="23"/>
      <c r="BT61" s="23"/>
      <c r="BU61" s="23"/>
      <c r="BV61" s="11"/>
      <c r="BW61" s="23"/>
      <c r="BX61" s="23"/>
      <c r="BY61" s="23"/>
      <c r="BZ61" s="11"/>
      <c r="CA61" s="3"/>
      <c r="CB61" s="3"/>
      <c r="CC61" s="3"/>
      <c r="CD61" s="3"/>
      <c r="CE61" s="3"/>
      <c r="CF61" s="3"/>
      <c r="CG61" s="3"/>
      <c r="CH61" s="3"/>
      <c r="CI61" s="3"/>
      <c r="CJ61" s="3"/>
      <c r="CK61" s="3"/>
      <c r="CL61" s="3"/>
      <c r="CM61" s="3"/>
      <c r="CN61" s="3"/>
      <c r="CO61" s="3"/>
      <c r="CP61" s="3"/>
      <c r="CQ61" s="3"/>
      <c r="CR61" s="3"/>
      <c r="CS61" s="3"/>
      <c r="CT61" s="3"/>
    </row>
    <row r="62" spans="2:98" x14ac:dyDescent="0.2">
      <c r="B62" s="138"/>
      <c r="C62" s="23"/>
      <c r="D62" s="23"/>
      <c r="E62" s="23"/>
      <c r="F62" s="11"/>
      <c r="G62" s="23"/>
      <c r="H62" s="23"/>
      <c r="I62" s="23"/>
      <c r="J62" s="11"/>
      <c r="K62" s="23"/>
      <c r="L62" s="23"/>
      <c r="M62" s="23"/>
      <c r="N62" s="11"/>
      <c r="O62" s="23"/>
      <c r="P62" s="23"/>
      <c r="Q62" s="23"/>
      <c r="R62" s="11"/>
      <c r="S62" s="23"/>
      <c r="T62" s="23"/>
      <c r="U62" s="23"/>
      <c r="V62" s="11"/>
      <c r="W62" s="23"/>
      <c r="X62" s="23"/>
      <c r="Y62" s="23"/>
      <c r="Z62" s="11"/>
      <c r="AA62" s="23"/>
      <c r="AB62" s="23"/>
      <c r="AC62" s="23"/>
      <c r="AD62" s="11"/>
      <c r="AE62" s="23"/>
      <c r="AF62" s="23"/>
      <c r="AG62" s="23"/>
      <c r="AH62" s="11"/>
      <c r="AI62" s="23"/>
      <c r="AJ62" s="23"/>
      <c r="AK62" s="23"/>
      <c r="AL62" s="11"/>
      <c r="AM62" s="23"/>
      <c r="AN62" s="23"/>
      <c r="AO62" s="23"/>
      <c r="AP62" s="11"/>
      <c r="AQ62" s="23"/>
      <c r="AR62" s="23"/>
      <c r="AS62" s="23"/>
      <c r="AT62" s="11"/>
      <c r="AU62" s="23"/>
      <c r="AV62" s="23"/>
      <c r="AW62" s="23"/>
      <c r="AX62" s="11"/>
      <c r="AY62" s="23"/>
      <c r="AZ62" s="23"/>
      <c r="BA62" s="23"/>
      <c r="BB62" s="11"/>
      <c r="BC62" s="23"/>
      <c r="BD62" s="23"/>
      <c r="BE62" s="23"/>
      <c r="BF62" s="11"/>
      <c r="BG62" s="23"/>
      <c r="BH62" s="23"/>
      <c r="BI62" s="23"/>
      <c r="BJ62" s="11"/>
      <c r="BK62" s="23"/>
      <c r="BL62" s="23"/>
      <c r="BM62" s="23"/>
      <c r="BN62" s="11"/>
      <c r="BO62" s="23"/>
      <c r="BP62" s="23"/>
      <c r="BQ62" s="23"/>
      <c r="BR62" s="11"/>
      <c r="BS62" s="23"/>
      <c r="BT62" s="23"/>
      <c r="BU62" s="23"/>
      <c r="BV62" s="11"/>
      <c r="BW62" s="23"/>
      <c r="BX62" s="23"/>
      <c r="BY62" s="23"/>
      <c r="BZ62" s="11"/>
      <c r="CA62" s="3"/>
      <c r="CB62" s="3"/>
      <c r="CC62" s="3"/>
      <c r="CD62" s="3"/>
      <c r="CE62" s="3"/>
      <c r="CF62" s="3"/>
      <c r="CG62" s="3"/>
      <c r="CH62" s="3"/>
      <c r="CI62" s="3"/>
      <c r="CJ62" s="3"/>
      <c r="CK62" s="3"/>
      <c r="CL62" s="3"/>
      <c r="CM62" s="3"/>
      <c r="CN62" s="3"/>
      <c r="CO62" s="3"/>
      <c r="CP62" s="3"/>
      <c r="CQ62" s="3"/>
      <c r="CR62" s="3"/>
      <c r="CS62" s="3"/>
      <c r="CT62" s="3"/>
    </row>
    <row r="63" spans="2:98" x14ac:dyDescent="0.2">
      <c r="B63" s="138"/>
      <c r="C63" s="23"/>
      <c r="D63" s="23"/>
      <c r="E63" s="23"/>
      <c r="F63" s="11"/>
      <c r="G63" s="23"/>
      <c r="H63" s="23"/>
      <c r="I63" s="23"/>
      <c r="J63" s="11"/>
      <c r="K63" s="23"/>
      <c r="L63" s="23"/>
      <c r="M63" s="23"/>
      <c r="N63" s="11"/>
      <c r="O63" s="23"/>
      <c r="P63" s="23"/>
      <c r="Q63" s="23"/>
      <c r="R63" s="11"/>
      <c r="S63" s="23"/>
      <c r="T63" s="23"/>
      <c r="U63" s="23"/>
      <c r="V63" s="11"/>
      <c r="W63" s="23"/>
      <c r="X63" s="23"/>
      <c r="Y63" s="23"/>
      <c r="Z63" s="11"/>
      <c r="AA63" s="23"/>
      <c r="AB63" s="23"/>
      <c r="AC63" s="23"/>
      <c r="AD63" s="11"/>
      <c r="AE63" s="23"/>
      <c r="AF63" s="23"/>
      <c r="AG63" s="23"/>
      <c r="AH63" s="11"/>
      <c r="AI63" s="23"/>
      <c r="AJ63" s="23"/>
      <c r="AK63" s="23"/>
      <c r="AL63" s="11"/>
      <c r="AM63" s="23"/>
      <c r="AN63" s="23"/>
      <c r="AO63" s="23"/>
      <c r="AP63" s="11"/>
      <c r="AQ63" s="23"/>
      <c r="AR63" s="23"/>
      <c r="AS63" s="23"/>
      <c r="AT63" s="11"/>
      <c r="AU63" s="23"/>
      <c r="AV63" s="23"/>
      <c r="AW63" s="23"/>
      <c r="AX63" s="11"/>
      <c r="AY63" s="23"/>
      <c r="AZ63" s="23"/>
      <c r="BA63" s="23"/>
      <c r="BB63" s="11"/>
      <c r="BC63" s="23"/>
      <c r="BD63" s="23"/>
      <c r="BE63" s="23"/>
      <c r="BF63" s="11"/>
      <c r="BG63" s="23"/>
      <c r="BH63" s="23"/>
      <c r="BI63" s="23"/>
      <c r="BJ63" s="11"/>
      <c r="BK63" s="23"/>
      <c r="BL63" s="23"/>
      <c r="BM63" s="23"/>
      <c r="BN63" s="11"/>
      <c r="BO63" s="23"/>
      <c r="BP63" s="23"/>
      <c r="BQ63" s="23"/>
      <c r="BR63" s="11"/>
      <c r="BS63" s="23"/>
      <c r="BT63" s="23"/>
      <c r="BU63" s="23"/>
      <c r="BV63" s="11"/>
      <c r="BW63" s="23"/>
      <c r="BX63" s="23"/>
      <c r="BY63" s="23"/>
      <c r="BZ63" s="11"/>
      <c r="CA63" s="3"/>
      <c r="CB63" s="3"/>
      <c r="CC63" s="3"/>
      <c r="CD63" s="3"/>
      <c r="CE63" s="3"/>
      <c r="CF63" s="3"/>
      <c r="CG63" s="3"/>
      <c r="CH63" s="3"/>
      <c r="CI63" s="3"/>
      <c r="CJ63" s="3"/>
      <c r="CK63" s="3"/>
      <c r="CL63" s="3"/>
      <c r="CM63" s="3"/>
      <c r="CN63" s="3"/>
      <c r="CO63" s="3"/>
      <c r="CP63" s="3"/>
      <c r="CQ63" s="3"/>
      <c r="CR63" s="3"/>
      <c r="CS63" s="3"/>
      <c r="CT63" s="3"/>
    </row>
    <row r="64" spans="2:98" x14ac:dyDescent="0.2">
      <c r="B64" s="138"/>
      <c r="C64" s="23"/>
      <c r="D64" s="23"/>
      <c r="E64" s="23"/>
      <c r="F64" s="11"/>
      <c r="G64" s="23"/>
      <c r="H64" s="23"/>
      <c r="I64" s="23"/>
      <c r="J64" s="11"/>
      <c r="K64" s="23"/>
      <c r="L64" s="23"/>
      <c r="M64" s="23"/>
      <c r="N64" s="11"/>
      <c r="O64" s="23"/>
      <c r="P64" s="23"/>
      <c r="Q64" s="23"/>
      <c r="R64" s="11"/>
      <c r="S64" s="23"/>
      <c r="T64" s="23"/>
      <c r="U64" s="23"/>
      <c r="V64" s="11"/>
      <c r="W64" s="23"/>
      <c r="X64" s="23"/>
      <c r="Y64" s="23"/>
      <c r="Z64" s="11"/>
      <c r="AA64" s="23"/>
      <c r="AB64" s="23"/>
      <c r="AC64" s="23"/>
      <c r="AD64" s="11"/>
      <c r="AE64" s="23"/>
      <c r="AF64" s="23"/>
      <c r="AG64" s="23"/>
      <c r="AH64" s="11"/>
      <c r="AI64" s="23"/>
      <c r="AJ64" s="23"/>
      <c r="AK64" s="23"/>
      <c r="AL64" s="11"/>
      <c r="AM64" s="23"/>
      <c r="AN64" s="23"/>
      <c r="AO64" s="23"/>
      <c r="AP64" s="11"/>
      <c r="AQ64" s="23"/>
      <c r="AR64" s="23"/>
      <c r="AS64" s="23"/>
      <c r="AT64" s="11"/>
      <c r="AU64" s="23"/>
      <c r="AV64" s="23"/>
      <c r="AW64" s="23"/>
      <c r="AX64" s="11"/>
      <c r="AY64" s="23"/>
      <c r="AZ64" s="23"/>
      <c r="BA64" s="23"/>
      <c r="BB64" s="11"/>
      <c r="BC64" s="23"/>
      <c r="BD64" s="23"/>
      <c r="BE64" s="23"/>
      <c r="BF64" s="11"/>
      <c r="BG64" s="23"/>
      <c r="BH64" s="23"/>
      <c r="BI64" s="23"/>
      <c r="BJ64" s="11"/>
      <c r="BK64" s="23"/>
      <c r="BL64" s="23"/>
      <c r="BM64" s="23"/>
      <c r="BN64" s="11"/>
      <c r="BO64" s="23"/>
      <c r="BP64" s="23"/>
      <c r="BQ64" s="23"/>
      <c r="BR64" s="11"/>
      <c r="BS64" s="23"/>
      <c r="BT64" s="23"/>
      <c r="BU64" s="23"/>
      <c r="BV64" s="11"/>
      <c r="BW64" s="23"/>
      <c r="BX64" s="23"/>
      <c r="BY64" s="23"/>
      <c r="BZ64" s="11"/>
      <c r="CA64" s="3"/>
      <c r="CB64" s="3"/>
      <c r="CC64" s="3"/>
      <c r="CD64" s="3"/>
      <c r="CE64" s="3"/>
      <c r="CF64" s="3"/>
      <c r="CG64" s="3"/>
      <c r="CH64" s="3"/>
      <c r="CI64" s="3"/>
      <c r="CJ64" s="3"/>
      <c r="CK64" s="3"/>
      <c r="CL64" s="3"/>
      <c r="CM64" s="3"/>
      <c r="CN64" s="3"/>
      <c r="CO64" s="3"/>
      <c r="CP64" s="3"/>
      <c r="CQ64" s="3"/>
      <c r="CR64" s="3"/>
      <c r="CS64" s="3"/>
      <c r="CT64" s="3"/>
    </row>
    <row r="65" spans="1:98" x14ac:dyDescent="0.2">
      <c r="B65" s="138"/>
      <c r="C65" s="23"/>
      <c r="D65" s="23"/>
      <c r="E65" s="23"/>
      <c r="F65" s="11"/>
      <c r="G65" s="23"/>
      <c r="H65" s="23"/>
      <c r="I65" s="23"/>
      <c r="J65" s="11"/>
      <c r="K65" s="23"/>
      <c r="L65" s="23"/>
      <c r="M65" s="23"/>
      <c r="N65" s="11"/>
      <c r="O65" s="23"/>
      <c r="P65" s="23"/>
      <c r="Q65" s="23"/>
      <c r="R65" s="11"/>
      <c r="S65" s="23"/>
      <c r="T65" s="23"/>
      <c r="U65" s="23"/>
      <c r="V65" s="11"/>
      <c r="W65" s="23"/>
      <c r="X65" s="23"/>
      <c r="Y65" s="23"/>
      <c r="Z65" s="11"/>
      <c r="AA65" s="23"/>
      <c r="AB65" s="23"/>
      <c r="AC65" s="23"/>
      <c r="AD65" s="11"/>
      <c r="AE65" s="23"/>
      <c r="AF65" s="23"/>
      <c r="AG65" s="23"/>
      <c r="AH65" s="11"/>
      <c r="AI65" s="23"/>
      <c r="AJ65" s="23"/>
      <c r="AK65" s="23"/>
      <c r="AL65" s="11"/>
      <c r="AM65" s="23"/>
      <c r="AN65" s="23"/>
      <c r="AO65" s="23"/>
      <c r="AP65" s="11"/>
      <c r="AQ65" s="23"/>
      <c r="AR65" s="23"/>
      <c r="AS65" s="23"/>
      <c r="AT65" s="11"/>
      <c r="AU65" s="23"/>
      <c r="AV65" s="23"/>
      <c r="AW65" s="23"/>
      <c r="AX65" s="11"/>
      <c r="AY65" s="23"/>
      <c r="AZ65" s="23"/>
      <c r="BA65" s="23"/>
      <c r="BB65" s="11"/>
      <c r="BC65" s="23"/>
      <c r="BD65" s="23"/>
      <c r="BE65" s="23"/>
      <c r="BF65" s="11"/>
      <c r="BG65" s="23"/>
      <c r="BH65" s="23"/>
      <c r="BI65" s="23"/>
      <c r="BJ65" s="11"/>
      <c r="BK65" s="23"/>
      <c r="BL65" s="23"/>
      <c r="BM65" s="23"/>
      <c r="BN65" s="11"/>
      <c r="BO65" s="23"/>
      <c r="BP65" s="23"/>
      <c r="BQ65" s="23"/>
      <c r="BR65" s="11"/>
      <c r="BS65" s="23"/>
      <c r="BT65" s="23"/>
      <c r="BU65" s="23"/>
      <c r="BV65" s="11"/>
      <c r="BW65" s="23"/>
      <c r="BX65" s="23"/>
      <c r="BY65" s="23"/>
      <c r="BZ65" s="11"/>
      <c r="CA65" s="3"/>
      <c r="CB65" s="3"/>
      <c r="CC65" s="3"/>
      <c r="CD65" s="3"/>
      <c r="CE65" s="3"/>
      <c r="CF65" s="3"/>
      <c r="CG65" s="3"/>
      <c r="CH65" s="3"/>
      <c r="CI65" s="3"/>
      <c r="CJ65" s="3"/>
      <c r="CK65" s="3"/>
      <c r="CL65" s="3"/>
      <c r="CM65" s="3"/>
      <c r="CN65" s="3"/>
      <c r="CO65" s="3"/>
      <c r="CP65" s="3"/>
      <c r="CQ65" s="3"/>
      <c r="CR65" s="3"/>
      <c r="CS65" s="3"/>
      <c r="CT65" s="3"/>
    </row>
    <row r="66" spans="1:98" x14ac:dyDescent="0.2">
      <c r="A66" s="109"/>
      <c r="B66" s="144"/>
      <c r="C66" s="23"/>
      <c r="D66" s="23"/>
      <c r="E66" s="23"/>
      <c r="F66" s="11"/>
      <c r="G66" s="23"/>
      <c r="H66" s="23"/>
      <c r="I66" s="23"/>
      <c r="J66" s="11"/>
      <c r="K66" s="23"/>
      <c r="L66" s="23"/>
      <c r="M66" s="23"/>
      <c r="N66" s="11"/>
      <c r="O66" s="23"/>
      <c r="P66" s="23"/>
      <c r="Q66" s="23"/>
      <c r="R66" s="11"/>
      <c r="S66" s="23"/>
      <c r="T66" s="23"/>
      <c r="U66" s="23"/>
      <c r="V66" s="11"/>
      <c r="W66" s="23"/>
      <c r="X66" s="23"/>
      <c r="Y66" s="23"/>
      <c r="Z66" s="11"/>
      <c r="AA66" s="23"/>
      <c r="AB66" s="23"/>
      <c r="AC66" s="23"/>
      <c r="AD66" s="11"/>
      <c r="AE66" s="23"/>
      <c r="AF66" s="23"/>
      <c r="AG66" s="23"/>
      <c r="AH66" s="11"/>
      <c r="AI66" s="23"/>
      <c r="AJ66" s="23"/>
      <c r="AK66" s="23"/>
      <c r="AL66" s="11"/>
      <c r="AM66" s="23"/>
      <c r="AN66" s="23"/>
      <c r="AO66" s="23"/>
      <c r="AP66" s="11"/>
      <c r="AQ66" s="23"/>
      <c r="AR66" s="23"/>
      <c r="AS66" s="23"/>
      <c r="AT66" s="11"/>
      <c r="AU66" s="23"/>
      <c r="AV66" s="23"/>
      <c r="AW66" s="23"/>
      <c r="AX66" s="11"/>
      <c r="AY66" s="23"/>
      <c r="AZ66" s="23"/>
      <c r="BA66" s="23"/>
      <c r="BB66" s="11"/>
      <c r="BC66" s="23"/>
      <c r="BD66" s="23"/>
      <c r="BE66" s="23"/>
      <c r="BF66" s="11"/>
      <c r="BG66" s="23"/>
      <c r="BH66" s="23"/>
      <c r="BI66" s="23"/>
      <c r="BJ66" s="11"/>
      <c r="BK66" s="23"/>
      <c r="BL66" s="23"/>
      <c r="BM66" s="23"/>
      <c r="BN66" s="11"/>
      <c r="BO66" s="23"/>
      <c r="BP66" s="23"/>
      <c r="BQ66" s="23"/>
      <c r="BR66" s="11"/>
      <c r="BS66" s="23"/>
      <c r="BT66" s="23"/>
      <c r="BU66" s="23"/>
      <c r="BV66" s="11"/>
      <c r="BW66" s="23"/>
      <c r="BX66" s="23"/>
      <c r="BY66" s="23"/>
      <c r="BZ66" s="11"/>
      <c r="CA66" s="3"/>
      <c r="CB66" s="3"/>
      <c r="CC66" s="3"/>
      <c r="CD66" s="3"/>
      <c r="CE66" s="3"/>
      <c r="CF66" s="3"/>
      <c r="CG66" s="3"/>
      <c r="CH66" s="3"/>
      <c r="CI66" s="3"/>
      <c r="CJ66" s="3"/>
      <c r="CK66" s="3"/>
      <c r="CL66" s="3"/>
      <c r="CM66" s="3"/>
      <c r="CN66" s="3"/>
      <c r="CO66" s="3"/>
      <c r="CP66" s="3"/>
      <c r="CQ66" s="3"/>
      <c r="CR66" s="3"/>
      <c r="CS66" s="3"/>
      <c r="CT66" s="3"/>
    </row>
    <row r="67" spans="1:98" x14ac:dyDescent="0.2">
      <c r="A67" s="109"/>
      <c r="B67" s="144"/>
      <c r="C67" s="23"/>
      <c r="D67" s="23"/>
      <c r="E67" s="23"/>
      <c r="F67" s="11"/>
      <c r="G67" s="23"/>
      <c r="H67" s="23"/>
      <c r="I67" s="23"/>
      <c r="J67" s="11"/>
      <c r="K67" s="23"/>
      <c r="L67" s="23"/>
      <c r="M67" s="23"/>
      <c r="N67" s="11"/>
      <c r="O67" s="23"/>
      <c r="P67" s="23"/>
      <c r="Q67" s="23"/>
      <c r="R67" s="11"/>
      <c r="S67" s="23"/>
      <c r="T67" s="23"/>
      <c r="U67" s="23"/>
      <c r="V67" s="11"/>
      <c r="W67" s="23"/>
      <c r="X67" s="23"/>
      <c r="Y67" s="23"/>
      <c r="Z67" s="11"/>
      <c r="AA67" s="23"/>
      <c r="AB67" s="23"/>
      <c r="AC67" s="23"/>
      <c r="AD67" s="11"/>
      <c r="AE67" s="23"/>
      <c r="AF67" s="23"/>
      <c r="AG67" s="23"/>
      <c r="AH67" s="11"/>
      <c r="AI67" s="23"/>
      <c r="AJ67" s="23"/>
      <c r="AK67" s="23"/>
      <c r="AL67" s="11"/>
      <c r="AM67" s="23"/>
      <c r="AN67" s="23"/>
      <c r="AO67" s="23"/>
      <c r="AP67" s="11"/>
      <c r="AQ67" s="23"/>
      <c r="AR67" s="23"/>
      <c r="AS67" s="23"/>
      <c r="AT67" s="11"/>
      <c r="AU67" s="23"/>
      <c r="AV67" s="23"/>
      <c r="AW67" s="23"/>
      <c r="AX67" s="11"/>
      <c r="AY67" s="23"/>
      <c r="AZ67" s="23"/>
      <c r="BA67" s="23"/>
      <c r="BB67" s="11"/>
      <c r="BC67" s="23"/>
      <c r="BD67" s="23"/>
      <c r="BE67" s="23"/>
      <c r="BF67" s="11"/>
      <c r="BG67" s="23"/>
      <c r="BH67" s="23"/>
      <c r="BI67" s="23"/>
      <c r="BJ67" s="11"/>
      <c r="BK67" s="23"/>
      <c r="BL67" s="23"/>
      <c r="BM67" s="23"/>
      <c r="BN67" s="11"/>
      <c r="BO67" s="23"/>
      <c r="BP67" s="23"/>
      <c r="BQ67" s="23"/>
      <c r="BR67" s="11"/>
      <c r="BS67" s="23"/>
      <c r="BT67" s="23"/>
      <c r="BU67" s="23"/>
      <c r="BV67" s="11"/>
      <c r="BW67" s="23"/>
      <c r="BX67" s="23"/>
      <c r="BY67" s="23"/>
      <c r="BZ67" s="11"/>
      <c r="CA67" s="3"/>
      <c r="CB67" s="3"/>
      <c r="CC67" s="3"/>
      <c r="CD67" s="3"/>
      <c r="CE67" s="3"/>
      <c r="CF67" s="3"/>
      <c r="CG67" s="3"/>
      <c r="CH67" s="3"/>
      <c r="CI67" s="3"/>
      <c r="CJ67" s="3"/>
      <c r="CK67" s="3"/>
      <c r="CL67" s="3"/>
      <c r="CM67" s="3"/>
      <c r="CN67" s="3"/>
      <c r="CO67" s="3"/>
      <c r="CP67" s="3"/>
      <c r="CQ67" s="3"/>
      <c r="CR67" s="3"/>
      <c r="CS67" s="3"/>
      <c r="CT67" s="3"/>
    </row>
    <row r="68" spans="1:98" x14ac:dyDescent="0.2">
      <c r="A68" s="109"/>
      <c r="B68" s="144"/>
      <c r="C68" s="23"/>
      <c r="D68" s="23"/>
      <c r="E68" s="23"/>
      <c r="F68" s="11"/>
      <c r="G68" s="23"/>
      <c r="H68" s="23"/>
      <c r="I68" s="23"/>
      <c r="J68" s="11"/>
      <c r="K68" s="23"/>
      <c r="L68" s="23"/>
      <c r="M68" s="23"/>
      <c r="N68" s="11"/>
      <c r="O68" s="23"/>
      <c r="P68" s="23"/>
      <c r="Q68" s="23"/>
      <c r="R68" s="11"/>
      <c r="S68" s="23"/>
      <c r="T68" s="23"/>
      <c r="U68" s="23"/>
      <c r="V68" s="11"/>
      <c r="W68" s="23"/>
      <c r="X68" s="23"/>
      <c r="Y68" s="23"/>
      <c r="Z68" s="11"/>
      <c r="AA68" s="23"/>
      <c r="AB68" s="23"/>
      <c r="AC68" s="23"/>
      <c r="AD68" s="11"/>
      <c r="AE68" s="23"/>
      <c r="AF68" s="23"/>
      <c r="AG68" s="23"/>
      <c r="AH68" s="11"/>
      <c r="AI68" s="23"/>
      <c r="AJ68" s="23"/>
      <c r="AK68" s="23"/>
      <c r="AL68" s="11"/>
      <c r="AM68" s="23"/>
      <c r="AN68" s="23"/>
      <c r="AO68" s="23"/>
      <c r="AP68" s="11"/>
      <c r="AQ68" s="23"/>
      <c r="AR68" s="23"/>
      <c r="AS68" s="23"/>
      <c r="AT68" s="11"/>
      <c r="AU68" s="23"/>
      <c r="AV68" s="23"/>
      <c r="AW68" s="23"/>
      <c r="AX68" s="11"/>
      <c r="AY68" s="23"/>
      <c r="AZ68" s="23"/>
      <c r="BA68" s="23"/>
      <c r="BB68" s="11"/>
      <c r="BC68" s="23"/>
      <c r="BD68" s="23"/>
      <c r="BE68" s="23"/>
      <c r="BF68" s="11"/>
      <c r="BG68" s="23"/>
      <c r="BH68" s="23"/>
      <c r="BI68" s="23"/>
      <c r="BJ68" s="11"/>
      <c r="BK68" s="23"/>
      <c r="BL68" s="23"/>
      <c r="BM68" s="23"/>
      <c r="BN68" s="11"/>
      <c r="BO68" s="23"/>
      <c r="BP68" s="23"/>
      <c r="BQ68" s="23"/>
      <c r="BR68" s="11"/>
      <c r="BS68" s="23"/>
      <c r="BT68" s="23"/>
      <c r="BU68" s="23"/>
      <c r="BV68" s="11"/>
      <c r="BW68" s="23"/>
      <c r="BX68" s="23"/>
      <c r="BY68" s="23"/>
      <c r="BZ68" s="11"/>
      <c r="CA68" s="3"/>
      <c r="CB68" s="3"/>
      <c r="CC68" s="3"/>
      <c r="CD68" s="3"/>
      <c r="CE68" s="3"/>
      <c r="CF68" s="3"/>
      <c r="CG68" s="3"/>
      <c r="CH68" s="3"/>
      <c r="CI68" s="3"/>
      <c r="CJ68" s="3"/>
      <c r="CK68" s="3"/>
      <c r="CL68" s="3"/>
      <c r="CM68" s="3"/>
      <c r="CN68" s="3"/>
      <c r="CO68" s="3"/>
      <c r="CP68" s="3"/>
      <c r="CQ68" s="3"/>
      <c r="CR68" s="3"/>
      <c r="CS68" s="3"/>
      <c r="CT68" s="3"/>
    </row>
    <row r="69" spans="1:98" x14ac:dyDescent="0.2">
      <c r="A69" s="109"/>
      <c r="B69" s="144"/>
      <c r="C69" s="23"/>
      <c r="D69" s="23"/>
      <c r="E69" s="23"/>
      <c r="F69" s="11"/>
      <c r="G69" s="23"/>
      <c r="H69" s="23"/>
      <c r="I69" s="23"/>
      <c r="J69" s="11"/>
      <c r="K69" s="23"/>
      <c r="L69" s="23"/>
      <c r="M69" s="23"/>
      <c r="N69" s="11"/>
      <c r="O69" s="23"/>
      <c r="P69" s="23"/>
      <c r="Q69" s="23"/>
      <c r="R69" s="11"/>
      <c r="S69" s="23"/>
      <c r="T69" s="23"/>
      <c r="U69" s="23"/>
      <c r="V69" s="11"/>
      <c r="W69" s="23"/>
      <c r="X69" s="23"/>
      <c r="Y69" s="23"/>
      <c r="Z69" s="11"/>
      <c r="AA69" s="23"/>
      <c r="AB69" s="23"/>
      <c r="AC69" s="23"/>
      <c r="AD69" s="11"/>
      <c r="AE69" s="23"/>
      <c r="AF69" s="23"/>
      <c r="AG69" s="23"/>
      <c r="AH69" s="11"/>
      <c r="AI69" s="23"/>
      <c r="AJ69" s="23"/>
      <c r="AK69" s="23"/>
      <c r="AL69" s="11"/>
      <c r="AM69" s="23"/>
      <c r="AN69" s="23"/>
      <c r="AO69" s="23"/>
      <c r="AP69" s="11"/>
      <c r="AQ69" s="23"/>
      <c r="AR69" s="23"/>
      <c r="AS69" s="23"/>
      <c r="AT69" s="11"/>
      <c r="AU69" s="23"/>
      <c r="AV69" s="23"/>
      <c r="AW69" s="23"/>
      <c r="AX69" s="11"/>
      <c r="AY69" s="23"/>
      <c r="AZ69" s="23"/>
      <c r="BA69" s="23"/>
      <c r="BB69" s="11"/>
      <c r="BC69" s="23"/>
      <c r="BD69" s="23"/>
      <c r="BE69" s="23"/>
      <c r="BF69" s="11"/>
      <c r="BG69" s="23"/>
      <c r="BH69" s="23"/>
      <c r="BI69" s="23"/>
      <c r="BJ69" s="11"/>
      <c r="BK69" s="23"/>
      <c r="BL69" s="23"/>
      <c r="BM69" s="23"/>
      <c r="BN69" s="11"/>
      <c r="BO69" s="23"/>
      <c r="BP69" s="23"/>
      <c r="BQ69" s="23"/>
      <c r="BR69" s="11"/>
      <c r="BS69" s="23"/>
      <c r="BT69" s="23"/>
      <c r="BU69" s="23"/>
      <c r="BV69" s="11"/>
      <c r="BW69" s="23"/>
      <c r="BX69" s="23"/>
      <c r="BY69" s="23"/>
      <c r="BZ69" s="11"/>
      <c r="CA69" s="3"/>
      <c r="CB69" s="3"/>
      <c r="CC69" s="3"/>
      <c r="CD69" s="3"/>
      <c r="CE69" s="3"/>
      <c r="CF69" s="3"/>
      <c r="CG69" s="3"/>
      <c r="CH69" s="3"/>
      <c r="CI69" s="3"/>
      <c r="CJ69" s="3"/>
      <c r="CK69" s="3"/>
      <c r="CL69" s="3"/>
      <c r="CM69" s="3"/>
      <c r="CN69" s="3"/>
      <c r="CO69" s="3"/>
      <c r="CP69" s="3"/>
      <c r="CQ69" s="3"/>
      <c r="CR69" s="3"/>
      <c r="CS69" s="3"/>
      <c r="CT69" s="3"/>
    </row>
    <row r="70" spans="1:98" x14ac:dyDescent="0.2">
      <c r="A70" s="109"/>
      <c r="B70" s="144"/>
      <c r="C70" s="23"/>
      <c r="D70" s="23"/>
      <c r="E70" s="23"/>
      <c r="F70" s="11"/>
      <c r="G70" s="23"/>
      <c r="H70" s="23"/>
      <c r="I70" s="23"/>
      <c r="J70" s="11"/>
      <c r="K70" s="23"/>
      <c r="L70" s="23"/>
      <c r="M70" s="23"/>
      <c r="N70" s="11"/>
      <c r="O70" s="23"/>
      <c r="P70" s="23"/>
      <c r="Q70" s="23"/>
      <c r="R70" s="11"/>
      <c r="S70" s="23"/>
      <c r="T70" s="23"/>
      <c r="U70" s="23"/>
      <c r="V70" s="11"/>
      <c r="W70" s="23"/>
      <c r="X70" s="23"/>
      <c r="Y70" s="23"/>
      <c r="Z70" s="11"/>
      <c r="AA70" s="23"/>
      <c r="AB70" s="23"/>
      <c r="AC70" s="23"/>
      <c r="AD70" s="11"/>
      <c r="AE70" s="23"/>
      <c r="AF70" s="23"/>
      <c r="AG70" s="23"/>
      <c r="AH70" s="11"/>
      <c r="AI70" s="23"/>
      <c r="AJ70" s="23"/>
      <c r="AK70" s="23"/>
      <c r="AL70" s="11"/>
      <c r="AM70" s="23"/>
      <c r="AN70" s="23"/>
      <c r="AO70" s="23"/>
      <c r="AP70" s="11"/>
      <c r="AQ70" s="23"/>
      <c r="AR70" s="23"/>
      <c r="AS70" s="23"/>
      <c r="AT70" s="11"/>
      <c r="AU70" s="23"/>
      <c r="AV70" s="23"/>
      <c r="AW70" s="23"/>
      <c r="AX70" s="11"/>
      <c r="AY70" s="23"/>
      <c r="AZ70" s="23"/>
      <c r="BA70" s="23"/>
      <c r="BB70" s="11"/>
      <c r="BC70" s="23"/>
      <c r="BD70" s="23"/>
      <c r="BE70" s="23"/>
      <c r="BF70" s="11"/>
      <c r="BG70" s="23"/>
      <c r="BH70" s="23"/>
      <c r="BI70" s="23"/>
      <c r="BJ70" s="11"/>
      <c r="BK70" s="23"/>
      <c r="BL70" s="23"/>
      <c r="BM70" s="23"/>
      <c r="BN70" s="11"/>
      <c r="BO70" s="23"/>
      <c r="BP70" s="23"/>
      <c r="BQ70" s="23"/>
      <c r="BR70" s="11"/>
      <c r="BS70" s="23"/>
      <c r="BT70" s="23"/>
      <c r="BU70" s="23"/>
      <c r="BV70" s="11"/>
      <c r="BW70" s="23"/>
      <c r="BX70" s="23"/>
      <c r="BY70" s="23"/>
      <c r="BZ70" s="11"/>
      <c r="CA70" s="3"/>
      <c r="CB70" s="3"/>
      <c r="CC70" s="3"/>
      <c r="CD70" s="3"/>
      <c r="CE70" s="3"/>
      <c r="CF70" s="3"/>
      <c r="CG70" s="3"/>
      <c r="CH70" s="3"/>
      <c r="CI70" s="3"/>
      <c r="CJ70" s="3"/>
      <c r="CK70" s="3"/>
      <c r="CL70" s="3"/>
      <c r="CM70" s="3"/>
      <c r="CN70" s="3"/>
      <c r="CO70" s="3"/>
      <c r="CP70" s="3"/>
      <c r="CQ70" s="3"/>
      <c r="CR70" s="3"/>
      <c r="CS70" s="3"/>
      <c r="CT70" s="3"/>
    </row>
    <row r="71" spans="1:98" x14ac:dyDescent="0.2">
      <c r="A71" s="109"/>
      <c r="B71" s="144"/>
      <c r="C71" s="23"/>
      <c r="D71" s="23"/>
      <c r="E71" s="23"/>
      <c r="F71" s="11"/>
      <c r="G71" s="23"/>
      <c r="H71" s="23"/>
      <c r="I71" s="23"/>
      <c r="J71" s="11"/>
      <c r="K71" s="23"/>
      <c r="L71" s="23"/>
      <c r="M71" s="23"/>
      <c r="N71" s="11"/>
      <c r="O71" s="23"/>
      <c r="P71" s="23"/>
      <c r="Q71" s="23"/>
      <c r="R71" s="11"/>
      <c r="S71" s="23"/>
      <c r="T71" s="23"/>
      <c r="U71" s="23"/>
      <c r="V71" s="11"/>
      <c r="W71" s="23"/>
      <c r="X71" s="23"/>
      <c r="Y71" s="23"/>
      <c r="Z71" s="11"/>
      <c r="AA71" s="23"/>
      <c r="AB71" s="23"/>
      <c r="AC71" s="23"/>
      <c r="AD71" s="11"/>
      <c r="AE71" s="23"/>
      <c r="AF71" s="23"/>
      <c r="AG71" s="23"/>
      <c r="AH71" s="11"/>
      <c r="AI71" s="23"/>
      <c r="AJ71" s="23"/>
      <c r="AK71" s="23"/>
      <c r="AL71" s="11"/>
      <c r="AM71" s="23"/>
      <c r="AN71" s="23"/>
      <c r="AO71" s="23"/>
      <c r="AP71" s="11"/>
      <c r="AQ71" s="23"/>
      <c r="AR71" s="23"/>
      <c r="AS71" s="23"/>
      <c r="AT71" s="11"/>
      <c r="AU71" s="23"/>
      <c r="AV71" s="23"/>
      <c r="AW71" s="23"/>
      <c r="AX71" s="11"/>
      <c r="AY71" s="23"/>
      <c r="AZ71" s="23"/>
      <c r="BA71" s="23"/>
      <c r="BB71" s="11"/>
      <c r="BC71" s="23"/>
      <c r="BD71" s="23"/>
      <c r="BE71" s="23"/>
      <c r="BF71" s="11"/>
      <c r="BG71" s="23"/>
      <c r="BH71" s="23"/>
      <c r="BI71" s="23"/>
      <c r="BJ71" s="11"/>
      <c r="BK71" s="23"/>
      <c r="BL71" s="23"/>
      <c r="BM71" s="23"/>
      <c r="BN71" s="11"/>
      <c r="BO71" s="23"/>
      <c r="BP71" s="23"/>
      <c r="BQ71" s="23"/>
      <c r="BR71" s="11"/>
      <c r="BS71" s="23"/>
      <c r="BT71" s="23"/>
      <c r="BU71" s="23"/>
      <c r="BV71" s="11"/>
      <c r="BW71" s="23"/>
      <c r="BX71" s="23"/>
      <c r="BY71" s="23"/>
      <c r="BZ71" s="11"/>
      <c r="CA71" s="3"/>
      <c r="CB71" s="3"/>
      <c r="CC71" s="3"/>
      <c r="CD71" s="3"/>
      <c r="CE71" s="3"/>
      <c r="CF71" s="3"/>
      <c r="CG71" s="3"/>
      <c r="CH71" s="3"/>
      <c r="CI71" s="3"/>
      <c r="CJ71" s="3"/>
      <c r="CK71" s="3"/>
      <c r="CL71" s="3"/>
      <c r="CM71" s="3"/>
      <c r="CN71" s="3"/>
      <c r="CO71" s="3"/>
      <c r="CP71" s="3"/>
      <c r="CQ71" s="3"/>
      <c r="CR71" s="3"/>
      <c r="CS71" s="3"/>
      <c r="CT71" s="3"/>
    </row>
    <row r="72" spans="1:98" x14ac:dyDescent="0.2">
      <c r="A72" s="109"/>
      <c r="B72" s="144"/>
      <c r="C72" s="23"/>
      <c r="D72" s="23"/>
      <c r="E72" s="23"/>
      <c r="F72" s="11"/>
      <c r="G72" s="23"/>
      <c r="H72" s="23"/>
      <c r="I72" s="23"/>
      <c r="J72" s="11"/>
      <c r="K72" s="23"/>
      <c r="L72" s="23"/>
      <c r="M72" s="23"/>
      <c r="N72" s="11"/>
      <c r="O72" s="23"/>
      <c r="P72" s="23"/>
      <c r="Q72" s="23"/>
      <c r="R72" s="11"/>
      <c r="S72" s="23"/>
      <c r="T72" s="23"/>
      <c r="U72" s="23"/>
      <c r="V72" s="11"/>
      <c r="W72" s="23"/>
      <c r="X72" s="23"/>
      <c r="Y72" s="23"/>
      <c r="Z72" s="11"/>
      <c r="AA72" s="23"/>
      <c r="AB72" s="23"/>
      <c r="AC72" s="23"/>
      <c r="AD72" s="11"/>
      <c r="AE72" s="23"/>
      <c r="AF72" s="23"/>
      <c r="AG72" s="23"/>
      <c r="AH72" s="11"/>
      <c r="AI72" s="23"/>
      <c r="AJ72" s="23"/>
      <c r="AK72" s="23"/>
      <c r="AL72" s="11"/>
      <c r="AM72" s="23"/>
      <c r="AN72" s="23"/>
      <c r="AO72" s="23"/>
      <c r="AP72" s="11"/>
      <c r="AQ72" s="23"/>
      <c r="AR72" s="23"/>
      <c r="AS72" s="23"/>
      <c r="AT72" s="11"/>
      <c r="AU72" s="23"/>
      <c r="AV72" s="23"/>
      <c r="AW72" s="23"/>
      <c r="AX72" s="11"/>
      <c r="AY72" s="23"/>
      <c r="AZ72" s="23"/>
      <c r="BA72" s="23"/>
      <c r="BB72" s="11"/>
      <c r="BC72" s="23"/>
      <c r="BD72" s="23"/>
      <c r="BE72" s="23"/>
      <c r="BF72" s="11"/>
      <c r="BG72" s="23"/>
      <c r="BH72" s="23"/>
      <c r="BI72" s="23"/>
      <c r="BJ72" s="11"/>
      <c r="BK72" s="23"/>
      <c r="BL72" s="23"/>
      <c r="BM72" s="23"/>
      <c r="BN72" s="11"/>
      <c r="BO72" s="23"/>
      <c r="BP72" s="23"/>
      <c r="BQ72" s="23"/>
      <c r="BR72" s="11"/>
      <c r="BS72" s="23"/>
      <c r="BT72" s="23"/>
      <c r="BU72" s="23"/>
      <c r="BV72" s="11"/>
      <c r="BW72" s="23"/>
      <c r="BX72" s="23"/>
      <c r="BY72" s="23"/>
      <c r="BZ72" s="11"/>
      <c r="CA72" s="3"/>
      <c r="CB72" s="3"/>
      <c r="CC72" s="3"/>
      <c r="CD72" s="3"/>
      <c r="CE72" s="3"/>
      <c r="CF72" s="3"/>
      <c r="CG72" s="3"/>
      <c r="CH72" s="3"/>
      <c r="CI72" s="3"/>
      <c r="CJ72" s="3"/>
      <c r="CK72" s="3"/>
      <c r="CL72" s="3"/>
      <c r="CM72" s="3"/>
      <c r="CN72" s="3"/>
      <c r="CO72" s="3"/>
      <c r="CP72" s="3"/>
      <c r="CQ72" s="3"/>
      <c r="CR72" s="3"/>
      <c r="CS72" s="3"/>
      <c r="CT72" s="3"/>
    </row>
    <row r="73" spans="1:98" x14ac:dyDescent="0.2">
      <c r="A73" s="109"/>
      <c r="B73" s="23"/>
      <c r="C73" s="23"/>
      <c r="D73" s="23"/>
      <c r="E73" s="23"/>
      <c r="F73" s="11"/>
      <c r="G73" s="23"/>
      <c r="H73" s="23"/>
      <c r="I73" s="23"/>
      <c r="J73" s="11"/>
      <c r="K73" s="23"/>
      <c r="L73" s="23"/>
      <c r="M73" s="23"/>
      <c r="N73" s="11"/>
      <c r="O73" s="23"/>
      <c r="P73" s="23"/>
      <c r="Q73" s="23"/>
      <c r="R73" s="11"/>
      <c r="S73" s="23"/>
      <c r="T73" s="23"/>
      <c r="U73" s="23"/>
      <c r="V73" s="11"/>
      <c r="W73" s="23"/>
      <c r="X73" s="23"/>
      <c r="Y73" s="23"/>
      <c r="Z73" s="11"/>
      <c r="AA73" s="23"/>
      <c r="AB73" s="23"/>
      <c r="AC73" s="23"/>
      <c r="AD73" s="11"/>
      <c r="AE73" s="23"/>
      <c r="AF73" s="23"/>
      <c r="AG73" s="23"/>
      <c r="AH73" s="11"/>
      <c r="AI73" s="23"/>
      <c r="AJ73" s="23"/>
      <c r="AK73" s="23"/>
      <c r="AL73" s="11"/>
      <c r="AM73" s="23"/>
      <c r="AN73" s="23"/>
      <c r="AO73" s="23"/>
      <c r="AP73" s="11"/>
      <c r="AQ73" s="23"/>
      <c r="AR73" s="23"/>
      <c r="AS73" s="23"/>
      <c r="AT73" s="11"/>
      <c r="AU73" s="23"/>
      <c r="AV73" s="23"/>
      <c r="AW73" s="23"/>
      <c r="AX73" s="11"/>
      <c r="AY73" s="23"/>
      <c r="AZ73" s="23"/>
      <c r="BA73" s="23"/>
      <c r="BB73" s="11"/>
      <c r="BC73" s="23"/>
      <c r="BD73" s="23"/>
      <c r="BE73" s="23"/>
      <c r="BF73" s="11"/>
      <c r="BG73" s="23"/>
      <c r="BH73" s="23"/>
      <c r="BI73" s="23"/>
      <c r="BJ73" s="11"/>
      <c r="BK73" s="23"/>
      <c r="BL73" s="23"/>
      <c r="BM73" s="23"/>
      <c r="BN73" s="11"/>
      <c r="BO73" s="23"/>
      <c r="BP73" s="23"/>
      <c r="BQ73" s="23"/>
      <c r="BR73" s="11"/>
      <c r="BS73" s="23"/>
      <c r="BT73" s="23"/>
      <c r="BU73" s="23"/>
      <c r="BV73" s="11"/>
      <c r="BW73" s="23"/>
      <c r="BX73" s="23"/>
      <c r="BY73" s="23"/>
      <c r="BZ73" s="11"/>
      <c r="CA73" s="3"/>
      <c r="CB73" s="3"/>
      <c r="CC73" s="3"/>
      <c r="CD73" s="3"/>
      <c r="CE73" s="3"/>
      <c r="CF73" s="3"/>
      <c r="CG73" s="3"/>
      <c r="CH73" s="3"/>
      <c r="CI73" s="3"/>
      <c r="CJ73" s="3"/>
      <c r="CK73" s="3"/>
      <c r="CL73" s="3"/>
      <c r="CM73" s="3"/>
      <c r="CN73" s="3"/>
      <c r="CO73" s="3"/>
      <c r="CP73" s="3"/>
      <c r="CQ73" s="3"/>
      <c r="CR73" s="3"/>
      <c r="CS73" s="3"/>
      <c r="CT73" s="3"/>
    </row>
    <row r="74" spans="1:98" x14ac:dyDescent="0.2">
      <c r="A74" s="109"/>
      <c r="B74" s="67" t="s">
        <v>77</v>
      </c>
      <c r="C74" s="23"/>
      <c r="D74" s="23"/>
      <c r="E74" s="23"/>
      <c r="F74" s="11"/>
      <c r="G74" s="23"/>
      <c r="H74" s="23"/>
      <c r="I74" s="23"/>
      <c r="J74" s="11"/>
      <c r="K74" s="23"/>
      <c r="L74" s="23"/>
      <c r="M74" s="23"/>
      <c r="N74" s="11"/>
      <c r="O74" s="23"/>
      <c r="P74" s="23"/>
      <c r="Q74" s="23"/>
      <c r="R74" s="11"/>
      <c r="S74" s="23"/>
      <c r="T74" s="23"/>
      <c r="U74" s="23"/>
      <c r="V74" s="11"/>
      <c r="W74" s="23"/>
      <c r="X74" s="23"/>
      <c r="Y74" s="23"/>
      <c r="Z74" s="11"/>
      <c r="AA74" s="23"/>
      <c r="AB74" s="23"/>
      <c r="AC74" s="23"/>
      <c r="AD74" s="11"/>
      <c r="AE74" s="23"/>
      <c r="AF74" s="23"/>
      <c r="AG74" s="23"/>
      <c r="AH74" s="11"/>
      <c r="AI74" s="23"/>
      <c r="AJ74" s="23"/>
      <c r="AK74" s="23"/>
      <c r="AL74" s="11"/>
      <c r="AM74" s="23"/>
      <c r="AN74" s="23"/>
      <c r="AO74" s="23"/>
      <c r="AP74" s="11"/>
      <c r="AQ74" s="23"/>
      <c r="AR74" s="23"/>
      <c r="AS74" s="23"/>
      <c r="AT74" s="11"/>
      <c r="AU74" s="23"/>
      <c r="AV74" s="23"/>
      <c r="AW74" s="23"/>
      <c r="AX74" s="11"/>
      <c r="AY74" s="23"/>
      <c r="AZ74" s="23"/>
      <c r="BA74" s="23"/>
      <c r="BB74" s="11"/>
      <c r="BC74" s="23"/>
      <c r="BD74" s="23"/>
      <c r="BE74" s="23"/>
      <c r="BF74" s="11"/>
      <c r="BG74" s="23"/>
      <c r="BH74" s="23"/>
      <c r="BI74" s="23"/>
      <c r="BJ74" s="11"/>
      <c r="BK74" s="23"/>
      <c r="BL74" s="23"/>
      <c r="BM74" s="23"/>
      <c r="BN74" s="11"/>
      <c r="BO74" s="23"/>
      <c r="BP74" s="23"/>
      <c r="BQ74" s="23"/>
      <c r="BR74" s="11"/>
      <c r="BS74" s="23"/>
      <c r="BT74" s="23"/>
      <c r="BU74" s="23"/>
      <c r="BV74" s="11"/>
      <c r="BW74" s="23"/>
      <c r="BX74" s="23"/>
      <c r="BY74" s="23"/>
      <c r="BZ74" s="11"/>
      <c r="CA74" s="3"/>
      <c r="CB74" s="3"/>
      <c r="CC74" s="3"/>
      <c r="CD74" s="3"/>
      <c r="CE74" s="3"/>
      <c r="CF74" s="3"/>
      <c r="CG74" s="3"/>
      <c r="CH74" s="3"/>
      <c r="CI74" s="3"/>
      <c r="CJ74" s="3"/>
      <c r="CK74" s="3"/>
      <c r="CL74" s="3"/>
      <c r="CM74" s="3"/>
      <c r="CN74" s="3"/>
      <c r="CO74" s="3"/>
      <c r="CP74" s="3"/>
      <c r="CQ74" s="3"/>
      <c r="CR74" s="3"/>
      <c r="CS74" s="3"/>
      <c r="CT74" s="3"/>
    </row>
    <row r="75" spans="1:98" x14ac:dyDescent="0.2">
      <c r="A75" s="109"/>
      <c r="B75" s="105" t="s">
        <v>68</v>
      </c>
      <c r="C75" s="104"/>
      <c r="D75" s="23"/>
      <c r="E75" s="23"/>
      <c r="F75" s="11"/>
      <c r="G75" s="41"/>
      <c r="H75" s="23"/>
      <c r="I75" s="23"/>
      <c r="J75" s="11"/>
      <c r="K75" s="41"/>
      <c r="L75" s="23"/>
      <c r="M75" s="23"/>
      <c r="N75" s="11"/>
      <c r="O75" s="104" t="s">
        <v>177</v>
      </c>
      <c r="P75" s="23"/>
      <c r="Q75" s="23"/>
      <c r="R75" s="11"/>
      <c r="S75" s="104" t="s">
        <v>177</v>
      </c>
      <c r="T75" s="23"/>
      <c r="U75" s="23"/>
      <c r="V75" s="11"/>
      <c r="W75" s="41"/>
      <c r="X75" s="23"/>
      <c r="Y75" s="23"/>
      <c r="Z75" s="11"/>
      <c r="AA75" s="41"/>
      <c r="AB75" s="23"/>
      <c r="AC75" s="23"/>
      <c r="AD75" s="11"/>
      <c r="AE75" s="41"/>
      <c r="AF75" s="23"/>
      <c r="AG75" s="23"/>
      <c r="AH75" s="11"/>
      <c r="AI75" s="41"/>
      <c r="AJ75" s="23"/>
      <c r="AK75" s="23"/>
      <c r="AL75" s="11"/>
      <c r="AM75" s="41"/>
      <c r="AN75" s="23"/>
      <c r="AO75" s="23"/>
      <c r="AP75" s="11"/>
      <c r="AQ75" s="41"/>
      <c r="AR75" s="23"/>
      <c r="AS75" s="23"/>
      <c r="AT75" s="11"/>
      <c r="AU75" s="41"/>
      <c r="AV75" s="23"/>
      <c r="AW75" s="23"/>
      <c r="AX75" s="11"/>
      <c r="AY75" s="23"/>
      <c r="AZ75" s="23"/>
      <c r="BA75" s="23"/>
      <c r="BB75" s="11"/>
      <c r="BC75" s="23"/>
      <c r="BD75" s="23"/>
      <c r="BE75" s="23"/>
      <c r="BF75" s="11"/>
      <c r="BG75" s="23"/>
      <c r="BH75" s="23"/>
      <c r="BI75" s="23"/>
      <c r="BJ75" s="11"/>
      <c r="BK75" s="23"/>
      <c r="BL75" s="23"/>
      <c r="BM75" s="23"/>
      <c r="BN75" s="11"/>
      <c r="BO75" s="23"/>
      <c r="BP75" s="23"/>
      <c r="BQ75" s="23"/>
      <c r="BR75" s="11"/>
      <c r="BS75" s="23"/>
      <c r="BT75" s="23"/>
      <c r="BU75" s="23"/>
      <c r="BV75" s="11"/>
      <c r="BW75" s="23"/>
      <c r="BX75" s="23"/>
      <c r="BY75" s="23"/>
      <c r="BZ75" s="11"/>
      <c r="CA75" s="3"/>
      <c r="CB75" s="3"/>
      <c r="CC75" s="3"/>
      <c r="CD75" s="3"/>
      <c r="CE75" s="3"/>
      <c r="CF75" s="3"/>
      <c r="CG75" s="3"/>
      <c r="CH75" s="3"/>
      <c r="CI75" s="3"/>
      <c r="CJ75" s="3"/>
      <c r="CK75" s="3"/>
      <c r="CL75" s="3"/>
      <c r="CM75" s="3"/>
      <c r="CN75" s="3"/>
      <c r="CO75" s="3"/>
      <c r="CP75" s="3"/>
      <c r="CQ75" s="3"/>
      <c r="CR75" s="3"/>
      <c r="CS75" s="3"/>
      <c r="CT75" s="3"/>
    </row>
    <row r="76" spans="1:98" x14ac:dyDescent="0.2">
      <c r="A76" s="109"/>
      <c r="B76" s="23"/>
      <c r="C76" s="23"/>
      <c r="D76" s="23"/>
      <c r="E76" s="23"/>
      <c r="F76" s="11"/>
      <c r="G76" s="23"/>
      <c r="H76" s="23"/>
      <c r="I76" s="23"/>
      <c r="J76" s="11"/>
      <c r="K76" s="23"/>
      <c r="L76" s="23"/>
      <c r="M76" s="23"/>
      <c r="N76" s="11"/>
      <c r="O76" s="23"/>
      <c r="P76" s="23"/>
      <c r="Q76" s="23"/>
      <c r="R76" s="11"/>
      <c r="S76" s="23"/>
      <c r="T76" s="23"/>
      <c r="U76" s="23"/>
      <c r="V76" s="11"/>
      <c r="W76" s="23"/>
      <c r="X76" s="23"/>
      <c r="Y76" s="23"/>
      <c r="Z76" s="11"/>
      <c r="AA76" s="23"/>
      <c r="AB76" s="23"/>
      <c r="AC76" s="23"/>
      <c r="AD76" s="11"/>
      <c r="AE76" s="23"/>
      <c r="AF76" s="23"/>
      <c r="AG76" s="23"/>
      <c r="AH76" s="11"/>
      <c r="AI76" s="23"/>
      <c r="AJ76" s="23"/>
      <c r="AK76" s="23"/>
      <c r="AL76" s="11"/>
      <c r="AM76" s="23"/>
      <c r="AN76" s="23"/>
      <c r="AO76" s="23"/>
      <c r="AP76" s="11"/>
      <c r="AQ76" s="23"/>
      <c r="AR76" s="23"/>
      <c r="AS76" s="23"/>
      <c r="AT76" s="11"/>
      <c r="AU76" s="23"/>
      <c r="AV76" s="23"/>
      <c r="AW76" s="23"/>
      <c r="AX76" s="11"/>
      <c r="AY76" s="23"/>
      <c r="AZ76" s="23"/>
      <c r="BA76" s="23"/>
      <c r="BB76" s="11"/>
      <c r="BC76" s="23"/>
      <c r="BD76" s="23"/>
      <c r="BE76" s="23"/>
      <c r="BF76" s="11"/>
      <c r="BG76" s="23"/>
      <c r="BH76" s="23"/>
      <c r="BI76" s="23"/>
      <c r="BJ76" s="11"/>
      <c r="BK76" s="23"/>
      <c r="BL76" s="23"/>
      <c r="BM76" s="23"/>
      <c r="BN76" s="11"/>
      <c r="BO76" s="23"/>
      <c r="BP76" s="23"/>
      <c r="BQ76" s="23"/>
      <c r="BR76" s="11"/>
      <c r="BS76" s="23"/>
      <c r="BT76" s="23"/>
      <c r="BU76" s="23"/>
      <c r="BV76" s="11"/>
      <c r="BW76" s="23"/>
      <c r="BX76" s="23"/>
      <c r="BY76" s="23"/>
      <c r="BZ76" s="11"/>
      <c r="CA76" s="3"/>
      <c r="CB76" s="3"/>
      <c r="CC76" s="3"/>
      <c r="CD76" s="3"/>
      <c r="CE76" s="3"/>
      <c r="CF76" s="3"/>
      <c r="CG76" s="3"/>
      <c r="CH76" s="3"/>
      <c r="CI76" s="3"/>
      <c r="CJ76" s="3"/>
      <c r="CK76" s="3"/>
      <c r="CL76" s="3"/>
      <c r="CM76" s="3"/>
      <c r="CN76" s="3"/>
      <c r="CO76" s="3"/>
      <c r="CP76" s="3"/>
      <c r="CQ76" s="3"/>
      <c r="CR76" s="3"/>
      <c r="CS76" s="3"/>
      <c r="CT76" s="3"/>
    </row>
    <row r="77" spans="1:98" x14ac:dyDescent="0.2">
      <c r="A77" s="109"/>
      <c r="B77" s="144"/>
      <c r="C77" s="23"/>
      <c r="D77" s="23"/>
      <c r="E77" s="23"/>
      <c r="F77" s="11"/>
      <c r="G77" s="23"/>
      <c r="H77" s="23"/>
      <c r="I77" s="23"/>
      <c r="J77" s="11"/>
      <c r="K77" s="23"/>
      <c r="L77" s="23"/>
      <c r="M77" s="23"/>
      <c r="N77" s="11"/>
      <c r="O77" s="23"/>
      <c r="P77" s="23"/>
      <c r="Q77" s="23"/>
      <c r="R77" s="11"/>
      <c r="S77" s="23"/>
      <c r="T77" s="23"/>
      <c r="U77" s="23"/>
      <c r="V77" s="11"/>
      <c r="W77" s="23"/>
      <c r="X77" s="23"/>
      <c r="Y77" s="23"/>
      <c r="Z77" s="11"/>
      <c r="AA77" s="23"/>
      <c r="AB77" s="23"/>
      <c r="AC77" s="23"/>
      <c r="AD77" s="11"/>
      <c r="AE77" s="23"/>
      <c r="AF77" s="23"/>
      <c r="AG77" s="23"/>
      <c r="AH77" s="11"/>
      <c r="AI77" s="23"/>
      <c r="AJ77" s="23"/>
      <c r="AK77" s="23"/>
      <c r="AL77" s="11"/>
      <c r="AM77" s="23"/>
      <c r="AN77" s="23"/>
      <c r="AO77" s="23"/>
      <c r="AP77" s="11"/>
      <c r="AQ77" s="23"/>
      <c r="AR77" s="23"/>
      <c r="AS77" s="23"/>
      <c r="AT77" s="11"/>
      <c r="AU77" s="23"/>
      <c r="AV77" s="23"/>
      <c r="AW77" s="23"/>
      <c r="AX77" s="11"/>
      <c r="AY77" s="23"/>
      <c r="AZ77" s="23"/>
      <c r="BA77" s="23"/>
      <c r="BB77" s="11"/>
      <c r="BC77" s="23"/>
      <c r="BD77" s="23"/>
      <c r="BE77" s="23"/>
      <c r="BF77" s="11"/>
      <c r="BG77" s="23"/>
      <c r="BH77" s="23"/>
      <c r="BI77" s="23"/>
      <c r="BJ77" s="11"/>
      <c r="BK77" s="23"/>
      <c r="BL77" s="23"/>
      <c r="BM77" s="23"/>
      <c r="BN77" s="11"/>
      <c r="BO77" s="23"/>
      <c r="BP77" s="23"/>
      <c r="BQ77" s="23"/>
      <c r="BR77" s="11"/>
      <c r="BS77" s="23"/>
      <c r="BT77" s="23"/>
      <c r="BU77" s="23"/>
      <c r="BV77" s="11"/>
      <c r="BW77" s="23"/>
      <c r="BX77" s="23"/>
      <c r="BY77" s="23"/>
      <c r="BZ77" s="11"/>
      <c r="CA77" s="3"/>
      <c r="CB77" s="3"/>
      <c r="CC77" s="3"/>
      <c r="CD77" s="3"/>
      <c r="CE77" s="3"/>
      <c r="CF77" s="3"/>
      <c r="CG77" s="3"/>
      <c r="CH77" s="3"/>
      <c r="CI77" s="3"/>
      <c r="CJ77" s="3"/>
      <c r="CK77" s="3"/>
      <c r="CL77" s="3"/>
      <c r="CM77" s="3"/>
      <c r="CN77" s="3"/>
      <c r="CO77" s="3"/>
      <c r="CP77" s="3"/>
      <c r="CQ77" s="3"/>
      <c r="CR77" s="3"/>
      <c r="CS77" s="3"/>
      <c r="CT77" s="3"/>
    </row>
    <row r="78" spans="1:98" ht="15.75" x14ac:dyDescent="0.3">
      <c r="A78" s="109"/>
      <c r="B78" s="173" t="s">
        <v>99</v>
      </c>
      <c r="C78" s="23"/>
      <c r="D78" s="23"/>
      <c r="E78" s="23"/>
      <c r="F78" s="11"/>
      <c r="G78" s="23"/>
      <c r="H78" s="23"/>
      <c r="I78" s="23"/>
      <c r="J78" s="11"/>
      <c r="K78" s="23"/>
      <c r="L78" s="23"/>
      <c r="M78" s="23"/>
      <c r="N78" s="11"/>
      <c r="O78" s="23"/>
      <c r="P78" s="23"/>
      <c r="Q78" s="23"/>
      <c r="R78" s="11"/>
      <c r="S78" s="23"/>
      <c r="T78" s="23"/>
      <c r="U78" s="23"/>
      <c r="V78" s="11"/>
      <c r="W78" s="23"/>
      <c r="X78" s="23"/>
      <c r="Y78" s="23"/>
      <c r="Z78" s="11"/>
      <c r="AA78" s="23"/>
      <c r="AB78" s="23"/>
      <c r="AC78" s="23"/>
      <c r="AD78" s="11"/>
      <c r="AE78" s="23"/>
      <c r="AF78" s="23"/>
      <c r="AG78" s="23"/>
      <c r="AH78" s="11"/>
      <c r="AI78" s="23"/>
      <c r="AJ78" s="23"/>
      <c r="AK78" s="23"/>
      <c r="AL78" s="11"/>
      <c r="AM78" s="23"/>
      <c r="AN78" s="23"/>
      <c r="AO78" s="23"/>
      <c r="AP78" s="11"/>
      <c r="AQ78" s="23"/>
      <c r="AR78" s="23"/>
      <c r="AS78" s="23"/>
      <c r="AT78" s="11"/>
      <c r="AU78" s="23"/>
      <c r="AV78" s="23"/>
      <c r="AW78" s="23"/>
      <c r="AX78" s="11"/>
      <c r="AY78" s="23"/>
      <c r="AZ78" s="23"/>
      <c r="BA78" s="23"/>
      <c r="BB78" s="11"/>
      <c r="BC78" s="23"/>
      <c r="BD78" s="23"/>
      <c r="BE78" s="23"/>
      <c r="BF78" s="11"/>
      <c r="BG78" s="23"/>
      <c r="BH78" s="23"/>
      <c r="BI78" s="23"/>
      <c r="BJ78" s="11"/>
      <c r="BK78" s="23"/>
      <c r="BL78" s="23"/>
      <c r="BM78" s="23"/>
      <c r="BN78" s="11"/>
      <c r="BO78" s="23"/>
      <c r="BP78" s="23"/>
      <c r="BQ78" s="23"/>
      <c r="BR78" s="11"/>
      <c r="BS78" s="23"/>
      <c r="BT78" s="23"/>
      <c r="BU78" s="23"/>
      <c r="BV78" s="11"/>
      <c r="BW78" s="23"/>
      <c r="BX78" s="23"/>
      <c r="BY78" s="23"/>
      <c r="BZ78" s="11"/>
      <c r="CA78" s="3"/>
      <c r="CB78" s="3"/>
      <c r="CC78" s="3"/>
      <c r="CD78" s="3"/>
      <c r="CE78" s="3"/>
      <c r="CF78" s="3"/>
      <c r="CG78" s="3"/>
      <c r="CH78" s="3"/>
      <c r="CI78" s="3"/>
      <c r="CJ78" s="3"/>
      <c r="CK78" s="3"/>
      <c r="CL78" s="3"/>
      <c r="CM78" s="3"/>
      <c r="CN78" s="3"/>
      <c r="CO78" s="3"/>
      <c r="CP78" s="3"/>
      <c r="CQ78" s="3"/>
      <c r="CR78" s="3"/>
      <c r="CS78" s="3"/>
      <c r="CT78" s="3"/>
    </row>
    <row r="79" spans="1:98" ht="15.75" x14ac:dyDescent="0.3">
      <c r="A79" s="109"/>
      <c r="B79" s="173" t="s">
        <v>64</v>
      </c>
      <c r="C79" s="23"/>
      <c r="D79" s="23"/>
      <c r="E79" s="23"/>
      <c r="F79" s="11"/>
      <c r="G79" s="23"/>
      <c r="H79" s="23"/>
      <c r="I79" s="23"/>
      <c r="J79" s="11"/>
      <c r="K79" s="23"/>
      <c r="L79" s="23"/>
      <c r="M79" s="23"/>
      <c r="N79" s="11"/>
      <c r="O79" s="23"/>
      <c r="P79" s="23"/>
      <c r="Q79" s="23"/>
      <c r="R79" s="11"/>
      <c r="S79" s="23"/>
      <c r="T79" s="23"/>
      <c r="U79" s="23"/>
      <c r="V79" s="11"/>
      <c r="W79" s="23"/>
      <c r="X79" s="23"/>
      <c r="Y79" s="23"/>
      <c r="Z79" s="11"/>
      <c r="AA79" s="23"/>
      <c r="AB79" s="23"/>
      <c r="AC79" s="23"/>
      <c r="AD79" s="11"/>
      <c r="AE79" s="23"/>
      <c r="AF79" s="23"/>
      <c r="AG79" s="23"/>
      <c r="AH79" s="11"/>
      <c r="AI79" s="23"/>
      <c r="AJ79" s="23"/>
      <c r="AK79" s="23"/>
      <c r="AL79" s="11"/>
      <c r="AM79" s="23"/>
      <c r="AN79" s="23"/>
      <c r="AO79" s="23"/>
      <c r="AP79" s="11"/>
      <c r="AQ79" s="23"/>
      <c r="AR79" s="23"/>
      <c r="AS79" s="23"/>
      <c r="AT79" s="11"/>
      <c r="AU79" s="23"/>
      <c r="AV79" s="23"/>
      <c r="AW79" s="23"/>
      <c r="AX79" s="11"/>
      <c r="AY79" s="23"/>
      <c r="AZ79" s="23"/>
      <c r="BA79" s="23"/>
      <c r="BB79" s="11"/>
      <c r="BC79" s="23"/>
      <c r="BD79" s="23"/>
      <c r="BE79" s="23"/>
      <c r="BF79" s="11"/>
      <c r="BG79" s="23"/>
      <c r="BH79" s="23"/>
      <c r="BI79" s="23"/>
      <c r="BJ79" s="11"/>
      <c r="BK79" s="23"/>
      <c r="BL79" s="23"/>
      <c r="BM79" s="23"/>
      <c r="BN79" s="11"/>
      <c r="BO79" s="23"/>
      <c r="BP79" s="23"/>
      <c r="BQ79" s="23"/>
      <c r="BR79" s="11"/>
      <c r="BS79" s="23"/>
      <c r="BT79" s="23"/>
      <c r="BU79" s="23"/>
      <c r="BV79" s="11"/>
      <c r="BW79" s="23"/>
      <c r="BX79" s="23"/>
      <c r="BY79" s="23"/>
      <c r="BZ79" s="11"/>
      <c r="CA79" s="3"/>
      <c r="CB79" s="3"/>
      <c r="CC79" s="3"/>
      <c r="CD79" s="3"/>
      <c r="CE79" s="3"/>
      <c r="CF79" s="3"/>
      <c r="CG79" s="3"/>
      <c r="CH79" s="3"/>
      <c r="CI79" s="3"/>
      <c r="CJ79" s="3"/>
      <c r="CK79" s="3"/>
      <c r="CL79" s="3"/>
      <c r="CM79" s="3"/>
      <c r="CN79" s="3"/>
      <c r="CO79" s="3"/>
      <c r="CP79" s="3"/>
      <c r="CQ79" s="3"/>
      <c r="CR79" s="3"/>
      <c r="CS79" s="3"/>
      <c r="CT79" s="3"/>
    </row>
    <row r="80" spans="1:98" x14ac:dyDescent="0.2">
      <c r="A80" s="109"/>
      <c r="B80" s="139" t="s">
        <v>75</v>
      </c>
      <c r="C80" s="23"/>
      <c r="D80" s="23"/>
      <c r="E80" s="23"/>
      <c r="F80" s="11"/>
      <c r="G80" s="23"/>
      <c r="H80" s="23"/>
      <c r="I80" s="23"/>
      <c r="J80" s="11"/>
      <c r="K80" s="23"/>
      <c r="L80" s="23"/>
      <c r="M80" s="23"/>
      <c r="N80" s="11"/>
      <c r="O80" s="23"/>
      <c r="P80" s="23"/>
      <c r="Q80" s="23"/>
      <c r="R80" s="11"/>
      <c r="S80" s="23"/>
      <c r="T80" s="23"/>
      <c r="U80" s="23"/>
      <c r="V80" s="11"/>
      <c r="W80" s="23"/>
      <c r="X80" s="23"/>
      <c r="Y80" s="23"/>
      <c r="Z80" s="11"/>
      <c r="AA80" s="23"/>
      <c r="AB80" s="23"/>
      <c r="AC80" s="23"/>
      <c r="AD80" s="11"/>
      <c r="AE80" s="23"/>
      <c r="AF80" s="23"/>
      <c r="AG80" s="23"/>
      <c r="AH80" s="11"/>
      <c r="AI80" s="23"/>
      <c r="AJ80" s="23"/>
      <c r="AK80" s="23"/>
      <c r="AL80" s="11"/>
      <c r="AM80" s="23"/>
      <c r="AN80" s="23"/>
      <c r="AO80" s="23"/>
      <c r="AP80" s="11"/>
      <c r="AQ80" s="23"/>
      <c r="AR80" s="23"/>
      <c r="AS80" s="23"/>
      <c r="AT80" s="11"/>
      <c r="AU80" s="23"/>
      <c r="AV80" s="23"/>
      <c r="AW80" s="23"/>
      <c r="AX80" s="11"/>
      <c r="AY80" s="23"/>
      <c r="AZ80" s="23"/>
      <c r="BA80" s="23"/>
      <c r="BB80" s="11"/>
      <c r="BC80" s="23"/>
      <c r="BD80" s="23"/>
      <c r="BE80" s="23"/>
      <c r="BF80" s="11"/>
      <c r="BG80" s="23"/>
      <c r="BH80" s="23"/>
      <c r="BI80" s="23"/>
      <c r="BJ80" s="11"/>
      <c r="BK80" s="23"/>
      <c r="BL80" s="23"/>
      <c r="BM80" s="23"/>
      <c r="BN80" s="11"/>
      <c r="BO80" s="23"/>
      <c r="BP80" s="23"/>
      <c r="BQ80" s="23"/>
      <c r="BR80" s="11"/>
      <c r="BS80" s="23"/>
      <c r="BT80" s="23"/>
      <c r="BU80" s="23"/>
      <c r="BV80" s="11"/>
      <c r="BW80" s="23"/>
      <c r="BX80" s="23"/>
      <c r="BY80" s="23"/>
      <c r="BZ80" s="11"/>
      <c r="CA80" s="3"/>
      <c r="CB80" s="3"/>
      <c r="CC80" s="3"/>
      <c r="CD80" s="3"/>
      <c r="CE80" s="3"/>
      <c r="CF80" s="3"/>
      <c r="CG80" s="3"/>
      <c r="CH80" s="3"/>
      <c r="CI80" s="3"/>
      <c r="CJ80" s="3"/>
      <c r="CK80" s="3"/>
      <c r="CL80" s="3"/>
      <c r="CM80" s="3"/>
      <c r="CN80" s="3"/>
      <c r="CO80" s="3"/>
      <c r="CP80" s="3"/>
      <c r="CQ80" s="3"/>
      <c r="CR80" s="3"/>
      <c r="CS80" s="3"/>
      <c r="CT80" s="3"/>
    </row>
    <row r="81" spans="1:98" x14ac:dyDescent="0.2">
      <c r="A81" s="109"/>
      <c r="B81" s="144"/>
      <c r="C81" s="23"/>
      <c r="D81" s="23"/>
      <c r="E81" s="23"/>
      <c r="F81" s="11"/>
      <c r="G81" s="23"/>
      <c r="H81" s="23"/>
      <c r="I81" s="23"/>
      <c r="J81" s="11"/>
      <c r="K81" s="23"/>
      <c r="L81" s="23"/>
      <c r="M81" s="23"/>
      <c r="N81" s="11"/>
      <c r="O81" s="23"/>
      <c r="P81" s="23"/>
      <c r="Q81" s="23"/>
      <c r="R81" s="11"/>
      <c r="S81" s="23"/>
      <c r="T81" s="23"/>
      <c r="U81" s="23"/>
      <c r="V81" s="11"/>
      <c r="W81" s="23"/>
      <c r="X81" s="23"/>
      <c r="Y81" s="23"/>
      <c r="Z81" s="11"/>
      <c r="AA81" s="23"/>
      <c r="AB81" s="23"/>
      <c r="AC81" s="23"/>
      <c r="AD81" s="11"/>
      <c r="AE81" s="23"/>
      <c r="AF81" s="23"/>
      <c r="AG81" s="23"/>
      <c r="AH81" s="11"/>
      <c r="AI81" s="23"/>
      <c r="AJ81" s="23"/>
      <c r="AK81" s="23"/>
      <c r="AL81" s="11"/>
      <c r="AM81" s="23"/>
      <c r="AN81" s="23"/>
      <c r="AO81" s="23"/>
      <c r="AP81" s="11"/>
      <c r="AQ81" s="23"/>
      <c r="AR81" s="23"/>
      <c r="AS81" s="23"/>
      <c r="AT81" s="11"/>
      <c r="AU81" s="23"/>
      <c r="AV81" s="23"/>
      <c r="AW81" s="23"/>
      <c r="AX81" s="11"/>
      <c r="AY81" s="23"/>
      <c r="AZ81" s="23"/>
      <c r="BA81" s="23"/>
      <c r="BB81" s="11"/>
      <c r="BC81" s="23"/>
      <c r="BD81" s="23"/>
      <c r="BE81" s="23"/>
      <c r="BF81" s="11"/>
      <c r="BG81" s="23"/>
      <c r="BH81" s="23"/>
      <c r="BI81" s="23"/>
      <c r="BJ81" s="11"/>
      <c r="BK81" s="23"/>
      <c r="BL81" s="23"/>
      <c r="BM81" s="23"/>
      <c r="BN81" s="11"/>
      <c r="BO81" s="23"/>
      <c r="BP81" s="23"/>
      <c r="BQ81" s="23"/>
      <c r="BR81" s="11"/>
      <c r="BS81" s="23"/>
      <c r="BT81" s="23"/>
      <c r="BU81" s="23"/>
      <c r="BV81" s="11"/>
      <c r="BW81" s="23"/>
      <c r="BX81" s="23"/>
      <c r="BY81" s="23"/>
      <c r="BZ81" s="11"/>
      <c r="CA81" s="3"/>
      <c r="CB81" s="3"/>
      <c r="CC81" s="3"/>
      <c r="CD81" s="3"/>
      <c r="CE81" s="3"/>
      <c r="CF81" s="3"/>
      <c r="CG81" s="3"/>
      <c r="CH81" s="3"/>
      <c r="CI81" s="3"/>
      <c r="CJ81" s="3"/>
      <c r="CK81" s="3"/>
      <c r="CL81" s="3"/>
      <c r="CM81" s="3"/>
      <c r="CN81" s="3"/>
      <c r="CO81" s="3"/>
      <c r="CP81" s="3"/>
      <c r="CQ81" s="3"/>
      <c r="CR81" s="3"/>
      <c r="CS81" s="3"/>
      <c r="CT81" s="3"/>
    </row>
    <row r="82" spans="1:98" x14ac:dyDescent="0.2">
      <c r="A82" s="109"/>
      <c r="B82" s="144"/>
      <c r="C82" s="23"/>
      <c r="D82" s="23"/>
      <c r="E82" s="23"/>
      <c r="F82" s="11"/>
      <c r="G82" s="23"/>
      <c r="H82" s="23"/>
      <c r="I82" s="23"/>
      <c r="J82" s="11"/>
      <c r="K82" s="23"/>
      <c r="L82" s="23"/>
      <c r="M82" s="23"/>
      <c r="N82" s="11"/>
      <c r="O82" s="23"/>
      <c r="P82" s="23"/>
      <c r="Q82" s="23"/>
      <c r="R82" s="11"/>
      <c r="S82" s="23"/>
      <c r="T82" s="23"/>
      <c r="U82" s="23"/>
      <c r="V82" s="11"/>
      <c r="W82" s="23"/>
      <c r="X82" s="23"/>
      <c r="Y82" s="23"/>
      <c r="Z82" s="11"/>
      <c r="AA82" s="23"/>
      <c r="AB82" s="23"/>
      <c r="AC82" s="23"/>
      <c r="AD82" s="11"/>
      <c r="AE82" s="23"/>
      <c r="AF82" s="23"/>
      <c r="AG82" s="23"/>
      <c r="AH82" s="11"/>
      <c r="AI82" s="23"/>
      <c r="AJ82" s="23"/>
      <c r="AK82" s="23"/>
      <c r="AL82" s="11"/>
      <c r="AM82" s="23"/>
      <c r="AN82" s="23"/>
      <c r="AO82" s="23"/>
      <c r="AP82" s="11"/>
      <c r="AQ82" s="23"/>
      <c r="AR82" s="23"/>
      <c r="AS82" s="23"/>
      <c r="AT82" s="11"/>
      <c r="AU82" s="23"/>
      <c r="AV82" s="23"/>
      <c r="AW82" s="23"/>
      <c r="AX82" s="11"/>
      <c r="AY82" s="23"/>
      <c r="AZ82" s="23"/>
      <c r="BA82" s="23"/>
      <c r="BB82" s="11"/>
      <c r="BC82" s="23"/>
      <c r="BD82" s="23"/>
      <c r="BE82" s="23"/>
      <c r="BF82" s="11"/>
      <c r="BG82" s="23"/>
      <c r="BH82" s="23"/>
      <c r="BI82" s="23"/>
      <c r="BJ82" s="11"/>
      <c r="BK82" s="23"/>
      <c r="BL82" s="23"/>
      <c r="BM82" s="23"/>
      <c r="BN82" s="11"/>
      <c r="BO82" s="23"/>
      <c r="BP82" s="23"/>
      <c r="BQ82" s="23"/>
      <c r="BR82" s="11"/>
      <c r="BS82" s="23"/>
      <c r="BT82" s="23"/>
      <c r="BU82" s="23"/>
      <c r="BV82" s="11"/>
      <c r="BW82" s="23"/>
      <c r="BX82" s="23"/>
      <c r="BY82" s="23"/>
      <c r="BZ82" s="11"/>
      <c r="CA82" s="3"/>
      <c r="CB82" s="3"/>
      <c r="CC82" s="3"/>
      <c r="CD82" s="3"/>
      <c r="CE82" s="3"/>
      <c r="CF82" s="3"/>
      <c r="CG82" s="3"/>
      <c r="CH82" s="3"/>
      <c r="CI82" s="3"/>
      <c r="CJ82" s="3"/>
      <c r="CK82" s="3"/>
      <c r="CL82" s="3"/>
      <c r="CM82" s="3"/>
      <c r="CN82" s="3"/>
      <c r="CO82" s="3"/>
      <c r="CP82" s="3"/>
      <c r="CQ82" s="3"/>
      <c r="CR82" s="3"/>
      <c r="CS82" s="3"/>
      <c r="CT82" s="3"/>
    </row>
    <row r="83" spans="1:98" x14ac:dyDescent="0.2">
      <c r="A83" s="109"/>
      <c r="B83" s="144"/>
      <c r="C83" s="23"/>
      <c r="D83" s="23"/>
      <c r="E83" s="23"/>
      <c r="F83" s="11"/>
      <c r="G83" s="23"/>
      <c r="H83" s="23"/>
      <c r="I83" s="23"/>
      <c r="J83" s="11"/>
      <c r="K83" s="23"/>
      <c r="L83" s="23"/>
      <c r="M83" s="23"/>
      <c r="N83" s="11"/>
      <c r="O83" s="23"/>
      <c r="P83" s="23"/>
      <c r="Q83" s="23"/>
      <c r="R83" s="11"/>
      <c r="S83" s="23"/>
      <c r="T83" s="23"/>
      <c r="U83" s="23"/>
      <c r="V83" s="11"/>
      <c r="W83" s="23"/>
      <c r="X83" s="23"/>
      <c r="Y83" s="23"/>
      <c r="Z83" s="11"/>
      <c r="AA83" s="23"/>
      <c r="AB83" s="23"/>
      <c r="AC83" s="23"/>
      <c r="AD83" s="11"/>
      <c r="AE83" s="23"/>
      <c r="AF83" s="23"/>
      <c r="AG83" s="23"/>
      <c r="AH83" s="11"/>
      <c r="AI83" s="23"/>
      <c r="AJ83" s="23"/>
      <c r="AK83" s="23"/>
      <c r="AL83" s="11"/>
      <c r="AM83" s="23"/>
      <c r="AN83" s="23"/>
      <c r="AO83" s="23"/>
      <c r="AP83" s="11"/>
      <c r="AQ83" s="23"/>
      <c r="AR83" s="23"/>
      <c r="AS83" s="23"/>
      <c r="AT83" s="11"/>
      <c r="AU83" s="23"/>
      <c r="AV83" s="23"/>
      <c r="AW83" s="23"/>
      <c r="AX83" s="11"/>
      <c r="AY83" s="23"/>
      <c r="AZ83" s="23"/>
      <c r="BA83" s="23"/>
      <c r="BB83" s="11"/>
      <c r="BC83" s="23"/>
      <c r="BD83" s="23"/>
      <c r="BE83" s="23"/>
      <c r="BF83" s="11"/>
      <c r="BG83" s="23"/>
      <c r="BH83" s="23"/>
      <c r="BI83" s="23"/>
      <c r="BJ83" s="11"/>
      <c r="BK83" s="23"/>
      <c r="BL83" s="23"/>
      <c r="BM83" s="23"/>
      <c r="BN83" s="11"/>
      <c r="BO83" s="23"/>
      <c r="BP83" s="23"/>
      <c r="BQ83" s="23"/>
      <c r="BR83" s="11"/>
      <c r="BS83" s="23"/>
      <c r="BT83" s="23"/>
      <c r="BU83" s="23"/>
      <c r="BV83" s="11"/>
      <c r="BW83" s="23"/>
      <c r="BX83" s="23"/>
      <c r="BY83" s="23"/>
      <c r="BZ83" s="11"/>
      <c r="CA83" s="3"/>
      <c r="CB83" s="3"/>
      <c r="CC83" s="3"/>
      <c r="CD83" s="3"/>
      <c r="CE83" s="3"/>
      <c r="CF83" s="3"/>
      <c r="CG83" s="3"/>
      <c r="CH83" s="3"/>
      <c r="CI83" s="3"/>
      <c r="CJ83" s="3"/>
      <c r="CK83" s="3"/>
      <c r="CL83" s="3"/>
      <c r="CM83" s="3"/>
      <c r="CN83" s="3"/>
      <c r="CO83" s="3"/>
      <c r="CP83" s="3"/>
      <c r="CQ83" s="3"/>
      <c r="CR83" s="3"/>
      <c r="CS83" s="3"/>
      <c r="CT83" s="3"/>
    </row>
    <row r="84" spans="1:98" x14ac:dyDescent="0.2">
      <c r="A84" s="109"/>
      <c r="B84" s="140" t="s">
        <v>76</v>
      </c>
      <c r="C84" s="23"/>
      <c r="D84" s="23"/>
      <c r="E84" s="23"/>
      <c r="F84" s="11"/>
      <c r="G84" s="23"/>
      <c r="H84" s="23"/>
      <c r="I84" s="23"/>
      <c r="J84" s="11"/>
      <c r="K84" s="23"/>
      <c r="L84" s="23"/>
      <c r="M84" s="23"/>
      <c r="N84" s="11"/>
      <c r="O84" s="23"/>
      <c r="P84" s="23"/>
      <c r="Q84" s="23"/>
      <c r="R84" s="11"/>
      <c r="S84" s="23"/>
      <c r="T84" s="23"/>
      <c r="U84" s="23"/>
      <c r="V84" s="11"/>
      <c r="W84" s="23"/>
      <c r="X84" s="23"/>
      <c r="Y84" s="23"/>
      <c r="Z84" s="11"/>
      <c r="AA84" s="23"/>
      <c r="AB84" s="23"/>
      <c r="AC84" s="23"/>
      <c r="AD84" s="11"/>
      <c r="AE84" s="23"/>
      <c r="AF84" s="23"/>
      <c r="AG84" s="23"/>
      <c r="AH84" s="11"/>
      <c r="AI84" s="23"/>
      <c r="AJ84" s="23"/>
      <c r="AK84" s="23"/>
      <c r="AL84" s="11"/>
      <c r="AM84" s="23"/>
      <c r="AN84" s="23"/>
      <c r="AO84" s="23"/>
      <c r="AP84" s="11"/>
      <c r="AQ84" s="23"/>
      <c r="AR84" s="23"/>
      <c r="AS84" s="23"/>
      <c r="AT84" s="11"/>
      <c r="AU84" s="23"/>
      <c r="AV84" s="23"/>
      <c r="AW84" s="23"/>
      <c r="AX84" s="11"/>
      <c r="AY84" s="23"/>
      <c r="AZ84" s="23"/>
      <c r="BA84" s="23"/>
      <c r="BB84" s="11"/>
      <c r="BC84" s="23"/>
      <c r="BD84" s="23"/>
      <c r="BE84" s="23"/>
      <c r="BF84" s="11"/>
      <c r="BG84" s="23"/>
      <c r="BH84" s="23"/>
      <c r="BI84" s="23"/>
      <c r="BJ84" s="11"/>
      <c r="BK84" s="23"/>
      <c r="BL84" s="23"/>
      <c r="BM84" s="23"/>
      <c r="BN84" s="11"/>
      <c r="BO84" s="23"/>
      <c r="BP84" s="23"/>
      <c r="BQ84" s="23"/>
      <c r="BR84" s="11"/>
      <c r="BS84" s="23"/>
      <c r="BT84" s="23"/>
      <c r="BU84" s="23"/>
      <c r="BV84" s="11"/>
      <c r="BW84" s="23"/>
      <c r="BX84" s="23"/>
      <c r="BY84" s="23"/>
      <c r="BZ84" s="11"/>
      <c r="CA84" s="3"/>
      <c r="CB84" s="3"/>
      <c r="CC84" s="3"/>
      <c r="CD84" s="3"/>
      <c r="CE84" s="3"/>
      <c r="CF84" s="3"/>
      <c r="CG84" s="3"/>
      <c r="CH84" s="3"/>
      <c r="CI84" s="3"/>
      <c r="CJ84" s="3"/>
      <c r="CK84" s="3"/>
      <c r="CL84" s="3"/>
      <c r="CM84" s="3"/>
      <c r="CN84" s="3"/>
      <c r="CO84" s="3"/>
      <c r="CP84" s="3"/>
      <c r="CQ84" s="3"/>
      <c r="CR84" s="3"/>
      <c r="CS84" s="3"/>
      <c r="CT84" s="3"/>
    </row>
    <row r="85" spans="1:98" x14ac:dyDescent="0.2">
      <c r="A85" s="109"/>
      <c r="B85" s="141" t="s">
        <v>63</v>
      </c>
      <c r="C85" s="23"/>
      <c r="D85" s="23"/>
      <c r="E85" s="23"/>
      <c r="F85" s="11"/>
      <c r="G85" s="23"/>
      <c r="H85" s="23"/>
      <c r="I85" s="23"/>
      <c r="J85" s="11"/>
      <c r="K85" s="23"/>
      <c r="L85" s="23"/>
      <c r="M85" s="23"/>
      <c r="N85" s="11"/>
      <c r="O85" s="23"/>
      <c r="P85" s="23"/>
      <c r="Q85" s="23"/>
      <c r="R85" s="11"/>
      <c r="S85" s="23"/>
      <c r="T85" s="23"/>
      <c r="U85" s="23"/>
      <c r="V85" s="11"/>
      <c r="W85" s="23"/>
      <c r="X85" s="23"/>
      <c r="Y85" s="23"/>
      <c r="Z85" s="11"/>
      <c r="AA85" s="23"/>
      <c r="AB85" s="23"/>
      <c r="AC85" s="23"/>
      <c r="AD85" s="11"/>
      <c r="AE85" s="23"/>
      <c r="AF85" s="23"/>
      <c r="AG85" s="23"/>
      <c r="AH85" s="11"/>
      <c r="AI85" s="23"/>
      <c r="AJ85" s="23"/>
      <c r="AK85" s="23"/>
      <c r="AL85" s="11"/>
      <c r="AM85" s="23"/>
      <c r="AN85" s="23"/>
      <c r="AO85" s="23"/>
      <c r="AP85" s="11"/>
      <c r="AQ85" s="23"/>
      <c r="AR85" s="23"/>
      <c r="AS85" s="23"/>
      <c r="AT85" s="11"/>
      <c r="AU85" s="23"/>
      <c r="AV85" s="23"/>
      <c r="AW85" s="23"/>
      <c r="AX85" s="11"/>
      <c r="AY85" s="23"/>
      <c r="AZ85" s="23"/>
      <c r="BA85" s="23"/>
      <c r="BB85" s="11"/>
      <c r="BC85" s="23"/>
      <c r="BD85" s="23"/>
      <c r="BE85" s="23"/>
      <c r="BF85" s="11"/>
      <c r="BG85" s="23"/>
      <c r="BH85" s="23"/>
      <c r="BI85" s="23"/>
      <c r="BJ85" s="11"/>
      <c r="BK85" s="23"/>
      <c r="BL85" s="23"/>
      <c r="BM85" s="23"/>
      <c r="BN85" s="11"/>
      <c r="BO85" s="23"/>
      <c r="BP85" s="23"/>
      <c r="BQ85" s="23"/>
      <c r="BR85" s="11"/>
      <c r="BS85" s="23"/>
      <c r="BT85" s="23"/>
      <c r="BU85" s="23"/>
      <c r="BV85" s="11"/>
      <c r="BW85" s="23"/>
      <c r="BX85" s="23"/>
      <c r="BY85" s="23"/>
      <c r="BZ85" s="11"/>
      <c r="CA85" s="3"/>
      <c r="CB85" s="3"/>
      <c r="CC85" s="3"/>
      <c r="CD85" s="3"/>
      <c r="CE85" s="3"/>
      <c r="CF85" s="3"/>
      <c r="CG85" s="3"/>
      <c r="CH85" s="3"/>
      <c r="CI85" s="3"/>
      <c r="CJ85" s="3"/>
      <c r="CK85" s="3"/>
      <c r="CL85" s="3"/>
      <c r="CM85" s="3"/>
      <c r="CN85" s="3"/>
      <c r="CO85" s="3"/>
      <c r="CP85" s="3"/>
      <c r="CQ85" s="3"/>
      <c r="CR85" s="3"/>
      <c r="CS85" s="3"/>
      <c r="CT85" s="3"/>
    </row>
    <row r="86" spans="1:98" x14ac:dyDescent="0.2">
      <c r="A86" s="109"/>
      <c r="B86" s="141"/>
      <c r="C86" s="23"/>
      <c r="D86" s="23"/>
      <c r="E86" s="23"/>
      <c r="F86" s="11"/>
      <c r="G86" s="23"/>
      <c r="H86" s="23"/>
      <c r="I86" s="23"/>
      <c r="J86" s="11"/>
      <c r="K86" s="23"/>
      <c r="L86" s="23"/>
      <c r="M86" s="23"/>
      <c r="N86" s="11"/>
      <c r="O86" s="23"/>
      <c r="P86" s="23"/>
      <c r="Q86" s="23"/>
      <c r="R86" s="11"/>
      <c r="S86" s="23"/>
      <c r="T86" s="23"/>
      <c r="U86" s="23"/>
      <c r="V86" s="11"/>
      <c r="W86" s="23"/>
      <c r="X86" s="23"/>
      <c r="Y86" s="23"/>
      <c r="Z86" s="11"/>
      <c r="AA86" s="23"/>
      <c r="AB86" s="23"/>
      <c r="AC86" s="23"/>
      <c r="AD86" s="11"/>
      <c r="AE86" s="23"/>
      <c r="AF86" s="23"/>
      <c r="AG86" s="23"/>
      <c r="AH86" s="11"/>
      <c r="AI86" s="23"/>
      <c r="AJ86" s="23"/>
      <c r="AK86" s="23"/>
      <c r="AL86" s="11"/>
      <c r="AM86" s="23"/>
      <c r="AN86" s="23"/>
      <c r="AO86" s="23"/>
      <c r="AP86" s="11"/>
      <c r="AQ86" s="23"/>
      <c r="AR86" s="23"/>
      <c r="AS86" s="23"/>
      <c r="AT86" s="11"/>
      <c r="AU86" s="23"/>
      <c r="AV86" s="23"/>
      <c r="AW86" s="23"/>
      <c r="AX86" s="11"/>
      <c r="AY86" s="23"/>
      <c r="AZ86" s="23"/>
      <c r="BA86" s="23"/>
      <c r="BB86" s="11"/>
      <c r="BC86" s="23"/>
      <c r="BD86" s="23"/>
      <c r="BE86" s="23"/>
      <c r="BF86" s="11"/>
      <c r="BG86" s="23"/>
      <c r="BH86" s="23"/>
      <c r="BI86" s="23"/>
      <c r="BJ86" s="11"/>
      <c r="BK86" s="23"/>
      <c r="BL86" s="23"/>
      <c r="BM86" s="23"/>
      <c r="BN86" s="11"/>
      <c r="BO86" s="23"/>
      <c r="BP86" s="23"/>
      <c r="BQ86" s="23"/>
      <c r="BR86" s="11"/>
      <c r="BS86" s="23"/>
      <c r="BT86" s="23"/>
      <c r="BU86" s="23"/>
      <c r="BV86" s="11"/>
      <c r="BW86" s="23"/>
      <c r="BX86" s="23"/>
      <c r="BY86" s="23"/>
      <c r="BZ86" s="11"/>
      <c r="CA86" s="3"/>
      <c r="CB86" s="3"/>
      <c r="CC86" s="3"/>
      <c r="CD86" s="3"/>
      <c r="CE86" s="3"/>
      <c r="CF86" s="3"/>
      <c r="CG86" s="3"/>
      <c r="CH86" s="3"/>
      <c r="CI86" s="3"/>
      <c r="CJ86" s="3"/>
      <c r="CK86" s="3"/>
      <c r="CL86" s="3"/>
      <c r="CM86" s="3"/>
      <c r="CN86" s="3"/>
      <c r="CO86" s="3"/>
      <c r="CP86" s="3"/>
      <c r="CQ86" s="3"/>
      <c r="CR86" s="3"/>
      <c r="CS86" s="3"/>
      <c r="CT86" s="3"/>
    </row>
    <row r="87" spans="1:98" ht="15.75" x14ac:dyDescent="0.3">
      <c r="A87" s="109"/>
      <c r="B87" s="173" t="s">
        <v>100</v>
      </c>
      <c r="C87" s="23"/>
      <c r="D87" s="23"/>
      <c r="E87" s="23"/>
      <c r="F87" s="11"/>
      <c r="G87" s="23"/>
      <c r="H87" s="23"/>
      <c r="I87" s="23"/>
      <c r="J87" s="11"/>
      <c r="K87" s="23"/>
      <c r="L87" s="23"/>
      <c r="M87" s="23"/>
      <c r="N87" s="11"/>
      <c r="O87" s="23"/>
      <c r="P87" s="23"/>
      <c r="Q87" s="23"/>
      <c r="R87" s="11"/>
      <c r="S87" s="23"/>
      <c r="T87" s="23"/>
      <c r="U87" s="23"/>
      <c r="V87" s="11"/>
      <c r="W87" s="23"/>
      <c r="X87" s="23"/>
      <c r="Y87" s="23"/>
      <c r="Z87" s="11"/>
      <c r="AA87" s="23"/>
      <c r="AB87" s="23"/>
      <c r="AC87" s="23"/>
      <c r="AD87" s="11"/>
      <c r="AE87" s="23"/>
      <c r="AF87" s="23"/>
      <c r="AG87" s="23"/>
      <c r="AH87" s="11"/>
      <c r="AI87" s="23"/>
      <c r="AJ87" s="23"/>
      <c r="AK87" s="23"/>
      <c r="AL87" s="11"/>
      <c r="AM87" s="23"/>
      <c r="AN87" s="23"/>
      <c r="AO87" s="23"/>
      <c r="AP87" s="11"/>
      <c r="AQ87" s="23"/>
      <c r="AR87" s="23"/>
      <c r="AS87" s="23"/>
      <c r="AT87" s="11"/>
      <c r="AU87" s="23"/>
      <c r="AV87" s="23"/>
      <c r="AW87" s="23"/>
      <c r="AX87" s="11"/>
      <c r="AY87" s="23"/>
      <c r="AZ87" s="23"/>
      <c r="BA87" s="23"/>
      <c r="BB87" s="11"/>
      <c r="BC87" s="23"/>
      <c r="BD87" s="23"/>
      <c r="BE87" s="23"/>
      <c r="BF87" s="11"/>
      <c r="BG87" s="23"/>
      <c r="BH87" s="23"/>
      <c r="BI87" s="23"/>
      <c r="BJ87" s="11"/>
      <c r="BK87" s="23"/>
      <c r="BL87" s="23"/>
      <c r="BM87" s="23"/>
      <c r="BN87" s="11"/>
      <c r="BO87" s="23"/>
      <c r="BP87" s="23"/>
      <c r="BQ87" s="23"/>
      <c r="BR87" s="11"/>
      <c r="BS87" s="23"/>
      <c r="BT87" s="23"/>
      <c r="BU87" s="23"/>
      <c r="BV87" s="11"/>
      <c r="BW87" s="23"/>
      <c r="BX87" s="23"/>
      <c r="BY87" s="23"/>
      <c r="BZ87" s="11"/>
      <c r="CA87" s="3"/>
      <c r="CB87" s="3"/>
      <c r="CC87" s="3"/>
      <c r="CD87" s="3"/>
      <c r="CE87" s="3"/>
      <c r="CF87" s="3"/>
      <c r="CG87" s="3"/>
      <c r="CH87" s="3"/>
      <c r="CI87" s="3"/>
      <c r="CJ87" s="3"/>
      <c r="CK87" s="3"/>
      <c r="CL87" s="3"/>
      <c r="CM87" s="3"/>
      <c r="CN87" s="3"/>
      <c r="CO87" s="3"/>
      <c r="CP87" s="3"/>
      <c r="CQ87" s="3"/>
      <c r="CR87" s="3"/>
      <c r="CS87" s="3"/>
      <c r="CT87" s="3"/>
    </row>
    <row r="88" spans="1:98" ht="15.75" x14ac:dyDescent="0.3">
      <c r="A88" s="109"/>
      <c r="B88" s="173" t="s">
        <v>65</v>
      </c>
      <c r="C88" s="23"/>
      <c r="D88" s="23"/>
      <c r="E88" s="23"/>
      <c r="F88" s="11"/>
      <c r="G88" s="23"/>
      <c r="H88" s="23"/>
      <c r="I88" s="23"/>
      <c r="J88" s="11"/>
      <c r="K88" s="23"/>
      <c r="L88" s="23"/>
      <c r="M88" s="23"/>
      <c r="N88" s="11"/>
      <c r="O88" s="23"/>
      <c r="P88" s="23"/>
      <c r="Q88" s="23"/>
      <c r="R88" s="11"/>
      <c r="S88" s="23"/>
      <c r="T88" s="23"/>
      <c r="U88" s="23"/>
      <c r="V88" s="11"/>
      <c r="W88" s="23"/>
      <c r="X88" s="23"/>
      <c r="Y88" s="23"/>
      <c r="Z88" s="11"/>
      <c r="AA88" s="23"/>
      <c r="AB88" s="23"/>
      <c r="AC88" s="23"/>
      <c r="AD88" s="11"/>
      <c r="AE88" s="23"/>
      <c r="AF88" s="23"/>
      <c r="AG88" s="23"/>
      <c r="AH88" s="11"/>
      <c r="AI88" s="23"/>
      <c r="AJ88" s="23"/>
      <c r="AK88" s="23"/>
      <c r="AL88" s="11"/>
      <c r="AM88" s="23"/>
      <c r="AN88" s="23"/>
      <c r="AO88" s="23"/>
      <c r="AP88" s="11"/>
      <c r="AQ88" s="23"/>
      <c r="AR88" s="23"/>
      <c r="AS88" s="23"/>
      <c r="AT88" s="11"/>
      <c r="AU88" s="23"/>
      <c r="AV88" s="23"/>
      <c r="AW88" s="23"/>
      <c r="AX88" s="11"/>
      <c r="AY88" s="23"/>
      <c r="AZ88" s="23"/>
      <c r="BA88" s="23"/>
      <c r="BB88" s="11"/>
      <c r="BC88" s="23"/>
      <c r="BD88" s="23"/>
      <c r="BE88" s="23"/>
      <c r="BF88" s="11"/>
      <c r="BG88" s="23"/>
      <c r="BH88" s="23"/>
      <c r="BI88" s="23"/>
      <c r="BJ88" s="11"/>
      <c r="BK88" s="23"/>
      <c r="BL88" s="23"/>
      <c r="BM88" s="23"/>
      <c r="BN88" s="11"/>
      <c r="BO88" s="23"/>
      <c r="BP88" s="23"/>
      <c r="BQ88" s="23"/>
      <c r="BR88" s="11"/>
      <c r="BS88" s="23"/>
      <c r="BT88" s="23"/>
      <c r="BU88" s="23"/>
      <c r="BV88" s="11"/>
      <c r="BW88" s="23"/>
      <c r="BX88" s="23"/>
      <c r="BY88" s="23"/>
      <c r="BZ88" s="11"/>
      <c r="CA88" s="3"/>
      <c r="CB88" s="3"/>
      <c r="CC88" s="3"/>
      <c r="CD88" s="3"/>
      <c r="CE88" s="3"/>
      <c r="CF88" s="3"/>
      <c r="CG88" s="3"/>
      <c r="CH88" s="3"/>
      <c r="CI88" s="3"/>
      <c r="CJ88" s="3"/>
      <c r="CK88" s="3"/>
      <c r="CL88" s="3"/>
      <c r="CM88" s="3"/>
      <c r="CN88" s="3"/>
      <c r="CO88" s="3"/>
      <c r="CP88" s="3"/>
      <c r="CQ88" s="3"/>
      <c r="CR88" s="3"/>
      <c r="CS88" s="3"/>
      <c r="CT88" s="3"/>
    </row>
    <row r="89" spans="1:98" x14ac:dyDescent="0.2">
      <c r="A89" s="109"/>
      <c r="B89" s="144"/>
      <c r="C89" s="23"/>
      <c r="D89" s="23"/>
      <c r="E89" s="23"/>
      <c r="F89" s="11"/>
      <c r="G89" s="23"/>
      <c r="H89" s="23"/>
      <c r="I89" s="23"/>
      <c r="J89" s="11"/>
      <c r="K89" s="23"/>
      <c r="L89" s="23"/>
      <c r="M89" s="23"/>
      <c r="N89" s="11"/>
      <c r="O89" s="23"/>
      <c r="P89" s="23"/>
      <c r="Q89" s="23"/>
      <c r="R89" s="11"/>
      <c r="S89" s="23"/>
      <c r="T89" s="23"/>
      <c r="U89" s="23"/>
      <c r="V89" s="11"/>
      <c r="W89" s="23"/>
      <c r="X89" s="23"/>
      <c r="Y89" s="23"/>
      <c r="Z89" s="11"/>
      <c r="AA89" s="23"/>
      <c r="AB89" s="23"/>
      <c r="AC89" s="23"/>
      <c r="AD89" s="11"/>
      <c r="AE89" s="23"/>
      <c r="AF89" s="23"/>
      <c r="AG89" s="23"/>
      <c r="AH89" s="11"/>
      <c r="AI89" s="23"/>
      <c r="AJ89" s="23"/>
      <c r="AK89" s="23"/>
      <c r="AL89" s="11"/>
      <c r="AM89" s="23"/>
      <c r="AN89" s="23"/>
      <c r="AO89" s="23"/>
      <c r="AP89" s="11"/>
      <c r="AQ89" s="23"/>
      <c r="AR89" s="23"/>
      <c r="AS89" s="23"/>
      <c r="AT89" s="11"/>
      <c r="AU89" s="23"/>
      <c r="AV89" s="23"/>
      <c r="AW89" s="23"/>
      <c r="AX89" s="11"/>
      <c r="AY89" s="23"/>
      <c r="AZ89" s="23"/>
      <c r="BA89" s="23"/>
      <c r="BB89" s="11"/>
      <c r="BC89" s="23"/>
      <c r="BD89" s="23"/>
      <c r="BE89" s="23"/>
      <c r="BF89" s="11"/>
      <c r="BG89" s="23"/>
      <c r="BH89" s="23"/>
      <c r="BI89" s="23"/>
      <c r="BJ89" s="11"/>
      <c r="BK89" s="23"/>
      <c r="BL89" s="23"/>
      <c r="BM89" s="23"/>
      <c r="BN89" s="11"/>
      <c r="BO89" s="23"/>
      <c r="BP89" s="23"/>
      <c r="BQ89" s="23"/>
      <c r="BR89" s="11"/>
      <c r="BS89" s="23"/>
      <c r="BT89" s="23"/>
      <c r="BU89" s="23"/>
      <c r="BV89" s="11"/>
      <c r="BW89" s="23"/>
      <c r="BX89" s="23"/>
      <c r="BY89" s="23"/>
      <c r="BZ89" s="11"/>
      <c r="CA89" s="3"/>
      <c r="CB89" s="3"/>
      <c r="CC89" s="3"/>
      <c r="CD89" s="3"/>
      <c r="CE89" s="3"/>
      <c r="CF89" s="3"/>
      <c r="CG89" s="3"/>
      <c r="CH89" s="3"/>
      <c r="CI89" s="3"/>
      <c r="CJ89" s="3"/>
      <c r="CK89" s="3"/>
      <c r="CL89" s="3"/>
      <c r="CM89" s="3"/>
      <c r="CN89" s="3"/>
      <c r="CO89" s="3"/>
      <c r="CP89" s="3"/>
      <c r="CQ89" s="3"/>
      <c r="CR89" s="3"/>
      <c r="CS89" s="3"/>
      <c r="CT89" s="3"/>
    </row>
    <row r="90" spans="1:98" x14ac:dyDescent="0.2">
      <c r="A90" s="109"/>
      <c r="B90" s="144"/>
      <c r="C90" s="23"/>
      <c r="D90" s="23"/>
      <c r="E90" s="23"/>
      <c r="F90" s="11"/>
      <c r="G90" s="23"/>
      <c r="H90" s="23"/>
      <c r="I90" s="23"/>
      <c r="J90" s="11"/>
      <c r="K90" s="23"/>
      <c r="L90" s="23"/>
      <c r="M90" s="23"/>
      <c r="N90" s="11"/>
      <c r="O90" s="23"/>
      <c r="P90" s="23"/>
      <c r="Q90" s="23"/>
      <c r="R90" s="11"/>
      <c r="S90" s="23"/>
      <c r="T90" s="23"/>
      <c r="U90" s="23"/>
      <c r="V90" s="11"/>
      <c r="W90" s="23"/>
      <c r="X90" s="23"/>
      <c r="Y90" s="23"/>
      <c r="Z90" s="11"/>
      <c r="AA90" s="23"/>
      <c r="AB90" s="23"/>
      <c r="AC90" s="23"/>
      <c r="AD90" s="11"/>
      <c r="AE90" s="23"/>
      <c r="AF90" s="23"/>
      <c r="AG90" s="23"/>
      <c r="AH90" s="11"/>
      <c r="AI90" s="23"/>
      <c r="AJ90" s="23"/>
      <c r="AK90" s="23"/>
      <c r="AL90" s="11"/>
      <c r="AM90" s="23"/>
      <c r="AN90" s="23"/>
      <c r="AO90" s="23"/>
      <c r="AP90" s="11"/>
      <c r="AQ90" s="23"/>
      <c r="AR90" s="23"/>
      <c r="AS90" s="23"/>
      <c r="AT90" s="11"/>
      <c r="AU90" s="23"/>
      <c r="AV90" s="23"/>
      <c r="AW90" s="23"/>
      <c r="AX90" s="11"/>
      <c r="AY90" s="23"/>
      <c r="AZ90" s="23"/>
      <c r="BA90" s="23"/>
      <c r="BB90" s="11"/>
      <c r="BC90" s="23"/>
      <c r="BD90" s="23"/>
      <c r="BE90" s="23"/>
      <c r="BF90" s="11"/>
      <c r="BG90" s="23"/>
      <c r="BH90" s="23"/>
      <c r="BI90" s="23"/>
      <c r="BJ90" s="11"/>
      <c r="BK90" s="23"/>
      <c r="BL90" s="23"/>
      <c r="BM90" s="23"/>
      <c r="BN90" s="11"/>
      <c r="BO90" s="23"/>
      <c r="BP90" s="23"/>
      <c r="BQ90" s="23"/>
      <c r="BR90" s="11"/>
      <c r="BS90" s="23"/>
      <c r="BT90" s="23"/>
      <c r="BU90" s="23"/>
      <c r="BV90" s="11"/>
      <c r="BW90" s="23"/>
      <c r="BX90" s="23"/>
      <c r="BY90" s="23"/>
      <c r="BZ90" s="11"/>
      <c r="CA90" s="3"/>
      <c r="CB90" s="3"/>
      <c r="CC90" s="3"/>
      <c r="CD90" s="3"/>
      <c r="CE90" s="3"/>
      <c r="CF90" s="3"/>
      <c r="CG90" s="3"/>
      <c r="CH90" s="3"/>
      <c r="CI90" s="3"/>
      <c r="CJ90" s="3"/>
      <c r="CK90" s="3"/>
      <c r="CL90" s="3"/>
      <c r="CM90" s="3"/>
      <c r="CN90" s="3"/>
      <c r="CO90" s="3"/>
      <c r="CP90" s="3"/>
      <c r="CQ90" s="3"/>
      <c r="CR90" s="3"/>
      <c r="CS90" s="3"/>
      <c r="CT90" s="3"/>
    </row>
    <row r="91" spans="1:98" x14ac:dyDescent="0.2">
      <c r="A91" s="109"/>
      <c r="B91" s="197" t="s">
        <v>192</v>
      </c>
      <c r="C91" s="23"/>
      <c r="D91" s="23"/>
      <c r="E91" s="23"/>
      <c r="F91" s="11"/>
      <c r="G91" s="23"/>
      <c r="H91" s="23"/>
      <c r="I91" s="23"/>
      <c r="J91" s="11"/>
      <c r="K91" s="23"/>
      <c r="L91" s="23"/>
      <c r="M91" s="23"/>
      <c r="N91" s="11"/>
      <c r="O91" s="23"/>
      <c r="P91" s="23"/>
      <c r="Q91" s="23"/>
      <c r="R91" s="11"/>
      <c r="S91" s="23"/>
      <c r="T91" s="23"/>
      <c r="U91" s="23"/>
      <c r="V91" s="11"/>
      <c r="W91" s="23"/>
      <c r="X91" s="23"/>
      <c r="Y91" s="23"/>
      <c r="Z91" s="11"/>
      <c r="AA91" s="23"/>
      <c r="AB91" s="23"/>
      <c r="AC91" s="23"/>
      <c r="AD91" s="11"/>
      <c r="AE91" s="23"/>
      <c r="AF91" s="23"/>
      <c r="AG91" s="23"/>
      <c r="AH91" s="11"/>
      <c r="AI91" s="23"/>
      <c r="AJ91" s="23"/>
      <c r="AK91" s="23"/>
      <c r="AL91" s="11"/>
      <c r="AM91" s="23"/>
      <c r="AN91" s="23"/>
      <c r="AO91" s="23"/>
      <c r="AP91" s="11"/>
      <c r="AQ91" s="23"/>
      <c r="AR91" s="23"/>
      <c r="AS91" s="23"/>
      <c r="AT91" s="11"/>
      <c r="AU91" s="23"/>
      <c r="AV91" s="23"/>
      <c r="AW91" s="23"/>
      <c r="AX91" s="11"/>
      <c r="AY91" s="23"/>
      <c r="AZ91" s="23"/>
      <c r="BA91" s="23"/>
      <c r="BB91" s="11"/>
      <c r="BC91" s="23"/>
      <c r="BD91" s="23"/>
      <c r="BE91" s="23"/>
      <c r="BF91" s="11"/>
      <c r="BG91" s="23"/>
      <c r="BH91" s="23"/>
      <c r="BI91" s="23"/>
      <c r="BJ91" s="11"/>
      <c r="BK91" s="23"/>
      <c r="BL91" s="23"/>
      <c r="BM91" s="23"/>
      <c r="BN91" s="11"/>
      <c r="BO91" s="23"/>
      <c r="BP91" s="23"/>
      <c r="BQ91" s="23"/>
      <c r="BR91" s="11"/>
      <c r="BS91" s="23"/>
      <c r="BT91" s="23"/>
      <c r="BU91" s="23"/>
      <c r="BV91" s="11"/>
      <c r="BW91" s="23"/>
      <c r="BX91" s="23"/>
      <c r="BY91" s="23"/>
      <c r="BZ91" s="11"/>
      <c r="CA91" s="3"/>
      <c r="CB91" s="3"/>
      <c r="CC91" s="3"/>
      <c r="CD91" s="3"/>
      <c r="CE91" s="3"/>
      <c r="CF91" s="3"/>
      <c r="CG91" s="3"/>
      <c r="CH91" s="3"/>
      <c r="CI91" s="3"/>
      <c r="CJ91" s="3"/>
      <c r="CK91" s="3"/>
      <c r="CL91" s="3"/>
      <c r="CM91" s="3"/>
      <c r="CN91" s="3"/>
      <c r="CO91" s="3"/>
      <c r="CP91" s="3"/>
      <c r="CQ91" s="3"/>
      <c r="CR91" s="3"/>
      <c r="CS91" s="3"/>
      <c r="CT91" s="3"/>
    </row>
    <row r="92" spans="1:98" x14ac:dyDescent="0.2">
      <c r="A92" s="109"/>
      <c r="B92" s="144"/>
      <c r="C92" s="23"/>
      <c r="D92" s="23"/>
      <c r="E92" s="23"/>
      <c r="F92" s="11"/>
      <c r="G92" s="23"/>
      <c r="H92" s="23"/>
      <c r="I92" s="23"/>
      <c r="J92" s="11"/>
      <c r="K92" s="23"/>
      <c r="L92" s="23"/>
      <c r="M92" s="23"/>
      <c r="N92" s="11"/>
      <c r="O92" s="23"/>
      <c r="P92" s="23"/>
      <c r="Q92" s="23"/>
      <c r="R92" s="11"/>
      <c r="S92" s="23"/>
      <c r="T92" s="23"/>
      <c r="U92" s="23"/>
      <c r="V92" s="11"/>
      <c r="W92" s="23"/>
      <c r="X92" s="23"/>
      <c r="Y92" s="23"/>
      <c r="Z92" s="11"/>
      <c r="AA92" s="23"/>
      <c r="AB92" s="23"/>
      <c r="AC92" s="23"/>
      <c r="AD92" s="11"/>
      <c r="AE92" s="23"/>
      <c r="AF92" s="23"/>
      <c r="AG92" s="23"/>
      <c r="AH92" s="11"/>
      <c r="AI92" s="23"/>
      <c r="AJ92" s="23"/>
      <c r="AK92" s="23"/>
      <c r="AL92" s="11"/>
      <c r="AM92" s="23"/>
      <c r="AN92" s="23"/>
      <c r="AO92" s="23"/>
      <c r="AP92" s="11"/>
      <c r="AQ92" s="23"/>
      <c r="AR92" s="23"/>
      <c r="AS92" s="23"/>
      <c r="AT92" s="11"/>
      <c r="AU92" s="23"/>
      <c r="AV92" s="23"/>
      <c r="AW92" s="23"/>
      <c r="AX92" s="11"/>
      <c r="AY92" s="23"/>
      <c r="AZ92" s="23"/>
      <c r="BA92" s="23"/>
      <c r="BB92" s="11"/>
      <c r="BC92" s="23"/>
      <c r="BD92" s="23"/>
      <c r="BE92" s="23"/>
      <c r="BF92" s="11"/>
      <c r="BG92" s="23"/>
      <c r="BH92" s="23"/>
      <c r="BI92" s="23"/>
      <c r="BJ92" s="11"/>
      <c r="BK92" s="23"/>
      <c r="BL92" s="23"/>
      <c r="BM92" s="23"/>
      <c r="BN92" s="11"/>
      <c r="BO92" s="23"/>
      <c r="BP92" s="23"/>
      <c r="BQ92" s="23"/>
      <c r="BR92" s="11"/>
      <c r="BS92" s="23"/>
      <c r="BT92" s="23"/>
      <c r="BU92" s="23"/>
      <c r="BV92" s="11"/>
      <c r="BW92" s="23"/>
      <c r="BX92" s="23"/>
      <c r="BY92" s="23"/>
      <c r="BZ92" s="11"/>
      <c r="CA92" s="3"/>
      <c r="CB92" s="3"/>
      <c r="CC92" s="3"/>
      <c r="CD92" s="3"/>
      <c r="CE92" s="3"/>
      <c r="CF92" s="3"/>
      <c r="CG92" s="3"/>
      <c r="CH92" s="3"/>
      <c r="CI92" s="3"/>
      <c r="CJ92" s="3"/>
      <c r="CK92" s="3"/>
      <c r="CL92" s="3"/>
      <c r="CM92" s="3"/>
      <c r="CN92" s="3"/>
      <c r="CO92" s="3"/>
      <c r="CP92" s="3"/>
      <c r="CQ92" s="3"/>
      <c r="CR92" s="3"/>
      <c r="CS92" s="3"/>
      <c r="CT92" s="3"/>
    </row>
    <row r="93" spans="1:98" x14ac:dyDescent="0.2">
      <c r="A93" s="109"/>
      <c r="B93" s="144"/>
      <c r="C93" s="23"/>
      <c r="D93" s="23"/>
      <c r="E93" s="23"/>
      <c r="F93" s="11"/>
      <c r="G93" s="23"/>
      <c r="H93" s="23"/>
      <c r="I93" s="23"/>
      <c r="J93" s="11"/>
      <c r="K93" s="23"/>
      <c r="L93" s="23"/>
      <c r="M93" s="23"/>
      <c r="N93" s="11"/>
      <c r="O93" s="23"/>
      <c r="P93" s="23"/>
      <c r="Q93" s="23"/>
      <c r="R93" s="11"/>
      <c r="S93" s="23"/>
      <c r="T93" s="23"/>
      <c r="U93" s="23"/>
      <c r="V93" s="11"/>
      <c r="W93" s="23"/>
      <c r="X93" s="23"/>
      <c r="Y93" s="23"/>
      <c r="Z93" s="11"/>
      <c r="AA93" s="23"/>
      <c r="AB93" s="23"/>
      <c r="AC93" s="23"/>
      <c r="AD93" s="11"/>
      <c r="AE93" s="23"/>
      <c r="AF93" s="23"/>
      <c r="AG93" s="23"/>
      <c r="AH93" s="11"/>
      <c r="AI93" s="23"/>
      <c r="AJ93" s="23"/>
      <c r="AK93" s="23"/>
      <c r="AL93" s="11"/>
      <c r="AM93" s="23"/>
      <c r="AN93" s="23"/>
      <c r="AO93" s="23"/>
      <c r="AP93" s="11"/>
      <c r="AQ93" s="23"/>
      <c r="AR93" s="23"/>
      <c r="AS93" s="23"/>
      <c r="AT93" s="11"/>
      <c r="AU93" s="23"/>
      <c r="AV93" s="23"/>
      <c r="AW93" s="23"/>
      <c r="AX93" s="11"/>
      <c r="AY93" s="23"/>
      <c r="AZ93" s="23"/>
      <c r="BA93" s="23"/>
      <c r="BB93" s="11"/>
      <c r="BC93" s="23"/>
      <c r="BD93" s="23"/>
      <c r="BE93" s="23"/>
      <c r="BF93" s="11"/>
      <c r="BG93" s="23"/>
      <c r="BH93" s="23"/>
      <c r="BI93" s="23"/>
      <c r="BJ93" s="11"/>
      <c r="BK93" s="23"/>
      <c r="BL93" s="23"/>
      <c r="BM93" s="23"/>
      <c r="BN93" s="11"/>
      <c r="BO93" s="23"/>
      <c r="BP93" s="23"/>
      <c r="BQ93" s="23"/>
      <c r="BR93" s="11"/>
      <c r="BS93" s="23"/>
      <c r="BT93" s="23"/>
      <c r="BU93" s="23"/>
      <c r="BV93" s="11"/>
      <c r="BW93" s="23"/>
      <c r="BX93" s="23"/>
      <c r="BY93" s="23"/>
      <c r="BZ93" s="11"/>
      <c r="CA93" s="3"/>
      <c r="CB93" s="3"/>
      <c r="CC93" s="3"/>
      <c r="CD93" s="3"/>
      <c r="CE93" s="3"/>
      <c r="CF93" s="3"/>
      <c r="CG93" s="3"/>
      <c r="CH93" s="3"/>
      <c r="CI93" s="3"/>
      <c r="CJ93" s="3"/>
      <c r="CK93" s="3"/>
      <c r="CL93" s="3"/>
      <c r="CM93" s="3"/>
      <c r="CN93" s="3"/>
      <c r="CO93" s="3"/>
      <c r="CP93" s="3"/>
      <c r="CQ93" s="3"/>
      <c r="CR93" s="3"/>
      <c r="CS93" s="3"/>
      <c r="CT93" s="3"/>
    </row>
    <row r="94" spans="1:98" x14ac:dyDescent="0.2">
      <c r="A94" s="109"/>
      <c r="B94" s="144"/>
      <c r="C94" s="23"/>
      <c r="D94" s="23"/>
      <c r="E94" s="23"/>
      <c r="F94" s="11"/>
      <c r="G94" s="23"/>
      <c r="H94" s="23"/>
      <c r="I94" s="23"/>
      <c r="J94" s="11"/>
      <c r="K94" s="23"/>
      <c r="L94" s="23"/>
      <c r="M94" s="23"/>
      <c r="N94" s="11"/>
      <c r="O94" s="23"/>
      <c r="P94" s="23"/>
      <c r="Q94" s="23"/>
      <c r="R94" s="11"/>
      <c r="S94" s="23"/>
      <c r="T94" s="23"/>
      <c r="U94" s="23"/>
      <c r="V94" s="11"/>
      <c r="W94" s="23"/>
      <c r="X94" s="23"/>
      <c r="Y94" s="23"/>
      <c r="Z94" s="11"/>
      <c r="AA94" s="23"/>
      <c r="AB94" s="23"/>
      <c r="AC94" s="23"/>
      <c r="AD94" s="11"/>
      <c r="AE94" s="23"/>
      <c r="AF94" s="23"/>
      <c r="AG94" s="23"/>
      <c r="AH94" s="11"/>
      <c r="AI94" s="23"/>
      <c r="AJ94" s="23"/>
      <c r="AK94" s="23"/>
      <c r="AL94" s="11"/>
      <c r="AM94" s="23"/>
      <c r="AN94" s="23"/>
      <c r="AO94" s="23"/>
      <c r="AP94" s="11"/>
      <c r="AQ94" s="23"/>
      <c r="AR94" s="23"/>
      <c r="AS94" s="23"/>
      <c r="AT94" s="11"/>
      <c r="AU94" s="23"/>
      <c r="AV94" s="23"/>
      <c r="AW94" s="23"/>
      <c r="AX94" s="11"/>
      <c r="AY94" s="23"/>
      <c r="AZ94" s="23"/>
      <c r="BA94" s="23"/>
      <c r="BB94" s="11"/>
      <c r="BC94" s="23"/>
      <c r="BD94" s="23"/>
      <c r="BE94" s="23"/>
      <c r="BF94" s="11"/>
      <c r="BG94" s="23"/>
      <c r="BH94" s="23"/>
      <c r="BI94" s="23"/>
      <c r="BJ94" s="11"/>
      <c r="BK94" s="23"/>
      <c r="BL94" s="23"/>
      <c r="BM94" s="23"/>
      <c r="BN94" s="11"/>
      <c r="BO94" s="23"/>
      <c r="BP94" s="23"/>
      <c r="BQ94" s="23"/>
      <c r="BR94" s="11"/>
      <c r="BS94" s="23"/>
      <c r="BT94" s="23"/>
      <c r="BU94" s="23"/>
      <c r="BV94" s="11"/>
      <c r="BW94" s="23"/>
      <c r="BX94" s="23"/>
      <c r="BY94" s="23"/>
      <c r="BZ94" s="11"/>
      <c r="CA94" s="3"/>
      <c r="CB94" s="3"/>
      <c r="CC94" s="3"/>
      <c r="CD94" s="3"/>
      <c r="CE94" s="3"/>
      <c r="CF94" s="3"/>
      <c r="CG94" s="3"/>
      <c r="CH94" s="3"/>
      <c r="CI94" s="3"/>
      <c r="CJ94" s="3"/>
      <c r="CK94" s="3"/>
      <c r="CL94" s="3"/>
      <c r="CM94" s="3"/>
      <c r="CN94" s="3"/>
      <c r="CO94" s="3"/>
      <c r="CP94" s="3"/>
      <c r="CQ94" s="3"/>
      <c r="CR94" s="3"/>
      <c r="CS94" s="3"/>
      <c r="CT94" s="3"/>
    </row>
    <row r="95" spans="1:98" x14ac:dyDescent="0.2">
      <c r="A95" s="109"/>
      <c r="B95" s="144"/>
      <c r="C95" s="23"/>
      <c r="D95" s="23"/>
      <c r="E95" s="23"/>
      <c r="F95" s="11"/>
      <c r="G95" s="23"/>
      <c r="H95" s="23"/>
      <c r="I95" s="23"/>
      <c r="J95" s="11"/>
      <c r="K95" s="23"/>
      <c r="L95" s="23"/>
      <c r="M95" s="23"/>
      <c r="N95" s="11"/>
      <c r="O95" s="23"/>
      <c r="P95" s="23"/>
      <c r="Q95" s="23"/>
      <c r="R95" s="11"/>
      <c r="S95" s="23"/>
      <c r="T95" s="23"/>
      <c r="U95" s="23"/>
      <c r="V95" s="11"/>
      <c r="W95" s="23"/>
      <c r="X95" s="23"/>
      <c r="Y95" s="23"/>
      <c r="Z95" s="11"/>
      <c r="AA95" s="23"/>
      <c r="AB95" s="23"/>
      <c r="AC95" s="23"/>
      <c r="AD95" s="11"/>
      <c r="AE95" s="23"/>
      <c r="AF95" s="23"/>
      <c r="AG95" s="23"/>
      <c r="AH95" s="11"/>
      <c r="AI95" s="23"/>
      <c r="AJ95" s="23"/>
      <c r="AK95" s="23"/>
      <c r="AL95" s="11"/>
      <c r="AM95" s="23"/>
      <c r="AN95" s="23"/>
      <c r="AO95" s="23"/>
      <c r="AP95" s="11"/>
      <c r="AQ95" s="23"/>
      <c r="AR95" s="23"/>
      <c r="AS95" s="23"/>
      <c r="AT95" s="11"/>
      <c r="AU95" s="23"/>
      <c r="AV95" s="23"/>
      <c r="AW95" s="23"/>
      <c r="AX95" s="11"/>
      <c r="AY95" s="23"/>
      <c r="AZ95" s="23"/>
      <c r="BA95" s="23"/>
      <c r="BB95" s="11"/>
      <c r="BC95" s="23"/>
      <c r="BD95" s="23"/>
      <c r="BE95" s="23"/>
      <c r="BF95" s="11"/>
      <c r="BG95" s="23"/>
      <c r="BH95" s="23"/>
      <c r="BI95" s="23"/>
      <c r="BJ95" s="11"/>
      <c r="BK95" s="23"/>
      <c r="BL95" s="23"/>
      <c r="BM95" s="23"/>
      <c r="BN95" s="11"/>
      <c r="BO95" s="23"/>
      <c r="BP95" s="23"/>
      <c r="BQ95" s="23"/>
      <c r="BR95" s="11"/>
      <c r="BS95" s="23"/>
      <c r="BT95" s="23"/>
      <c r="BU95" s="23"/>
      <c r="BV95" s="11"/>
      <c r="BW95" s="23"/>
      <c r="BX95" s="23"/>
      <c r="BY95" s="23"/>
      <c r="BZ95" s="11"/>
      <c r="CA95" s="3"/>
      <c r="CB95" s="3"/>
      <c r="CC95" s="3"/>
      <c r="CD95" s="3"/>
      <c r="CE95" s="3"/>
      <c r="CF95" s="3"/>
      <c r="CG95" s="3"/>
      <c r="CH95" s="3"/>
      <c r="CI95" s="3"/>
      <c r="CJ95" s="3"/>
      <c r="CK95" s="3"/>
      <c r="CL95" s="3"/>
      <c r="CM95" s="3"/>
      <c r="CN95" s="3"/>
      <c r="CO95" s="3"/>
      <c r="CP95" s="3"/>
      <c r="CQ95" s="3"/>
      <c r="CR95" s="3"/>
      <c r="CS95" s="3"/>
      <c r="CT95" s="3"/>
    </row>
    <row r="96" spans="1:98" x14ac:dyDescent="0.2">
      <c r="A96" s="109"/>
      <c r="B96" s="144"/>
      <c r="C96" s="103" t="s">
        <v>56</v>
      </c>
      <c r="D96" s="83"/>
      <c r="E96" s="83"/>
      <c r="F96" s="11"/>
      <c r="G96" s="103" t="s">
        <v>57</v>
      </c>
      <c r="H96" s="83"/>
      <c r="I96" s="83"/>
      <c r="J96" s="11"/>
      <c r="K96" s="103" t="s">
        <v>58</v>
      </c>
      <c r="L96" s="83"/>
      <c r="M96" s="83"/>
      <c r="N96" s="11"/>
      <c r="O96" s="103" t="s">
        <v>59</v>
      </c>
      <c r="P96" s="83"/>
      <c r="Q96" s="83"/>
      <c r="R96" s="11"/>
      <c r="S96" s="103" t="s">
        <v>60</v>
      </c>
      <c r="T96" s="83"/>
      <c r="U96" s="83"/>
      <c r="V96" s="11"/>
      <c r="W96" s="103" t="s">
        <v>61</v>
      </c>
      <c r="X96" s="83"/>
      <c r="Y96" s="83"/>
      <c r="Z96" s="11"/>
      <c r="AA96" s="103" t="s">
        <v>62</v>
      </c>
      <c r="AB96" s="83"/>
      <c r="AC96" s="83"/>
      <c r="AD96" s="11"/>
      <c r="AE96" s="103" t="s">
        <v>66</v>
      </c>
      <c r="AF96" s="83"/>
      <c r="AG96" s="83"/>
      <c r="AH96" s="11"/>
      <c r="AI96" s="103" t="s">
        <v>67</v>
      </c>
      <c r="AJ96" s="83"/>
      <c r="AK96" s="83"/>
      <c r="AL96" s="11"/>
      <c r="AM96" s="103" t="s">
        <v>74</v>
      </c>
      <c r="AN96" s="83"/>
      <c r="AO96" s="83"/>
      <c r="AP96" s="11"/>
      <c r="AQ96" s="103" t="s">
        <v>78</v>
      </c>
      <c r="AR96" s="23"/>
      <c r="AS96" s="23"/>
      <c r="AT96" s="11"/>
      <c r="AU96" s="103" t="s">
        <v>79</v>
      </c>
      <c r="AV96" s="23"/>
      <c r="AW96" s="23"/>
      <c r="AX96" s="11"/>
      <c r="AY96" s="23"/>
      <c r="AZ96" s="23"/>
      <c r="BA96" s="23"/>
      <c r="BB96" s="11"/>
      <c r="BC96" s="23"/>
      <c r="BD96" s="23"/>
      <c r="BE96" s="23"/>
      <c r="BF96" s="11"/>
      <c r="BG96" s="23"/>
      <c r="BH96" s="23"/>
      <c r="BI96" s="23"/>
      <c r="BJ96" s="11"/>
      <c r="BK96" s="23"/>
      <c r="BL96" s="23"/>
      <c r="BM96" s="23"/>
      <c r="BN96" s="11"/>
      <c r="BO96" s="23"/>
      <c r="BP96" s="23"/>
      <c r="BQ96" s="23"/>
      <c r="BR96" s="11"/>
      <c r="BS96" s="23"/>
      <c r="BT96" s="23"/>
      <c r="BU96" s="23"/>
      <c r="BV96" s="11"/>
      <c r="BW96" s="23"/>
      <c r="BX96" s="23"/>
      <c r="BY96" s="23"/>
      <c r="BZ96" s="11"/>
      <c r="CA96" s="3"/>
      <c r="CB96" s="3"/>
      <c r="CC96" s="3"/>
      <c r="CD96" s="3"/>
      <c r="CE96" s="3"/>
      <c r="CF96" s="3"/>
      <c r="CG96" s="3"/>
      <c r="CH96" s="3"/>
      <c r="CI96" s="3"/>
      <c r="CJ96" s="3"/>
      <c r="CK96" s="3"/>
      <c r="CL96" s="3"/>
      <c r="CM96" s="3"/>
      <c r="CN96" s="3"/>
      <c r="CO96" s="3"/>
      <c r="CP96" s="3"/>
      <c r="CQ96" s="3"/>
      <c r="CR96" s="3"/>
      <c r="CS96" s="3"/>
      <c r="CT96" s="3"/>
    </row>
    <row r="97" spans="1:98" x14ac:dyDescent="0.2">
      <c r="A97" s="109"/>
      <c r="B97" s="144"/>
      <c r="C97" s="23"/>
      <c r="D97" s="23"/>
      <c r="E97" s="23"/>
      <c r="F97" s="11"/>
      <c r="G97" s="23"/>
      <c r="H97" s="23"/>
      <c r="I97" s="23"/>
      <c r="J97" s="11"/>
      <c r="K97" s="23"/>
      <c r="L97" s="23"/>
      <c r="M97" s="23"/>
      <c r="N97" s="11"/>
      <c r="O97" s="23"/>
      <c r="P97" s="23"/>
      <c r="Q97" s="23"/>
      <c r="R97" s="11"/>
      <c r="S97" s="23"/>
      <c r="T97" s="23"/>
      <c r="U97" s="23"/>
      <c r="V97" s="11"/>
      <c r="W97" s="23"/>
      <c r="X97" s="23"/>
      <c r="Y97" s="23"/>
      <c r="Z97" s="11"/>
      <c r="AA97" s="23"/>
      <c r="AB97" s="23"/>
      <c r="AC97" s="23"/>
      <c r="AD97" s="11"/>
      <c r="AE97" s="23"/>
      <c r="AF97" s="23"/>
      <c r="AG97" s="23"/>
      <c r="AH97" s="11"/>
      <c r="AI97" s="23"/>
      <c r="AJ97" s="23"/>
      <c r="AK97" s="23"/>
      <c r="AL97" s="11"/>
      <c r="AM97" s="23"/>
      <c r="AN97" s="23"/>
      <c r="AO97" s="23"/>
      <c r="AP97" s="11"/>
      <c r="AQ97" s="23"/>
      <c r="AR97" s="23"/>
      <c r="AS97" s="23"/>
      <c r="AT97" s="11"/>
      <c r="AU97" s="23"/>
      <c r="AV97" s="23"/>
      <c r="AW97" s="23"/>
      <c r="AX97" s="11"/>
      <c r="AY97" s="23"/>
      <c r="AZ97" s="23"/>
      <c r="BA97" s="23"/>
      <c r="BB97" s="11"/>
      <c r="BC97" s="23"/>
      <c r="BD97" s="23"/>
      <c r="BE97" s="23"/>
      <c r="BF97" s="11"/>
      <c r="BG97" s="23"/>
      <c r="BH97" s="23"/>
      <c r="BI97" s="23"/>
      <c r="BJ97" s="11"/>
      <c r="BK97" s="23"/>
      <c r="BL97" s="23"/>
      <c r="BM97" s="23"/>
      <c r="BN97" s="11"/>
      <c r="BO97" s="23"/>
      <c r="BP97" s="23"/>
      <c r="BQ97" s="23"/>
      <c r="BR97" s="11"/>
      <c r="BS97" s="23"/>
      <c r="BT97" s="23"/>
      <c r="BU97" s="23"/>
      <c r="BV97" s="11"/>
      <c r="BW97" s="23"/>
      <c r="BX97" s="23"/>
      <c r="BY97" s="23"/>
      <c r="BZ97" s="11"/>
      <c r="CA97" s="3"/>
      <c r="CB97" s="3"/>
      <c r="CC97" s="3"/>
      <c r="CD97" s="3"/>
      <c r="CE97" s="3"/>
      <c r="CF97" s="3"/>
      <c r="CG97" s="3"/>
      <c r="CH97" s="3"/>
      <c r="CI97" s="3"/>
      <c r="CJ97" s="3"/>
      <c r="CK97" s="3"/>
      <c r="CL97" s="3"/>
      <c r="CM97" s="3"/>
      <c r="CN97" s="3"/>
      <c r="CO97" s="3"/>
      <c r="CP97" s="3"/>
      <c r="CQ97" s="3"/>
      <c r="CR97" s="3"/>
      <c r="CS97" s="3"/>
      <c r="CT97" s="3"/>
    </row>
    <row r="98" spans="1:98" x14ac:dyDescent="0.2">
      <c r="A98" s="109"/>
      <c r="B98" s="144"/>
      <c r="C98" s="23"/>
      <c r="D98" s="23"/>
      <c r="E98" s="23"/>
      <c r="F98" s="11"/>
      <c r="G98" s="23"/>
      <c r="H98" s="23"/>
      <c r="I98" s="23"/>
      <c r="J98" s="11"/>
      <c r="K98" s="23"/>
      <c r="L98" s="23"/>
      <c r="M98" s="23"/>
      <c r="N98" s="11"/>
      <c r="O98" s="23"/>
      <c r="P98" s="23"/>
      <c r="Q98" s="23"/>
      <c r="R98" s="11"/>
      <c r="S98" s="23"/>
      <c r="T98" s="23"/>
      <c r="U98" s="23"/>
      <c r="V98" s="11"/>
      <c r="W98" s="23"/>
      <c r="X98" s="23"/>
      <c r="Y98" s="23"/>
      <c r="Z98" s="11"/>
      <c r="AA98" s="23"/>
      <c r="AB98" s="23"/>
      <c r="AC98" s="23"/>
      <c r="AD98" s="11"/>
      <c r="AE98" s="23"/>
      <c r="AF98" s="23"/>
      <c r="AG98" s="23"/>
      <c r="AH98" s="11"/>
      <c r="AI98" s="23"/>
      <c r="AJ98" s="23"/>
      <c r="AK98" s="23"/>
      <c r="AL98" s="11"/>
      <c r="AM98" s="23"/>
      <c r="AN98" s="23"/>
      <c r="AO98" s="23"/>
      <c r="AP98" s="11"/>
      <c r="AQ98" s="23"/>
      <c r="AR98" s="23"/>
      <c r="AS98" s="23"/>
      <c r="AT98" s="11"/>
      <c r="AU98" s="23"/>
      <c r="AV98" s="23"/>
      <c r="AW98" s="23"/>
      <c r="AX98" s="11"/>
      <c r="AY98" s="23"/>
      <c r="AZ98" s="23"/>
      <c r="BA98" s="23"/>
      <c r="BB98" s="11"/>
      <c r="BC98" s="23"/>
      <c r="BD98" s="23"/>
      <c r="BE98" s="23"/>
      <c r="BF98" s="11"/>
      <c r="BG98" s="23"/>
      <c r="BH98" s="23"/>
      <c r="BI98" s="23"/>
      <c r="BJ98" s="11"/>
      <c r="BK98" s="23"/>
      <c r="BL98" s="23"/>
      <c r="BM98" s="23"/>
      <c r="BN98" s="11"/>
      <c r="BO98" s="23"/>
      <c r="BP98" s="23"/>
      <c r="BQ98" s="23"/>
      <c r="BR98" s="11"/>
      <c r="BS98" s="23"/>
      <c r="BT98" s="23"/>
      <c r="BU98" s="23"/>
      <c r="BV98" s="11"/>
      <c r="BW98" s="23"/>
      <c r="BX98" s="23"/>
      <c r="BY98" s="23"/>
      <c r="BZ98" s="11"/>
      <c r="CA98" s="3"/>
      <c r="CB98" s="3"/>
      <c r="CC98" s="3"/>
      <c r="CD98" s="3"/>
      <c r="CE98" s="3"/>
      <c r="CF98" s="3"/>
      <c r="CG98" s="3"/>
      <c r="CH98" s="3"/>
      <c r="CI98" s="3"/>
      <c r="CJ98" s="3"/>
      <c r="CK98" s="3"/>
      <c r="CL98" s="3"/>
      <c r="CM98" s="3"/>
      <c r="CN98" s="3"/>
      <c r="CO98" s="3"/>
      <c r="CP98" s="3"/>
      <c r="CQ98" s="3"/>
      <c r="CR98" s="3"/>
      <c r="CS98" s="3"/>
      <c r="CT98" s="3"/>
    </row>
    <row r="99" spans="1:98" x14ac:dyDescent="0.2">
      <c r="A99" s="109"/>
      <c r="B99" s="144"/>
      <c r="C99" s="23"/>
      <c r="D99" s="23"/>
      <c r="E99" s="23"/>
      <c r="F99" s="11"/>
      <c r="G99" s="23"/>
      <c r="H99" s="23"/>
      <c r="I99" s="23"/>
      <c r="J99" s="11"/>
      <c r="K99" s="23"/>
      <c r="L99" s="23"/>
      <c r="M99" s="23"/>
      <c r="N99" s="11"/>
      <c r="O99" s="23"/>
      <c r="P99" s="23"/>
      <c r="Q99" s="23"/>
      <c r="R99" s="11"/>
      <c r="S99" s="23"/>
      <c r="T99" s="23"/>
      <c r="U99" s="23"/>
      <c r="V99" s="11"/>
      <c r="W99" s="23"/>
      <c r="X99" s="23"/>
      <c r="Y99" s="23"/>
      <c r="Z99" s="11"/>
      <c r="AA99" s="23"/>
      <c r="AB99" s="23"/>
      <c r="AC99" s="23"/>
      <c r="AD99" s="11"/>
      <c r="AE99" s="23"/>
      <c r="AF99" s="23"/>
      <c r="AG99" s="23"/>
      <c r="AH99" s="11"/>
      <c r="AI99" s="23"/>
      <c r="AJ99" s="23"/>
      <c r="AK99" s="23"/>
      <c r="AL99" s="11"/>
      <c r="AM99" s="23"/>
      <c r="AN99" s="23"/>
      <c r="AO99" s="23"/>
      <c r="AP99" s="11"/>
      <c r="AQ99" s="23"/>
      <c r="AR99" s="23"/>
      <c r="AS99" s="23"/>
      <c r="AT99" s="11"/>
      <c r="AU99" s="23"/>
      <c r="AV99" s="23"/>
      <c r="AW99" s="23"/>
      <c r="AX99" s="11"/>
      <c r="AY99" s="23"/>
      <c r="AZ99" s="23"/>
      <c r="BA99" s="23"/>
      <c r="BB99" s="11"/>
      <c r="BC99" s="23"/>
      <c r="BD99" s="23"/>
      <c r="BE99" s="23"/>
      <c r="BF99" s="11"/>
      <c r="BG99" s="23"/>
      <c r="BH99" s="23"/>
      <c r="BI99" s="23"/>
      <c r="BJ99" s="11"/>
      <c r="BK99" s="23"/>
      <c r="BL99" s="23"/>
      <c r="BM99" s="23"/>
      <c r="BN99" s="11"/>
      <c r="BO99" s="23"/>
      <c r="BP99" s="23"/>
      <c r="BQ99" s="23"/>
      <c r="BR99" s="11"/>
      <c r="BS99" s="23"/>
      <c r="BT99" s="23"/>
      <c r="BU99" s="23"/>
      <c r="BV99" s="11"/>
      <c r="BW99" s="23"/>
      <c r="BX99" s="23"/>
      <c r="BY99" s="23"/>
      <c r="BZ99" s="11"/>
      <c r="CA99" s="3"/>
      <c r="CB99" s="3"/>
      <c r="CC99" s="3"/>
      <c r="CD99" s="3"/>
      <c r="CE99" s="3"/>
      <c r="CF99" s="3"/>
      <c r="CG99" s="3"/>
      <c r="CH99" s="3"/>
      <c r="CI99" s="3"/>
      <c r="CJ99" s="3"/>
      <c r="CK99" s="3"/>
      <c r="CL99" s="3"/>
      <c r="CM99" s="3"/>
      <c r="CN99" s="3"/>
      <c r="CO99" s="3"/>
      <c r="CP99" s="3"/>
      <c r="CQ99" s="3"/>
      <c r="CR99" s="3"/>
      <c r="CS99" s="3"/>
      <c r="CT99" s="3"/>
    </row>
    <row r="100" spans="1:98" x14ac:dyDescent="0.2">
      <c r="A100" s="109"/>
      <c r="B100" s="142" t="s">
        <v>194</v>
      </c>
      <c r="C100" s="23"/>
      <c r="D100" s="23"/>
      <c r="E100" s="23"/>
      <c r="F100" s="11"/>
      <c r="G100" s="23"/>
      <c r="H100" s="23"/>
      <c r="I100" s="23"/>
      <c r="J100" s="11"/>
      <c r="K100" s="23"/>
      <c r="L100" s="23"/>
      <c r="M100" s="23"/>
      <c r="N100" s="11"/>
      <c r="O100" s="23">
        <v>-500</v>
      </c>
      <c r="P100" s="23">
        <v>0</v>
      </c>
      <c r="Q100" s="23"/>
      <c r="R100" s="11"/>
      <c r="S100" s="23">
        <v>-500</v>
      </c>
      <c r="T100" s="23">
        <v>0</v>
      </c>
      <c r="U100" s="23"/>
      <c r="V100" s="11"/>
      <c r="W100" s="23"/>
      <c r="X100" s="23"/>
      <c r="Y100" s="23"/>
      <c r="Z100" s="11"/>
      <c r="AA100" s="23"/>
      <c r="AB100" s="23"/>
      <c r="AC100" s="23"/>
      <c r="AD100" s="11"/>
      <c r="AE100" s="23"/>
      <c r="AF100" s="23"/>
      <c r="AG100" s="23"/>
      <c r="AH100" s="11"/>
      <c r="AI100" s="23"/>
      <c r="AJ100" s="23"/>
      <c r="AK100" s="23"/>
      <c r="AL100" s="11"/>
      <c r="AM100" s="23"/>
      <c r="AN100" s="23"/>
      <c r="AO100" s="23"/>
      <c r="AP100" s="11"/>
      <c r="AQ100" s="23"/>
      <c r="AR100" s="23"/>
      <c r="AS100" s="23"/>
      <c r="AT100" s="11"/>
      <c r="AU100" s="23"/>
      <c r="AV100" s="23"/>
      <c r="AW100" s="23"/>
      <c r="AX100" s="11"/>
      <c r="AY100" s="23"/>
      <c r="AZ100" s="23"/>
      <c r="BA100" s="23"/>
      <c r="BB100" s="11"/>
      <c r="BC100" s="23"/>
      <c r="BD100" s="23"/>
      <c r="BE100" s="23"/>
      <c r="BF100" s="11"/>
      <c r="BG100" s="23"/>
      <c r="BH100" s="23"/>
      <c r="BI100" s="23"/>
      <c r="BJ100" s="11"/>
      <c r="BK100" s="23"/>
      <c r="BL100" s="23"/>
      <c r="BM100" s="23"/>
      <c r="BN100" s="11"/>
      <c r="BO100" s="23"/>
      <c r="BP100" s="23"/>
      <c r="BQ100" s="23"/>
      <c r="BR100" s="11"/>
      <c r="BS100" s="23"/>
      <c r="BT100" s="23"/>
      <c r="BU100" s="23"/>
      <c r="BV100" s="11"/>
      <c r="BW100" s="23"/>
      <c r="BX100" s="23"/>
      <c r="BY100" s="23"/>
      <c r="BZ100" s="11"/>
      <c r="CA100" s="3"/>
      <c r="CB100" s="3"/>
      <c r="CC100" s="3"/>
      <c r="CD100" s="3"/>
      <c r="CE100" s="3"/>
      <c r="CF100" s="3"/>
      <c r="CG100" s="3"/>
      <c r="CH100" s="3"/>
      <c r="CI100" s="3"/>
      <c r="CJ100" s="3"/>
      <c r="CK100" s="3"/>
      <c r="CL100" s="3"/>
      <c r="CM100" s="3"/>
      <c r="CN100" s="3"/>
      <c r="CO100" s="3"/>
      <c r="CP100" s="3"/>
      <c r="CQ100" s="3"/>
      <c r="CR100" s="3"/>
      <c r="CS100" s="3"/>
      <c r="CT100" s="3"/>
    </row>
    <row r="101" spans="1:98" x14ac:dyDescent="0.2">
      <c r="A101" s="109"/>
      <c r="B101" s="143" t="s">
        <v>193</v>
      </c>
      <c r="C101" s="23"/>
      <c r="D101" s="23"/>
      <c r="E101" s="23"/>
      <c r="F101" s="11"/>
      <c r="G101" s="23"/>
      <c r="H101" s="23"/>
      <c r="I101" s="23"/>
      <c r="J101" s="11"/>
      <c r="K101" s="23"/>
      <c r="L101" s="23"/>
      <c r="M101" s="23"/>
      <c r="N101" s="11"/>
      <c r="O101" s="23">
        <v>-450</v>
      </c>
      <c r="P101" s="23">
        <v>1.5</v>
      </c>
      <c r="Q101" s="23"/>
      <c r="R101" s="11"/>
      <c r="S101" s="23">
        <v>-450</v>
      </c>
      <c r="T101" s="23">
        <v>1.5</v>
      </c>
      <c r="U101" s="23"/>
      <c r="V101" s="11"/>
      <c r="W101" s="23"/>
      <c r="X101" s="23"/>
      <c r="Y101" s="23"/>
      <c r="Z101" s="11"/>
      <c r="AA101" s="23"/>
      <c r="AB101" s="23"/>
      <c r="AC101" s="23"/>
      <c r="AD101" s="11"/>
      <c r="AE101" s="23"/>
      <c r="AF101" s="23"/>
      <c r="AG101" s="23"/>
      <c r="AH101" s="11"/>
      <c r="AI101" s="23"/>
      <c r="AJ101" s="23"/>
      <c r="AK101" s="23"/>
      <c r="AL101" s="11"/>
      <c r="AM101" s="23"/>
      <c r="AN101" s="23"/>
      <c r="AO101" s="23"/>
      <c r="AP101" s="11"/>
      <c r="AQ101" s="23"/>
      <c r="AR101" s="23"/>
      <c r="AS101" s="23"/>
      <c r="AT101" s="11"/>
      <c r="AU101" s="23"/>
      <c r="AV101" s="23"/>
      <c r="AW101" s="23"/>
      <c r="AX101" s="11"/>
      <c r="AY101" s="23"/>
      <c r="AZ101" s="23"/>
      <c r="BA101" s="23"/>
      <c r="BB101" s="11"/>
      <c r="BC101" s="23"/>
      <c r="BD101" s="23"/>
      <c r="BE101" s="23"/>
      <c r="BF101" s="11"/>
      <c r="BG101" s="23"/>
      <c r="BH101" s="23"/>
      <c r="BI101" s="23"/>
      <c r="BJ101" s="11"/>
      <c r="BK101" s="23"/>
      <c r="BL101" s="23"/>
      <c r="BM101" s="23"/>
      <c r="BN101" s="11"/>
      <c r="BO101" s="23"/>
      <c r="BP101" s="23"/>
      <c r="BQ101" s="23"/>
      <c r="BR101" s="11"/>
      <c r="BS101" s="23"/>
      <c r="BT101" s="23"/>
      <c r="BU101" s="23"/>
      <c r="BV101" s="11"/>
      <c r="BW101" s="23"/>
      <c r="BX101" s="23"/>
      <c r="BY101" s="23"/>
      <c r="BZ101" s="11"/>
      <c r="CA101" s="3"/>
      <c r="CB101" s="3"/>
      <c r="CC101" s="3"/>
      <c r="CD101" s="3"/>
      <c r="CE101" s="3"/>
      <c r="CF101" s="3"/>
      <c r="CG101" s="3"/>
      <c r="CH101" s="3"/>
      <c r="CI101" s="3"/>
      <c r="CJ101" s="3"/>
      <c r="CK101" s="3"/>
      <c r="CL101" s="3"/>
      <c r="CM101" s="3"/>
      <c r="CN101" s="3"/>
      <c r="CO101" s="3"/>
      <c r="CP101" s="3"/>
      <c r="CQ101" s="3"/>
      <c r="CR101" s="3"/>
      <c r="CS101" s="3"/>
      <c r="CT101" s="3"/>
    </row>
    <row r="102" spans="1:98" x14ac:dyDescent="0.2">
      <c r="A102" s="109"/>
      <c r="B102" s="144"/>
      <c r="C102" s="23"/>
      <c r="D102" s="23"/>
      <c r="E102" s="23"/>
      <c r="F102" s="11"/>
      <c r="G102" s="23"/>
      <c r="H102" s="23"/>
      <c r="I102" s="23"/>
      <c r="J102" s="11"/>
      <c r="K102" s="23"/>
      <c r="L102" s="23"/>
      <c r="M102" s="23"/>
      <c r="N102" s="11"/>
      <c r="O102" s="23">
        <v>-400</v>
      </c>
      <c r="P102" s="23">
        <v>4.8</v>
      </c>
      <c r="Q102" s="23"/>
      <c r="R102" s="11"/>
      <c r="S102" s="23">
        <v>-400</v>
      </c>
      <c r="T102" s="23">
        <v>4.8</v>
      </c>
      <c r="U102" s="23"/>
      <c r="V102" s="11"/>
      <c r="W102" s="23"/>
      <c r="X102" s="23"/>
      <c r="Y102" s="23"/>
      <c r="Z102" s="11"/>
      <c r="AA102" s="23"/>
      <c r="AB102" s="23"/>
      <c r="AC102" s="23"/>
      <c r="AD102" s="11"/>
      <c r="AE102" s="23"/>
      <c r="AF102" s="23"/>
      <c r="AG102" s="23"/>
      <c r="AH102" s="11"/>
      <c r="AI102" s="23"/>
      <c r="AJ102" s="23"/>
      <c r="AK102" s="23"/>
      <c r="AL102" s="11"/>
      <c r="AM102" s="23"/>
      <c r="AN102" s="23"/>
      <c r="AO102" s="23"/>
      <c r="AP102" s="11"/>
      <c r="AQ102" s="23"/>
      <c r="AR102" s="23"/>
      <c r="AS102" s="23"/>
      <c r="AT102" s="11"/>
      <c r="AU102" s="23"/>
      <c r="AV102" s="23"/>
      <c r="AW102" s="23"/>
      <c r="AX102" s="11"/>
      <c r="AY102" s="23"/>
      <c r="AZ102" s="23"/>
      <c r="BA102" s="23"/>
      <c r="BB102" s="11"/>
      <c r="BC102" s="23"/>
      <c r="BD102" s="23"/>
      <c r="BE102" s="23"/>
      <c r="BF102" s="11"/>
      <c r="BG102" s="23"/>
      <c r="BH102" s="23"/>
      <c r="BI102" s="23"/>
      <c r="BJ102" s="11"/>
      <c r="BK102" s="23"/>
      <c r="BL102" s="23"/>
      <c r="BM102" s="23"/>
      <c r="BN102" s="11"/>
      <c r="BO102" s="23"/>
      <c r="BP102" s="23"/>
      <c r="BQ102" s="23"/>
      <c r="BR102" s="11"/>
      <c r="BS102" s="23"/>
      <c r="BT102" s="23"/>
      <c r="BU102" s="23"/>
      <c r="BV102" s="11"/>
      <c r="BW102" s="23"/>
      <c r="BX102" s="23"/>
      <c r="BY102" s="23"/>
      <c r="BZ102" s="11"/>
      <c r="CA102" s="3"/>
      <c r="CB102" s="3"/>
      <c r="CC102" s="3"/>
      <c r="CD102" s="3"/>
      <c r="CE102" s="3"/>
      <c r="CF102" s="3"/>
      <c r="CG102" s="3"/>
      <c r="CH102" s="3"/>
      <c r="CI102" s="3"/>
      <c r="CJ102" s="3"/>
      <c r="CK102" s="3"/>
      <c r="CL102" s="3"/>
      <c r="CM102" s="3"/>
      <c r="CN102" s="3"/>
      <c r="CO102" s="3"/>
      <c r="CP102" s="3"/>
      <c r="CQ102" s="3"/>
      <c r="CR102" s="3"/>
      <c r="CS102" s="3"/>
      <c r="CT102" s="3"/>
    </row>
    <row r="103" spans="1:98" x14ac:dyDescent="0.2">
      <c r="A103" s="109"/>
      <c r="B103" s="144"/>
      <c r="C103" s="23"/>
      <c r="D103" s="23"/>
      <c r="E103" s="23"/>
      <c r="F103" s="11"/>
      <c r="G103" s="23"/>
      <c r="H103" s="23"/>
      <c r="I103" s="23"/>
      <c r="J103" s="11"/>
      <c r="K103" s="23"/>
      <c r="L103" s="23"/>
      <c r="M103" s="23"/>
      <c r="N103" s="11"/>
      <c r="O103" s="23">
        <v>-350</v>
      </c>
      <c r="P103" s="23">
        <v>13</v>
      </c>
      <c r="Q103" s="23"/>
      <c r="R103" s="11"/>
      <c r="S103" s="23">
        <v>-350</v>
      </c>
      <c r="T103" s="23">
        <v>13</v>
      </c>
      <c r="U103" s="23"/>
      <c r="V103" s="11"/>
      <c r="W103" s="23"/>
      <c r="X103" s="23"/>
      <c r="Y103" s="23"/>
      <c r="Z103" s="11"/>
      <c r="AA103" s="23"/>
      <c r="AB103" s="23"/>
      <c r="AC103" s="23"/>
      <c r="AD103" s="11"/>
      <c r="AE103" s="23"/>
      <c r="AF103" s="23"/>
      <c r="AG103" s="23"/>
      <c r="AH103" s="11"/>
      <c r="AI103" s="23"/>
      <c r="AJ103" s="23"/>
      <c r="AK103" s="23"/>
      <c r="AL103" s="11"/>
      <c r="AM103" s="23"/>
      <c r="AN103" s="23"/>
      <c r="AO103" s="23"/>
      <c r="AP103" s="11"/>
      <c r="AQ103" s="23"/>
      <c r="AR103" s="23"/>
      <c r="AS103" s="23"/>
      <c r="AT103" s="11"/>
      <c r="AU103" s="23"/>
      <c r="AV103" s="23"/>
      <c r="AW103" s="23"/>
      <c r="AX103" s="11"/>
      <c r="AY103" s="23"/>
      <c r="AZ103" s="23"/>
      <c r="BA103" s="23"/>
      <c r="BB103" s="11"/>
      <c r="BC103" s="23"/>
      <c r="BD103" s="23"/>
      <c r="BE103" s="23"/>
      <c r="BF103" s="11"/>
      <c r="BG103" s="23"/>
      <c r="BH103" s="23"/>
      <c r="BI103" s="23"/>
      <c r="BJ103" s="11"/>
      <c r="BK103" s="23"/>
      <c r="BL103" s="23"/>
      <c r="BM103" s="23"/>
      <c r="BN103" s="11"/>
      <c r="BO103" s="23"/>
      <c r="BP103" s="23"/>
      <c r="BQ103" s="23"/>
      <c r="BR103" s="11"/>
      <c r="BS103" s="23"/>
      <c r="BT103" s="23"/>
      <c r="BU103" s="23"/>
      <c r="BV103" s="11"/>
      <c r="BW103" s="23"/>
      <c r="BX103" s="23"/>
      <c r="BY103" s="23"/>
      <c r="BZ103" s="11"/>
      <c r="CA103" s="3"/>
      <c r="CB103" s="3"/>
      <c r="CC103" s="3"/>
      <c r="CD103" s="3"/>
      <c r="CE103" s="3"/>
      <c r="CF103" s="3"/>
      <c r="CG103" s="3"/>
      <c r="CH103" s="3"/>
      <c r="CI103" s="3"/>
      <c r="CJ103" s="3"/>
      <c r="CK103" s="3"/>
      <c r="CL103" s="3"/>
      <c r="CM103" s="3"/>
      <c r="CN103" s="3"/>
      <c r="CO103" s="3"/>
      <c r="CP103" s="3"/>
      <c r="CQ103" s="3"/>
      <c r="CR103" s="3"/>
      <c r="CS103" s="3"/>
      <c r="CT103" s="3"/>
    </row>
    <row r="104" spans="1:98" x14ac:dyDescent="0.2">
      <c r="A104" s="109"/>
      <c r="B104" s="144"/>
      <c r="C104" s="23"/>
      <c r="D104" s="23"/>
      <c r="E104" s="23"/>
      <c r="F104" s="11"/>
      <c r="G104" s="23"/>
      <c r="H104" s="23"/>
      <c r="I104" s="23"/>
      <c r="J104" s="11"/>
      <c r="K104" s="23"/>
      <c r="L104" s="23"/>
      <c r="M104" s="23"/>
      <c r="N104" s="11"/>
      <c r="O104" s="23">
        <v>-300</v>
      </c>
      <c r="P104" s="23">
        <v>22.8</v>
      </c>
      <c r="Q104" s="23"/>
      <c r="R104" s="11"/>
      <c r="S104" s="23">
        <v>-300</v>
      </c>
      <c r="T104" s="23">
        <v>22.8</v>
      </c>
      <c r="U104" s="23"/>
      <c r="V104" s="11"/>
      <c r="W104" s="23"/>
      <c r="X104" s="23"/>
      <c r="Y104" s="23"/>
      <c r="Z104" s="11"/>
      <c r="AA104" s="23"/>
      <c r="AB104" s="23"/>
      <c r="AC104" s="23"/>
      <c r="AD104" s="11"/>
      <c r="AE104" s="23"/>
      <c r="AF104" s="23"/>
      <c r="AG104" s="23"/>
      <c r="AH104" s="11"/>
      <c r="AI104" s="23"/>
      <c r="AJ104" s="23"/>
      <c r="AK104" s="23"/>
      <c r="AL104" s="11"/>
      <c r="AM104" s="23"/>
      <c r="AN104" s="23"/>
      <c r="AO104" s="23"/>
      <c r="AP104" s="11"/>
      <c r="AQ104" s="23"/>
      <c r="AR104" s="23"/>
      <c r="AS104" s="23"/>
      <c r="AT104" s="11"/>
      <c r="AU104" s="23"/>
      <c r="AV104" s="23"/>
      <c r="AW104" s="23"/>
      <c r="AX104" s="11"/>
      <c r="AY104" s="23"/>
      <c r="AZ104" s="23"/>
      <c r="BA104" s="23"/>
      <c r="BB104" s="11"/>
      <c r="BC104" s="23"/>
      <c r="BD104" s="23"/>
      <c r="BE104" s="23"/>
      <c r="BF104" s="11"/>
      <c r="BG104" s="23"/>
      <c r="BH104" s="23"/>
      <c r="BI104" s="23"/>
      <c r="BJ104" s="11"/>
      <c r="BK104" s="23"/>
      <c r="BL104" s="23"/>
      <c r="BM104" s="23"/>
      <c r="BN104" s="11"/>
      <c r="BO104" s="23"/>
      <c r="BP104" s="23"/>
      <c r="BQ104" s="23"/>
      <c r="BR104" s="11"/>
      <c r="BS104" s="23"/>
      <c r="BT104" s="23"/>
      <c r="BU104" s="23"/>
      <c r="BV104" s="11"/>
      <c r="BW104" s="23"/>
      <c r="BX104" s="23"/>
      <c r="BY104" s="23"/>
      <c r="BZ104" s="11"/>
      <c r="CA104" s="3"/>
      <c r="CB104" s="3"/>
      <c r="CC104" s="3"/>
      <c r="CD104" s="3"/>
      <c r="CE104" s="3"/>
      <c r="CF104" s="3"/>
      <c r="CG104" s="3"/>
      <c r="CH104" s="3"/>
      <c r="CI104" s="3"/>
      <c r="CJ104" s="3"/>
      <c r="CK104" s="3"/>
      <c r="CL104" s="3"/>
      <c r="CM104" s="3"/>
      <c r="CN104" s="3"/>
      <c r="CO104" s="3"/>
      <c r="CP104" s="3"/>
      <c r="CQ104" s="3"/>
      <c r="CR104" s="3"/>
      <c r="CS104" s="3"/>
      <c r="CT104" s="3"/>
    </row>
    <row r="105" spans="1:98" x14ac:dyDescent="0.2">
      <c r="A105" s="109"/>
      <c r="B105" s="144"/>
      <c r="C105" s="23"/>
      <c r="D105" s="23"/>
      <c r="E105" s="23"/>
      <c r="F105" s="11"/>
      <c r="G105" s="23"/>
      <c r="H105" s="23"/>
      <c r="I105" s="23"/>
      <c r="J105" s="11"/>
      <c r="K105" s="23"/>
      <c r="L105" s="23"/>
      <c r="M105" s="23"/>
      <c r="N105" s="11"/>
      <c r="O105" s="23">
        <v>-250</v>
      </c>
      <c r="P105" s="23">
        <v>37.200000000000003</v>
      </c>
      <c r="Q105" s="23"/>
      <c r="R105" s="11"/>
      <c r="S105" s="23">
        <v>-250</v>
      </c>
      <c r="T105" s="23">
        <v>37.200000000000003</v>
      </c>
      <c r="U105" s="23"/>
      <c r="V105" s="11"/>
      <c r="W105" s="23"/>
      <c r="X105" s="23"/>
      <c r="Y105" s="23"/>
      <c r="Z105" s="11"/>
      <c r="AA105" s="23"/>
      <c r="AB105" s="23"/>
      <c r="AC105" s="23"/>
      <c r="AD105" s="11"/>
      <c r="AE105" s="23"/>
      <c r="AF105" s="23"/>
      <c r="AG105" s="23"/>
      <c r="AH105" s="11"/>
      <c r="AI105" s="23"/>
      <c r="AJ105" s="23"/>
      <c r="AK105" s="23"/>
      <c r="AL105" s="11"/>
      <c r="AM105" s="23"/>
      <c r="AN105" s="23"/>
      <c r="AO105" s="23"/>
      <c r="AP105" s="11"/>
      <c r="AQ105" s="23"/>
      <c r="AR105" s="23"/>
      <c r="AS105" s="23"/>
      <c r="AT105" s="11"/>
      <c r="AU105" s="23"/>
      <c r="AV105" s="23"/>
      <c r="AW105" s="23"/>
      <c r="AX105" s="11"/>
      <c r="AY105" s="23"/>
      <c r="AZ105" s="23"/>
      <c r="BA105" s="23"/>
      <c r="BB105" s="11"/>
      <c r="BC105" s="23"/>
      <c r="BD105" s="23"/>
      <c r="BE105" s="23"/>
      <c r="BF105" s="11"/>
      <c r="BG105" s="23"/>
      <c r="BH105" s="23"/>
      <c r="BI105" s="23"/>
      <c r="BJ105" s="11"/>
      <c r="BK105" s="23"/>
      <c r="BL105" s="23"/>
      <c r="BM105" s="23"/>
      <c r="BN105" s="11"/>
      <c r="BO105" s="23"/>
      <c r="BP105" s="23"/>
      <c r="BQ105" s="23"/>
      <c r="BR105" s="11"/>
      <c r="BS105" s="23"/>
      <c r="BT105" s="23"/>
      <c r="BU105" s="23"/>
      <c r="BV105" s="11"/>
      <c r="BW105" s="23"/>
      <c r="BX105" s="23"/>
      <c r="BY105" s="23"/>
      <c r="BZ105" s="11"/>
      <c r="CA105" s="3"/>
      <c r="CB105" s="3"/>
      <c r="CC105" s="3"/>
      <c r="CD105" s="3"/>
      <c r="CE105" s="3"/>
      <c r="CF105" s="3"/>
      <c r="CG105" s="3"/>
      <c r="CH105" s="3"/>
      <c r="CI105" s="3"/>
      <c r="CJ105" s="3"/>
      <c r="CK105" s="3"/>
      <c r="CL105" s="3"/>
      <c r="CM105" s="3"/>
      <c r="CN105" s="3"/>
      <c r="CO105" s="3"/>
      <c r="CP105" s="3"/>
      <c r="CQ105" s="3"/>
      <c r="CR105" s="3"/>
      <c r="CS105" s="3"/>
      <c r="CT105" s="3"/>
    </row>
    <row r="106" spans="1:98" x14ac:dyDescent="0.2">
      <c r="A106" s="109"/>
      <c r="B106" s="144"/>
      <c r="C106" s="23"/>
      <c r="D106" s="23"/>
      <c r="E106" s="23"/>
      <c r="F106" s="11"/>
      <c r="G106" s="23"/>
      <c r="H106" s="23"/>
      <c r="I106" s="23"/>
      <c r="J106" s="11"/>
      <c r="K106" s="23"/>
      <c r="L106" s="23"/>
      <c r="M106" s="23"/>
      <c r="N106" s="11"/>
      <c r="O106" s="23">
        <v>-200</v>
      </c>
      <c r="P106" s="23">
        <v>49.3</v>
      </c>
      <c r="Q106" s="23"/>
      <c r="R106" s="11"/>
      <c r="S106" s="23">
        <v>-200</v>
      </c>
      <c r="T106" s="23">
        <v>49.3</v>
      </c>
      <c r="U106" s="23"/>
      <c r="V106" s="11"/>
      <c r="W106" s="23"/>
      <c r="X106" s="23"/>
      <c r="Y106" s="23"/>
      <c r="Z106" s="11"/>
      <c r="AA106" s="23"/>
      <c r="AB106" s="23"/>
      <c r="AC106" s="23"/>
      <c r="AD106" s="11"/>
      <c r="AE106" s="23"/>
      <c r="AF106" s="23"/>
      <c r="AG106" s="23"/>
      <c r="AH106" s="11"/>
      <c r="AI106" s="23"/>
      <c r="AJ106" s="23"/>
      <c r="AK106" s="23"/>
      <c r="AL106" s="11"/>
      <c r="AM106" s="23"/>
      <c r="AN106" s="23"/>
      <c r="AO106" s="23"/>
      <c r="AP106" s="11"/>
      <c r="AQ106" s="23"/>
      <c r="AR106" s="23"/>
      <c r="AS106" s="23"/>
      <c r="AT106" s="11"/>
      <c r="AU106" s="23"/>
      <c r="AV106" s="23"/>
      <c r="AW106" s="23"/>
      <c r="AX106" s="11"/>
      <c r="AY106" s="23"/>
      <c r="AZ106" s="23"/>
      <c r="BA106" s="23"/>
      <c r="BB106" s="11"/>
      <c r="BC106" s="23"/>
      <c r="BD106" s="23"/>
      <c r="BE106" s="23"/>
      <c r="BF106" s="11"/>
      <c r="BG106" s="23"/>
      <c r="BH106" s="23"/>
      <c r="BI106" s="23"/>
      <c r="BJ106" s="11"/>
      <c r="BK106" s="23"/>
      <c r="BL106" s="23"/>
      <c r="BM106" s="23"/>
      <c r="BN106" s="11"/>
      <c r="BO106" s="23"/>
      <c r="BP106" s="23"/>
      <c r="BQ106" s="23"/>
      <c r="BR106" s="11"/>
      <c r="BS106" s="23"/>
      <c r="BT106" s="23"/>
      <c r="BU106" s="23"/>
      <c r="BV106" s="11"/>
      <c r="BW106" s="23"/>
      <c r="BX106" s="23"/>
      <c r="BY106" s="23"/>
      <c r="BZ106" s="11"/>
      <c r="CA106" s="3"/>
      <c r="CB106" s="3"/>
      <c r="CC106" s="3"/>
      <c r="CD106" s="3"/>
      <c r="CE106" s="3"/>
      <c r="CF106" s="3"/>
      <c r="CG106" s="3"/>
      <c r="CH106" s="3"/>
      <c r="CI106" s="3"/>
      <c r="CJ106" s="3"/>
      <c r="CK106" s="3"/>
      <c r="CL106" s="3"/>
      <c r="CM106" s="3"/>
      <c r="CN106" s="3"/>
      <c r="CO106" s="3"/>
      <c r="CP106" s="3"/>
      <c r="CQ106" s="3"/>
      <c r="CR106" s="3"/>
      <c r="CS106" s="3"/>
      <c r="CT106" s="3"/>
    </row>
    <row r="107" spans="1:98" x14ac:dyDescent="0.2">
      <c r="A107" s="109"/>
      <c r="B107" s="144"/>
      <c r="C107" s="23"/>
      <c r="D107" s="23"/>
      <c r="E107" s="23"/>
      <c r="F107" s="11"/>
      <c r="G107" s="23"/>
      <c r="H107" s="23"/>
      <c r="I107" s="23"/>
      <c r="J107" s="11"/>
      <c r="K107" s="23"/>
      <c r="L107" s="23"/>
      <c r="M107" s="23"/>
      <c r="N107" s="11"/>
      <c r="O107" s="23">
        <v>-150</v>
      </c>
      <c r="P107" s="23">
        <v>60.6</v>
      </c>
      <c r="Q107" s="23"/>
      <c r="R107" s="11"/>
      <c r="S107" s="23">
        <v>-150</v>
      </c>
      <c r="T107" s="23">
        <v>60.6</v>
      </c>
      <c r="U107" s="23"/>
      <c r="V107" s="11"/>
      <c r="W107" s="23"/>
      <c r="X107" s="23"/>
      <c r="Y107" s="23"/>
      <c r="Z107" s="11"/>
      <c r="AA107" s="23"/>
      <c r="AB107" s="23"/>
      <c r="AC107" s="23"/>
      <c r="AD107" s="11"/>
      <c r="AE107" s="23"/>
      <c r="AF107" s="23"/>
      <c r="AG107" s="23"/>
      <c r="AH107" s="11"/>
      <c r="AI107" s="23"/>
      <c r="AJ107" s="23"/>
      <c r="AK107" s="23"/>
      <c r="AL107" s="11"/>
      <c r="AM107" s="23"/>
      <c r="AN107" s="23"/>
      <c r="AO107" s="23"/>
      <c r="AP107" s="11"/>
      <c r="AQ107" s="23"/>
      <c r="AR107" s="23"/>
      <c r="AS107" s="23"/>
      <c r="AT107" s="11"/>
      <c r="AU107" s="23"/>
      <c r="AV107" s="23"/>
      <c r="AW107" s="23"/>
      <c r="AX107" s="11"/>
      <c r="AY107" s="23"/>
      <c r="AZ107" s="23"/>
      <c r="BA107" s="23"/>
      <c r="BB107" s="11"/>
      <c r="BC107" s="23"/>
      <c r="BD107" s="23"/>
      <c r="BE107" s="23"/>
      <c r="BF107" s="11"/>
      <c r="BG107" s="23"/>
      <c r="BH107" s="23"/>
      <c r="BI107" s="23"/>
      <c r="BJ107" s="11"/>
      <c r="BK107" s="23"/>
      <c r="BL107" s="23"/>
      <c r="BM107" s="23"/>
      <c r="BN107" s="11"/>
      <c r="BO107" s="23"/>
      <c r="BP107" s="23"/>
      <c r="BQ107" s="23"/>
      <c r="BR107" s="11"/>
      <c r="BS107" s="23"/>
      <c r="BT107" s="23"/>
      <c r="BU107" s="23"/>
      <c r="BV107" s="11"/>
      <c r="BW107" s="23"/>
      <c r="BX107" s="23"/>
      <c r="BY107" s="23"/>
      <c r="BZ107" s="11"/>
      <c r="CA107" s="3"/>
      <c r="CB107" s="3"/>
      <c r="CC107" s="3"/>
      <c r="CD107" s="3"/>
      <c r="CE107" s="3"/>
      <c r="CF107" s="3"/>
      <c r="CG107" s="3"/>
      <c r="CH107" s="3"/>
      <c r="CI107" s="3"/>
      <c r="CJ107" s="3"/>
      <c r="CK107" s="3"/>
      <c r="CL107" s="3"/>
      <c r="CM107" s="3"/>
      <c r="CN107" s="3"/>
      <c r="CO107" s="3"/>
      <c r="CP107" s="3"/>
      <c r="CQ107" s="3"/>
      <c r="CR107" s="3"/>
      <c r="CS107" s="3"/>
      <c r="CT107" s="3"/>
    </row>
    <row r="108" spans="1:98" x14ac:dyDescent="0.2">
      <c r="A108" s="109"/>
      <c r="B108" s="144"/>
      <c r="C108" s="23"/>
      <c r="D108" s="23"/>
      <c r="E108" s="23"/>
      <c r="F108" s="11"/>
      <c r="G108" s="23"/>
      <c r="H108" s="23"/>
      <c r="I108" s="23"/>
      <c r="J108" s="11"/>
      <c r="K108" s="23"/>
      <c r="L108" s="23"/>
      <c r="M108" s="23"/>
      <c r="N108" s="11"/>
      <c r="O108" s="23">
        <v>-100</v>
      </c>
      <c r="P108" s="23">
        <v>70</v>
      </c>
      <c r="Q108" s="23"/>
      <c r="R108" s="11"/>
      <c r="S108" s="23">
        <v>-100</v>
      </c>
      <c r="T108" s="23">
        <v>70</v>
      </c>
      <c r="U108" s="23"/>
      <c r="V108" s="11"/>
      <c r="W108" s="23"/>
      <c r="X108" s="23"/>
      <c r="Y108" s="23"/>
      <c r="Z108" s="11"/>
      <c r="AA108" s="23"/>
      <c r="AB108" s="23"/>
      <c r="AC108" s="23"/>
      <c r="AD108" s="11"/>
      <c r="AE108" s="23"/>
      <c r="AF108" s="23"/>
      <c r="AG108" s="23"/>
      <c r="AH108" s="11"/>
      <c r="AI108" s="23"/>
      <c r="AJ108" s="23"/>
      <c r="AK108" s="23"/>
      <c r="AL108" s="11"/>
      <c r="AM108" s="23"/>
      <c r="AN108" s="23"/>
      <c r="AO108" s="23"/>
      <c r="AP108" s="11"/>
      <c r="AQ108" s="23"/>
      <c r="AR108" s="23"/>
      <c r="AS108" s="23"/>
      <c r="AT108" s="11"/>
      <c r="AU108" s="23"/>
      <c r="AV108" s="23"/>
      <c r="AW108" s="23"/>
      <c r="AX108" s="11"/>
      <c r="AY108" s="23"/>
      <c r="AZ108" s="23"/>
      <c r="BA108" s="23"/>
      <c r="BB108" s="11"/>
      <c r="BC108" s="23"/>
      <c r="BD108" s="23"/>
      <c r="BE108" s="23"/>
      <c r="BF108" s="11"/>
      <c r="BG108" s="23"/>
      <c r="BH108" s="23"/>
      <c r="BI108" s="23"/>
      <c r="BJ108" s="11"/>
      <c r="BK108" s="23"/>
      <c r="BL108" s="23"/>
      <c r="BM108" s="23"/>
      <c r="BN108" s="11"/>
      <c r="BO108" s="23"/>
      <c r="BP108" s="23"/>
      <c r="BQ108" s="23"/>
      <c r="BR108" s="11"/>
      <c r="BS108" s="23"/>
      <c r="BT108" s="23"/>
      <c r="BU108" s="23"/>
      <c r="BV108" s="11"/>
      <c r="BW108" s="23"/>
      <c r="BX108" s="23"/>
      <c r="BY108" s="23"/>
      <c r="BZ108" s="11"/>
      <c r="CA108" s="3"/>
      <c r="CB108" s="3"/>
      <c r="CC108" s="3"/>
      <c r="CD108" s="3"/>
      <c r="CE108" s="3"/>
      <c r="CF108" s="3"/>
      <c r="CG108" s="3"/>
      <c r="CH108" s="3"/>
      <c r="CI108" s="3"/>
      <c r="CJ108" s="3"/>
      <c r="CK108" s="3"/>
      <c r="CL108" s="3"/>
      <c r="CM108" s="3"/>
      <c r="CN108" s="3"/>
      <c r="CO108" s="3"/>
      <c r="CP108" s="3"/>
      <c r="CQ108" s="3"/>
      <c r="CR108" s="3"/>
      <c r="CS108" s="3"/>
      <c r="CT108" s="3"/>
    </row>
    <row r="109" spans="1:98" x14ac:dyDescent="0.2">
      <c r="A109" s="109"/>
      <c r="B109" s="144"/>
      <c r="C109" s="23"/>
      <c r="D109" s="23"/>
      <c r="E109" s="23"/>
      <c r="F109" s="11"/>
      <c r="G109" s="23"/>
      <c r="H109" s="23"/>
      <c r="I109" s="23"/>
      <c r="J109" s="11"/>
      <c r="K109" s="23"/>
      <c r="L109" s="23"/>
      <c r="M109" s="23"/>
      <c r="N109" s="11"/>
      <c r="O109" s="23">
        <v>-50</v>
      </c>
      <c r="P109" s="23">
        <v>78.599999999999994</v>
      </c>
      <c r="Q109" s="23"/>
      <c r="R109" s="11"/>
      <c r="S109" s="23">
        <v>-50</v>
      </c>
      <c r="T109" s="23">
        <v>78.599999999999994</v>
      </c>
      <c r="U109" s="23"/>
      <c r="V109" s="11"/>
      <c r="W109" s="23"/>
      <c r="X109" s="23"/>
      <c r="Y109" s="23"/>
      <c r="Z109" s="11"/>
      <c r="AA109" s="23"/>
      <c r="AB109" s="23"/>
      <c r="AC109" s="23"/>
      <c r="AD109" s="11"/>
      <c r="AE109" s="23"/>
      <c r="AF109" s="23"/>
      <c r="AG109" s="23"/>
      <c r="AH109" s="11"/>
      <c r="AI109" s="23"/>
      <c r="AJ109" s="23"/>
      <c r="AK109" s="23"/>
      <c r="AL109" s="11"/>
      <c r="AM109" s="23"/>
      <c r="AN109" s="23"/>
      <c r="AO109" s="23"/>
      <c r="AP109" s="11"/>
      <c r="AQ109" s="23"/>
      <c r="AR109" s="23"/>
      <c r="AS109" s="23"/>
      <c r="AT109" s="11"/>
      <c r="AU109" s="23"/>
      <c r="AV109" s="23"/>
      <c r="AW109" s="23"/>
      <c r="AX109" s="11"/>
      <c r="AY109" s="23"/>
      <c r="AZ109" s="23"/>
      <c r="BA109" s="23"/>
      <c r="BB109" s="11"/>
      <c r="BC109" s="23"/>
      <c r="BD109" s="23"/>
      <c r="BE109" s="23"/>
      <c r="BF109" s="11"/>
      <c r="BG109" s="23"/>
      <c r="BH109" s="23"/>
      <c r="BI109" s="23"/>
      <c r="BJ109" s="11"/>
      <c r="BK109" s="23"/>
      <c r="BL109" s="23"/>
      <c r="BM109" s="23"/>
      <c r="BN109" s="11"/>
      <c r="BO109" s="23"/>
      <c r="BP109" s="23"/>
      <c r="BQ109" s="23"/>
      <c r="BR109" s="11"/>
      <c r="BS109" s="23"/>
      <c r="BT109" s="23"/>
      <c r="BU109" s="23"/>
      <c r="BV109" s="11"/>
      <c r="BW109" s="23"/>
      <c r="BX109" s="23"/>
      <c r="BY109" s="23"/>
      <c r="BZ109" s="11"/>
      <c r="CA109" s="3"/>
      <c r="CB109" s="3"/>
      <c r="CC109" s="3"/>
      <c r="CD109" s="3"/>
      <c r="CE109" s="3"/>
      <c r="CF109" s="3"/>
      <c r="CG109" s="3"/>
      <c r="CH109" s="3"/>
      <c r="CI109" s="3"/>
      <c r="CJ109" s="3"/>
      <c r="CK109" s="3"/>
      <c r="CL109" s="3"/>
      <c r="CM109" s="3"/>
      <c r="CN109" s="3"/>
      <c r="CO109" s="3"/>
      <c r="CP109" s="3"/>
      <c r="CQ109" s="3"/>
      <c r="CR109" s="3"/>
      <c r="CS109" s="3"/>
      <c r="CT109" s="3"/>
    </row>
    <row r="110" spans="1:98" x14ac:dyDescent="0.2">
      <c r="A110" s="109"/>
      <c r="B110" s="144"/>
      <c r="C110" s="23"/>
      <c r="D110" s="23"/>
      <c r="E110" s="23"/>
      <c r="F110" s="11"/>
      <c r="G110" s="23"/>
      <c r="H110" s="23"/>
      <c r="I110" s="23"/>
      <c r="J110" s="11"/>
      <c r="K110" s="23"/>
      <c r="L110" s="23"/>
      <c r="M110" s="23"/>
      <c r="N110" s="11"/>
      <c r="O110" s="23">
        <v>-20</v>
      </c>
      <c r="P110" s="23">
        <v>80.8</v>
      </c>
      <c r="Q110" s="23"/>
      <c r="R110" s="11"/>
      <c r="S110" s="23">
        <v>-20</v>
      </c>
      <c r="T110" s="23">
        <v>80.8</v>
      </c>
      <c r="U110" s="23"/>
      <c r="V110" s="11"/>
      <c r="W110" s="23"/>
      <c r="X110" s="23"/>
      <c r="Y110" s="23"/>
      <c r="Z110" s="11"/>
      <c r="AA110" s="23"/>
      <c r="AB110" s="23"/>
      <c r="AC110" s="23"/>
      <c r="AD110" s="11"/>
      <c r="AE110" s="23"/>
      <c r="AF110" s="23"/>
      <c r="AG110" s="23"/>
      <c r="AH110" s="11"/>
      <c r="AI110" s="23"/>
      <c r="AJ110" s="23"/>
      <c r="AK110" s="23"/>
      <c r="AL110" s="11"/>
      <c r="AM110" s="23"/>
      <c r="AN110" s="23"/>
      <c r="AO110" s="23"/>
      <c r="AP110" s="11"/>
      <c r="AQ110" s="23"/>
      <c r="AR110" s="23"/>
      <c r="AS110" s="23"/>
      <c r="AT110" s="11"/>
      <c r="AU110" s="23"/>
      <c r="AV110" s="23"/>
      <c r="AW110" s="23"/>
      <c r="AX110" s="11"/>
      <c r="AY110" s="23"/>
      <c r="AZ110" s="23"/>
      <c r="BA110" s="23"/>
      <c r="BB110" s="11"/>
      <c r="BC110" s="23"/>
      <c r="BD110" s="23"/>
      <c r="BE110" s="23"/>
      <c r="BF110" s="11"/>
      <c r="BG110" s="23"/>
      <c r="BH110" s="23"/>
      <c r="BI110" s="23"/>
      <c r="BJ110" s="11"/>
      <c r="BK110" s="23"/>
      <c r="BL110" s="23"/>
      <c r="BM110" s="23"/>
      <c r="BN110" s="11"/>
      <c r="BO110" s="23"/>
      <c r="BP110" s="23"/>
      <c r="BQ110" s="23"/>
      <c r="BR110" s="11"/>
      <c r="BS110" s="23"/>
      <c r="BT110" s="23"/>
      <c r="BU110" s="23"/>
      <c r="BV110" s="11"/>
      <c r="BW110" s="23"/>
      <c r="BX110" s="23"/>
      <c r="BY110" s="23"/>
      <c r="BZ110" s="11"/>
      <c r="CA110" s="3"/>
      <c r="CB110" s="3"/>
      <c r="CC110" s="3"/>
      <c r="CD110" s="3"/>
      <c r="CE110" s="3"/>
      <c r="CF110" s="3"/>
      <c r="CG110" s="3"/>
      <c r="CH110" s="3"/>
      <c r="CI110" s="3"/>
      <c r="CJ110" s="3"/>
      <c r="CK110" s="3"/>
      <c r="CL110" s="3"/>
      <c r="CM110" s="3"/>
      <c r="CN110" s="3"/>
      <c r="CO110" s="3"/>
      <c r="CP110" s="3"/>
      <c r="CQ110" s="3"/>
      <c r="CR110" s="3"/>
      <c r="CS110" s="3"/>
      <c r="CT110" s="3"/>
    </row>
    <row r="111" spans="1:98" x14ac:dyDescent="0.2">
      <c r="A111" s="109"/>
      <c r="B111" s="144"/>
      <c r="C111" s="23"/>
      <c r="D111" s="23"/>
      <c r="E111" s="23"/>
      <c r="F111" s="11"/>
      <c r="G111" s="23"/>
      <c r="H111" s="23"/>
      <c r="I111" s="23"/>
      <c r="J111" s="11"/>
      <c r="K111" s="23"/>
      <c r="L111" s="23"/>
      <c r="M111" s="23"/>
      <c r="N111" s="11"/>
      <c r="O111" s="23">
        <v>0</v>
      </c>
      <c r="P111" s="23">
        <v>81.3</v>
      </c>
      <c r="Q111" s="23"/>
      <c r="R111" s="11"/>
      <c r="S111" s="23">
        <v>0</v>
      </c>
      <c r="T111" s="23">
        <v>81.3</v>
      </c>
      <c r="U111" s="23"/>
      <c r="V111" s="11"/>
      <c r="W111" s="23"/>
      <c r="X111" s="23"/>
      <c r="Y111" s="23"/>
      <c r="Z111" s="11"/>
      <c r="AA111" s="23"/>
      <c r="AB111" s="23"/>
      <c r="AC111" s="23"/>
      <c r="AD111" s="11"/>
      <c r="AE111" s="23"/>
      <c r="AF111" s="23"/>
      <c r="AG111" s="23"/>
      <c r="AH111" s="11"/>
      <c r="AI111" s="23"/>
      <c r="AJ111" s="23"/>
      <c r="AK111" s="23"/>
      <c r="AL111" s="11"/>
      <c r="AM111" s="23"/>
      <c r="AN111" s="23"/>
      <c r="AO111" s="23"/>
      <c r="AP111" s="11"/>
      <c r="AQ111" s="23"/>
      <c r="AR111" s="23"/>
      <c r="AS111" s="23"/>
      <c r="AT111" s="11"/>
      <c r="AU111" s="23"/>
      <c r="AV111" s="23"/>
      <c r="AW111" s="23"/>
      <c r="AX111" s="11"/>
      <c r="AY111" s="23"/>
      <c r="AZ111" s="23"/>
      <c r="BA111" s="23"/>
      <c r="BB111" s="11"/>
      <c r="BC111" s="23"/>
      <c r="BD111" s="23"/>
      <c r="BE111" s="23"/>
      <c r="BF111" s="11"/>
      <c r="BG111" s="23"/>
      <c r="BH111" s="23"/>
      <c r="BI111" s="23"/>
      <c r="BJ111" s="11"/>
      <c r="BK111" s="23"/>
      <c r="BL111" s="23"/>
      <c r="BM111" s="23"/>
      <c r="BN111" s="11"/>
      <c r="BO111" s="23"/>
      <c r="BP111" s="23"/>
      <c r="BQ111" s="23"/>
      <c r="BR111" s="11"/>
      <c r="BS111" s="23"/>
      <c r="BT111" s="23"/>
      <c r="BU111" s="23"/>
      <c r="BV111" s="11"/>
      <c r="BW111" s="23"/>
      <c r="BX111" s="23"/>
      <c r="BY111" s="23"/>
      <c r="BZ111" s="11"/>
      <c r="CA111" s="3"/>
      <c r="CB111" s="3"/>
      <c r="CC111" s="3"/>
      <c r="CD111" s="3"/>
      <c r="CE111" s="3"/>
      <c r="CF111" s="3"/>
      <c r="CG111" s="3"/>
      <c r="CH111" s="3"/>
      <c r="CI111" s="3"/>
      <c r="CJ111" s="3"/>
      <c r="CK111" s="3"/>
      <c r="CL111" s="3"/>
      <c r="CM111" s="3"/>
      <c r="CN111" s="3"/>
      <c r="CO111" s="3"/>
      <c r="CP111" s="3"/>
      <c r="CQ111" s="3"/>
      <c r="CR111" s="3"/>
      <c r="CS111" s="3"/>
      <c r="CT111" s="3"/>
    </row>
    <row r="112" spans="1:98" x14ac:dyDescent="0.2">
      <c r="A112" s="109"/>
      <c r="B112" s="144"/>
      <c r="C112" s="23"/>
      <c r="D112" s="23"/>
      <c r="E112" s="23"/>
      <c r="F112" s="11"/>
      <c r="G112" s="23"/>
      <c r="H112" s="23"/>
      <c r="I112" s="23"/>
      <c r="J112" s="11"/>
      <c r="K112" s="23"/>
      <c r="L112" s="23"/>
      <c r="M112" s="23"/>
      <c r="N112" s="11"/>
      <c r="O112" s="23">
        <v>50</v>
      </c>
      <c r="P112" s="23">
        <v>80</v>
      </c>
      <c r="Q112" s="23"/>
      <c r="R112" s="11"/>
      <c r="S112" s="23">
        <v>50</v>
      </c>
      <c r="T112" s="23">
        <v>80</v>
      </c>
      <c r="U112" s="23"/>
      <c r="V112" s="11"/>
      <c r="W112" s="23"/>
      <c r="X112" s="23"/>
      <c r="Y112" s="23"/>
      <c r="Z112" s="11"/>
      <c r="AA112" s="23"/>
      <c r="AB112" s="23"/>
      <c r="AC112" s="23"/>
      <c r="AD112" s="11"/>
      <c r="AE112" s="23"/>
      <c r="AF112" s="23"/>
      <c r="AG112" s="23"/>
      <c r="AH112" s="11"/>
      <c r="AI112" s="23"/>
      <c r="AJ112" s="23"/>
      <c r="AK112" s="23"/>
      <c r="AL112" s="11"/>
      <c r="AM112" s="23"/>
      <c r="AN112" s="23"/>
      <c r="AO112" s="23"/>
      <c r="AP112" s="11"/>
      <c r="AQ112" s="23"/>
      <c r="AR112" s="23"/>
      <c r="AS112" s="23"/>
      <c r="AT112" s="11"/>
      <c r="AU112" s="23"/>
      <c r="AV112" s="23"/>
      <c r="AW112" s="23"/>
      <c r="AX112" s="11"/>
      <c r="AY112" s="23"/>
      <c r="AZ112" s="23"/>
      <c r="BA112" s="23"/>
      <c r="BB112" s="11"/>
      <c r="BC112" s="23"/>
      <c r="BD112" s="23"/>
      <c r="BE112" s="23"/>
      <c r="BF112" s="11"/>
      <c r="BG112" s="23"/>
      <c r="BH112" s="23"/>
      <c r="BI112" s="23"/>
      <c r="BJ112" s="11"/>
      <c r="BK112" s="23"/>
      <c r="BL112" s="23"/>
      <c r="BM112" s="23"/>
      <c r="BN112" s="11"/>
      <c r="BO112" s="23"/>
      <c r="BP112" s="23"/>
      <c r="BQ112" s="23"/>
      <c r="BR112" s="11"/>
      <c r="BS112" s="23"/>
      <c r="BT112" s="23"/>
      <c r="BU112" s="23"/>
      <c r="BV112" s="11"/>
      <c r="BW112" s="23"/>
      <c r="BX112" s="23"/>
      <c r="BY112" s="23"/>
      <c r="BZ112" s="11"/>
      <c r="CA112" s="3"/>
      <c r="CB112" s="3"/>
      <c r="CC112" s="3"/>
      <c r="CD112" s="3"/>
      <c r="CE112" s="3"/>
      <c r="CF112" s="3"/>
      <c r="CG112" s="3"/>
      <c r="CH112" s="3"/>
      <c r="CI112" s="3"/>
      <c r="CJ112" s="3"/>
      <c r="CK112" s="3"/>
      <c r="CL112" s="3"/>
      <c r="CM112" s="3"/>
      <c r="CN112" s="3"/>
      <c r="CO112" s="3"/>
      <c r="CP112" s="3"/>
      <c r="CQ112" s="3"/>
      <c r="CR112" s="3"/>
      <c r="CS112" s="3"/>
      <c r="CT112" s="3"/>
    </row>
    <row r="113" spans="1:98" x14ac:dyDescent="0.2">
      <c r="A113" s="109"/>
      <c r="B113" s="144"/>
      <c r="C113" s="23"/>
      <c r="D113" s="23"/>
      <c r="E113" s="23"/>
      <c r="F113" s="11"/>
      <c r="G113" s="23"/>
      <c r="H113" s="23"/>
      <c r="I113" s="23"/>
      <c r="J113" s="11"/>
      <c r="K113" s="23"/>
      <c r="L113" s="23"/>
      <c r="M113" s="23"/>
      <c r="N113" s="11"/>
      <c r="O113" s="23">
        <v>100</v>
      </c>
      <c r="P113" s="23">
        <v>77</v>
      </c>
      <c r="Q113" s="23"/>
      <c r="R113" s="11"/>
      <c r="S113" s="23">
        <v>100</v>
      </c>
      <c r="T113" s="23">
        <v>77</v>
      </c>
      <c r="U113" s="23"/>
      <c r="V113" s="11"/>
      <c r="W113" s="23"/>
      <c r="X113" s="23"/>
      <c r="Y113" s="23"/>
      <c r="Z113" s="11"/>
      <c r="AA113" s="23"/>
      <c r="AB113" s="23"/>
      <c r="AC113" s="23"/>
      <c r="AD113" s="11"/>
      <c r="AE113" s="23"/>
      <c r="AF113" s="23"/>
      <c r="AG113" s="23"/>
      <c r="AH113" s="11"/>
      <c r="AI113" s="23"/>
      <c r="AJ113" s="23"/>
      <c r="AK113" s="23"/>
      <c r="AL113" s="11"/>
      <c r="AM113" s="23"/>
      <c r="AN113" s="23"/>
      <c r="AO113" s="23"/>
      <c r="AP113" s="11"/>
      <c r="AQ113" s="23"/>
      <c r="AR113" s="23"/>
      <c r="AS113" s="23"/>
      <c r="AT113" s="11"/>
      <c r="AU113" s="23"/>
      <c r="AV113" s="23"/>
      <c r="AW113" s="23"/>
      <c r="AX113" s="11"/>
      <c r="AY113" s="23"/>
      <c r="AZ113" s="23"/>
      <c r="BA113" s="23"/>
      <c r="BB113" s="11"/>
      <c r="BC113" s="23"/>
      <c r="BD113" s="23"/>
      <c r="BE113" s="23"/>
      <c r="BF113" s="11"/>
      <c r="BG113" s="23"/>
      <c r="BH113" s="23"/>
      <c r="BI113" s="23"/>
      <c r="BJ113" s="11"/>
      <c r="BK113" s="23"/>
      <c r="BL113" s="23"/>
      <c r="BM113" s="23"/>
      <c r="BN113" s="11"/>
      <c r="BO113" s="23"/>
      <c r="BP113" s="23"/>
      <c r="BQ113" s="23"/>
      <c r="BR113" s="11"/>
      <c r="BS113" s="23"/>
      <c r="BT113" s="23"/>
      <c r="BU113" s="23"/>
      <c r="BV113" s="11"/>
      <c r="BW113" s="23"/>
      <c r="BX113" s="23"/>
      <c r="BY113" s="23"/>
      <c r="BZ113" s="11"/>
      <c r="CA113" s="3"/>
      <c r="CB113" s="3"/>
      <c r="CC113" s="3"/>
      <c r="CD113" s="3"/>
      <c r="CE113" s="3"/>
      <c r="CF113" s="3"/>
      <c r="CG113" s="3"/>
      <c r="CH113" s="3"/>
      <c r="CI113" s="3"/>
      <c r="CJ113" s="3"/>
      <c r="CK113" s="3"/>
      <c r="CL113" s="3"/>
      <c r="CM113" s="3"/>
      <c r="CN113" s="3"/>
      <c r="CO113" s="3"/>
      <c r="CP113" s="3"/>
      <c r="CQ113" s="3"/>
      <c r="CR113" s="3"/>
      <c r="CS113" s="3"/>
      <c r="CT113" s="3"/>
    </row>
    <row r="114" spans="1:98" x14ac:dyDescent="0.2">
      <c r="A114" s="109"/>
      <c r="B114" s="144"/>
      <c r="C114" s="23"/>
      <c r="D114" s="23"/>
      <c r="E114" s="23"/>
      <c r="F114" s="11"/>
      <c r="G114" s="23"/>
      <c r="H114" s="23"/>
      <c r="I114" s="23"/>
      <c r="J114" s="11"/>
      <c r="K114" s="23"/>
      <c r="L114" s="23"/>
      <c r="M114" s="23"/>
      <c r="N114" s="11"/>
      <c r="O114" s="23">
        <v>150</v>
      </c>
      <c r="P114" s="23">
        <v>72.099999999999994</v>
      </c>
      <c r="Q114" s="23"/>
      <c r="R114" s="11"/>
      <c r="S114" s="23">
        <v>150</v>
      </c>
      <c r="T114" s="23">
        <v>72.099999999999994</v>
      </c>
      <c r="U114" s="23"/>
      <c r="V114" s="11"/>
      <c r="W114" s="23"/>
      <c r="X114" s="23"/>
      <c r="Y114" s="23"/>
      <c r="Z114" s="11"/>
      <c r="AA114" s="23"/>
      <c r="AB114" s="23"/>
      <c r="AC114" s="23"/>
      <c r="AD114" s="11"/>
      <c r="AE114" s="23"/>
      <c r="AF114" s="23"/>
      <c r="AG114" s="23"/>
      <c r="AH114" s="11"/>
      <c r="AI114" s="23"/>
      <c r="AJ114" s="23"/>
      <c r="AK114" s="23"/>
      <c r="AL114" s="11"/>
      <c r="AM114" s="23"/>
      <c r="AN114" s="23"/>
      <c r="AO114" s="23"/>
      <c r="AP114" s="11"/>
      <c r="AQ114" s="23"/>
      <c r="AR114" s="23"/>
      <c r="AS114" s="23"/>
      <c r="AT114" s="11"/>
      <c r="AU114" s="23"/>
      <c r="AV114" s="23"/>
      <c r="AW114" s="23"/>
      <c r="AX114" s="11"/>
      <c r="AY114" s="23"/>
      <c r="AZ114" s="23"/>
      <c r="BA114" s="23"/>
      <c r="BB114" s="11"/>
      <c r="BC114" s="23"/>
      <c r="BD114" s="23"/>
      <c r="BE114" s="23"/>
      <c r="BF114" s="11"/>
      <c r="BG114" s="23"/>
      <c r="BH114" s="23"/>
      <c r="BI114" s="23"/>
      <c r="BJ114" s="11"/>
      <c r="BK114" s="23"/>
      <c r="BL114" s="23"/>
      <c r="BM114" s="23"/>
      <c r="BN114" s="11"/>
      <c r="BO114" s="23"/>
      <c r="BP114" s="23"/>
      <c r="BQ114" s="23"/>
      <c r="BR114" s="11"/>
      <c r="BS114" s="23"/>
      <c r="BT114" s="23"/>
      <c r="BU114" s="23"/>
      <c r="BV114" s="11"/>
      <c r="BW114" s="23"/>
      <c r="BX114" s="23"/>
      <c r="BY114" s="23"/>
      <c r="BZ114" s="11"/>
      <c r="CA114" s="3"/>
      <c r="CB114" s="3"/>
      <c r="CC114" s="3"/>
      <c r="CD114" s="3"/>
      <c r="CE114" s="3"/>
      <c r="CF114" s="3"/>
      <c r="CG114" s="3"/>
      <c r="CH114" s="3"/>
      <c r="CI114" s="3"/>
      <c r="CJ114" s="3"/>
      <c r="CK114" s="3"/>
      <c r="CL114" s="3"/>
      <c r="CM114" s="3"/>
      <c r="CN114" s="3"/>
      <c r="CO114" s="3"/>
      <c r="CP114" s="3"/>
      <c r="CQ114" s="3"/>
      <c r="CR114" s="3"/>
      <c r="CS114" s="3"/>
      <c r="CT114" s="3"/>
    </row>
    <row r="115" spans="1:98" x14ac:dyDescent="0.2">
      <c r="A115" s="109"/>
      <c r="B115" s="144"/>
      <c r="C115" s="23"/>
      <c r="D115" s="23"/>
      <c r="E115" s="23"/>
      <c r="F115" s="11"/>
      <c r="G115" s="23"/>
      <c r="H115" s="23"/>
      <c r="I115" s="23"/>
      <c r="J115" s="11"/>
      <c r="K115" s="23"/>
      <c r="L115" s="23"/>
      <c r="M115" s="23"/>
      <c r="N115" s="11"/>
      <c r="O115" s="23">
        <v>200</v>
      </c>
      <c r="P115" s="23">
        <v>63.4</v>
      </c>
      <c r="Q115" s="23"/>
      <c r="R115" s="11"/>
      <c r="S115" s="23">
        <v>200</v>
      </c>
      <c r="T115" s="23">
        <v>63.4</v>
      </c>
      <c r="U115" s="23"/>
      <c r="V115" s="11"/>
      <c r="W115" s="23"/>
      <c r="X115" s="23"/>
      <c r="Y115" s="23"/>
      <c r="Z115" s="11"/>
      <c r="AA115" s="23"/>
      <c r="AB115" s="23"/>
      <c r="AC115" s="23"/>
      <c r="AD115" s="11"/>
      <c r="AE115" s="23"/>
      <c r="AF115" s="23"/>
      <c r="AG115" s="23"/>
      <c r="AH115" s="11"/>
      <c r="AI115" s="23"/>
      <c r="AJ115" s="23"/>
      <c r="AK115" s="23"/>
      <c r="AL115" s="11"/>
      <c r="AM115" s="23"/>
      <c r="AN115" s="23"/>
      <c r="AO115" s="23"/>
      <c r="AP115" s="11"/>
      <c r="AQ115" s="23"/>
      <c r="AR115" s="23"/>
      <c r="AS115" s="23"/>
      <c r="AT115" s="11"/>
      <c r="AU115" s="23"/>
      <c r="AV115" s="23"/>
      <c r="AW115" s="23"/>
      <c r="AX115" s="11"/>
      <c r="AY115" s="23"/>
      <c r="AZ115" s="23"/>
      <c r="BA115" s="23"/>
      <c r="BB115" s="11"/>
      <c r="BC115" s="23"/>
      <c r="BD115" s="23"/>
      <c r="BE115" s="23"/>
      <c r="BF115" s="11"/>
      <c r="BG115" s="23"/>
      <c r="BH115" s="23"/>
      <c r="BI115" s="23"/>
      <c r="BJ115" s="11"/>
      <c r="BK115" s="23"/>
      <c r="BL115" s="23"/>
      <c r="BM115" s="23"/>
      <c r="BN115" s="11"/>
      <c r="BO115" s="23"/>
      <c r="BP115" s="23"/>
      <c r="BQ115" s="23"/>
      <c r="BR115" s="11"/>
      <c r="BS115" s="23"/>
      <c r="BT115" s="23"/>
      <c r="BU115" s="23"/>
      <c r="BV115" s="11"/>
      <c r="BW115" s="23"/>
      <c r="BX115" s="23"/>
      <c r="BY115" s="23"/>
      <c r="BZ115" s="11"/>
      <c r="CA115" s="3"/>
      <c r="CB115" s="3"/>
      <c r="CC115" s="3"/>
      <c r="CD115" s="3"/>
      <c r="CE115" s="3"/>
      <c r="CF115" s="3"/>
      <c r="CG115" s="3"/>
      <c r="CH115" s="3"/>
      <c r="CI115" s="3"/>
      <c r="CJ115" s="3"/>
      <c r="CK115" s="3"/>
      <c r="CL115" s="3"/>
      <c r="CM115" s="3"/>
      <c r="CN115" s="3"/>
      <c r="CO115" s="3"/>
      <c r="CP115" s="3"/>
      <c r="CQ115" s="3"/>
      <c r="CR115" s="3"/>
      <c r="CS115" s="3"/>
      <c r="CT115" s="3"/>
    </row>
    <row r="116" spans="1:98" x14ac:dyDescent="0.2">
      <c r="A116" s="109"/>
      <c r="B116" s="144"/>
      <c r="C116" s="23"/>
      <c r="D116" s="23"/>
      <c r="E116" s="23"/>
      <c r="F116" s="11"/>
      <c r="G116" s="23"/>
      <c r="H116" s="23"/>
      <c r="I116" s="23"/>
      <c r="J116" s="11"/>
      <c r="K116" s="23"/>
      <c r="L116" s="23"/>
      <c r="M116" s="23"/>
      <c r="N116" s="11"/>
      <c r="O116" s="23">
        <v>250</v>
      </c>
      <c r="P116" s="23">
        <v>62</v>
      </c>
      <c r="Q116" s="23"/>
      <c r="R116" s="11"/>
      <c r="S116" s="23">
        <v>250</v>
      </c>
      <c r="T116" s="23">
        <v>62</v>
      </c>
      <c r="U116" s="23"/>
      <c r="V116" s="11"/>
      <c r="W116" s="23"/>
      <c r="X116" s="23"/>
      <c r="Y116" s="23"/>
      <c r="Z116" s="11"/>
      <c r="AA116" s="23"/>
      <c r="AB116" s="23"/>
      <c r="AC116" s="23"/>
      <c r="AD116" s="11"/>
      <c r="AE116" s="23"/>
      <c r="AF116" s="23"/>
      <c r="AG116" s="23"/>
      <c r="AH116" s="11"/>
      <c r="AI116" s="23"/>
      <c r="AJ116" s="23"/>
      <c r="AK116" s="23"/>
      <c r="AL116" s="11"/>
      <c r="AM116" s="23"/>
      <c r="AN116" s="23"/>
      <c r="AO116" s="23"/>
      <c r="AP116" s="11"/>
      <c r="AQ116" s="23"/>
      <c r="AR116" s="23"/>
      <c r="AS116" s="23"/>
      <c r="AT116" s="11"/>
      <c r="AU116" s="23"/>
      <c r="AV116" s="23"/>
      <c r="AW116" s="23"/>
      <c r="AX116" s="11"/>
      <c r="AY116" s="23"/>
      <c r="AZ116" s="23"/>
      <c r="BA116" s="23"/>
      <c r="BB116" s="11"/>
      <c r="BC116" s="23"/>
      <c r="BD116" s="23"/>
      <c r="BE116" s="23"/>
      <c r="BF116" s="11"/>
      <c r="BG116" s="23"/>
      <c r="BH116" s="23"/>
      <c r="BI116" s="23"/>
      <c r="BJ116" s="11"/>
      <c r="BK116" s="23"/>
      <c r="BL116" s="23"/>
      <c r="BM116" s="23"/>
      <c r="BN116" s="11"/>
      <c r="BO116" s="23"/>
      <c r="BP116" s="23"/>
      <c r="BQ116" s="23"/>
      <c r="BR116" s="11"/>
      <c r="BS116" s="23"/>
      <c r="BT116" s="23"/>
      <c r="BU116" s="23"/>
      <c r="BV116" s="11"/>
      <c r="BW116" s="23"/>
      <c r="BX116" s="23"/>
      <c r="BY116" s="23"/>
      <c r="BZ116" s="11"/>
      <c r="CA116" s="3"/>
      <c r="CB116" s="3"/>
      <c r="CC116" s="3"/>
      <c r="CD116" s="3"/>
      <c r="CE116" s="3"/>
      <c r="CF116" s="3"/>
      <c r="CG116" s="3"/>
      <c r="CH116" s="3"/>
      <c r="CI116" s="3"/>
      <c r="CJ116" s="3"/>
      <c r="CK116" s="3"/>
      <c r="CL116" s="3"/>
      <c r="CM116" s="3"/>
      <c r="CN116" s="3"/>
      <c r="CO116" s="3"/>
      <c r="CP116" s="3"/>
      <c r="CQ116" s="3"/>
      <c r="CR116" s="3"/>
      <c r="CS116" s="3"/>
      <c r="CT116" s="3"/>
    </row>
    <row r="117" spans="1:98" x14ac:dyDescent="0.2">
      <c r="A117" s="109"/>
      <c r="B117" s="144"/>
      <c r="C117" s="23"/>
      <c r="D117" s="23"/>
      <c r="E117" s="23"/>
      <c r="F117" s="11"/>
      <c r="G117" s="23"/>
      <c r="H117" s="23"/>
      <c r="I117" s="23"/>
      <c r="J117" s="11"/>
      <c r="K117" s="23"/>
      <c r="L117" s="23"/>
      <c r="M117" s="23"/>
      <c r="N117" s="11"/>
      <c r="O117" s="23">
        <v>300</v>
      </c>
      <c r="P117" s="23">
        <v>64.7</v>
      </c>
      <c r="Q117" s="23"/>
      <c r="R117" s="11"/>
      <c r="S117" s="23">
        <v>300</v>
      </c>
      <c r="T117" s="23">
        <v>64.7</v>
      </c>
      <c r="U117" s="23"/>
      <c r="V117" s="11"/>
      <c r="W117" s="23"/>
      <c r="X117" s="23"/>
      <c r="Y117" s="23"/>
      <c r="Z117" s="11"/>
      <c r="AA117" s="23"/>
      <c r="AB117" s="23"/>
      <c r="AC117" s="23"/>
      <c r="AD117" s="11"/>
      <c r="AE117" s="23"/>
      <c r="AF117" s="23"/>
      <c r="AG117" s="23"/>
      <c r="AH117" s="11"/>
      <c r="AI117" s="23"/>
      <c r="AJ117" s="23"/>
      <c r="AK117" s="23"/>
      <c r="AL117" s="11"/>
      <c r="AM117" s="23"/>
      <c r="AN117" s="23"/>
      <c r="AO117" s="23"/>
      <c r="AP117" s="11"/>
      <c r="AQ117" s="23"/>
      <c r="AR117" s="23"/>
      <c r="AS117" s="23"/>
      <c r="AT117" s="11"/>
      <c r="AU117" s="23"/>
      <c r="AV117" s="23"/>
      <c r="AW117" s="23"/>
      <c r="AX117" s="11"/>
      <c r="AY117" s="23"/>
      <c r="AZ117" s="23"/>
      <c r="BA117" s="23"/>
      <c r="BB117" s="11"/>
      <c r="BC117" s="23"/>
      <c r="BD117" s="23"/>
      <c r="BE117" s="23"/>
      <c r="BF117" s="11"/>
      <c r="BG117" s="23"/>
      <c r="BH117" s="23"/>
      <c r="BI117" s="23"/>
      <c r="BJ117" s="11"/>
      <c r="BK117" s="23"/>
      <c r="BL117" s="23"/>
      <c r="BM117" s="23"/>
      <c r="BN117" s="11"/>
      <c r="BO117" s="23"/>
      <c r="BP117" s="23"/>
      <c r="BQ117" s="23"/>
      <c r="BR117" s="11"/>
      <c r="BS117" s="23"/>
      <c r="BT117" s="23"/>
      <c r="BU117" s="23"/>
      <c r="BV117" s="11"/>
      <c r="BW117" s="23"/>
      <c r="BX117" s="23"/>
      <c r="BY117" s="23"/>
      <c r="BZ117" s="11"/>
      <c r="CA117" s="3"/>
      <c r="CB117" s="3"/>
      <c r="CC117" s="3"/>
      <c r="CD117" s="3"/>
      <c r="CE117" s="3"/>
      <c r="CF117" s="3"/>
      <c r="CG117" s="3"/>
      <c r="CH117" s="3"/>
      <c r="CI117" s="3"/>
      <c r="CJ117" s="3"/>
      <c r="CK117" s="3"/>
      <c r="CL117" s="3"/>
      <c r="CM117" s="3"/>
      <c r="CN117" s="3"/>
      <c r="CO117" s="3"/>
      <c r="CP117" s="3"/>
      <c r="CQ117" s="3"/>
      <c r="CR117" s="3"/>
      <c r="CS117" s="3"/>
      <c r="CT117" s="3"/>
    </row>
    <row r="118" spans="1:98" x14ac:dyDescent="0.2">
      <c r="A118" s="109"/>
      <c r="B118" s="144"/>
      <c r="C118" s="23"/>
      <c r="D118" s="23"/>
      <c r="E118" s="23"/>
      <c r="F118" s="11"/>
      <c r="G118" s="23"/>
      <c r="H118" s="23"/>
      <c r="I118" s="23"/>
      <c r="J118" s="11"/>
      <c r="K118" s="23"/>
      <c r="L118" s="23"/>
      <c r="M118" s="23"/>
      <c r="N118" s="11"/>
      <c r="O118" s="23">
        <v>350</v>
      </c>
      <c r="P118" s="23">
        <v>69.3</v>
      </c>
      <c r="Q118" s="23"/>
      <c r="R118" s="11"/>
      <c r="S118" s="23">
        <v>350</v>
      </c>
      <c r="T118" s="23">
        <v>69.3</v>
      </c>
      <c r="U118" s="23"/>
      <c r="V118" s="11"/>
      <c r="W118" s="23"/>
      <c r="X118" s="23"/>
      <c r="Y118" s="23"/>
      <c r="Z118" s="11"/>
      <c r="AA118" s="23"/>
      <c r="AB118" s="23"/>
      <c r="AC118" s="23"/>
      <c r="AD118" s="11"/>
      <c r="AE118" s="23"/>
      <c r="AF118" s="23"/>
      <c r="AG118" s="23"/>
      <c r="AH118" s="11"/>
      <c r="AI118" s="23"/>
      <c r="AJ118" s="23"/>
      <c r="AK118" s="23"/>
      <c r="AL118" s="11"/>
      <c r="AM118" s="23"/>
      <c r="AN118" s="23"/>
      <c r="AO118" s="23"/>
      <c r="AP118" s="11"/>
      <c r="AQ118" s="23"/>
      <c r="AR118" s="23"/>
      <c r="AS118" s="23"/>
      <c r="AT118" s="11"/>
      <c r="AU118" s="23"/>
      <c r="AV118" s="23"/>
      <c r="AW118" s="23"/>
      <c r="AX118" s="11"/>
      <c r="AY118" s="23"/>
      <c r="AZ118" s="23"/>
      <c r="BA118" s="23"/>
      <c r="BB118" s="11"/>
      <c r="BC118" s="23"/>
      <c r="BD118" s="23"/>
      <c r="BE118" s="23"/>
      <c r="BF118" s="11"/>
      <c r="BG118" s="23"/>
      <c r="BH118" s="23"/>
      <c r="BI118" s="23"/>
      <c r="BJ118" s="11"/>
      <c r="BK118" s="23"/>
      <c r="BL118" s="23"/>
      <c r="BM118" s="23"/>
      <c r="BN118" s="11"/>
      <c r="BO118" s="23"/>
      <c r="BP118" s="23"/>
      <c r="BQ118" s="23"/>
      <c r="BR118" s="11"/>
      <c r="BS118" s="23"/>
      <c r="BT118" s="23"/>
      <c r="BU118" s="23"/>
      <c r="BV118" s="11"/>
      <c r="BW118" s="23"/>
      <c r="BX118" s="23"/>
      <c r="BY118" s="23"/>
      <c r="BZ118" s="11"/>
      <c r="CA118" s="3"/>
      <c r="CB118" s="3"/>
      <c r="CC118" s="3"/>
      <c r="CD118" s="3"/>
      <c r="CE118" s="3"/>
      <c r="CF118" s="3"/>
      <c r="CG118" s="3"/>
      <c r="CH118" s="3"/>
      <c r="CI118" s="3"/>
      <c r="CJ118" s="3"/>
      <c r="CK118" s="3"/>
      <c r="CL118" s="3"/>
      <c r="CM118" s="3"/>
      <c r="CN118" s="3"/>
      <c r="CO118" s="3"/>
      <c r="CP118" s="3"/>
      <c r="CQ118" s="3"/>
      <c r="CR118" s="3"/>
      <c r="CS118" s="3"/>
      <c r="CT118" s="3"/>
    </row>
    <row r="119" spans="1:98" x14ac:dyDescent="0.2">
      <c r="A119" s="109"/>
      <c r="B119" s="144"/>
      <c r="C119" s="23"/>
      <c r="D119" s="23"/>
      <c r="E119" s="23"/>
      <c r="F119" s="11"/>
      <c r="G119" s="23"/>
      <c r="H119" s="23"/>
      <c r="I119" s="23"/>
      <c r="J119" s="11"/>
      <c r="K119" s="23"/>
      <c r="L119" s="23"/>
      <c r="M119" s="23"/>
      <c r="N119" s="11"/>
      <c r="O119" s="23">
        <v>400</v>
      </c>
      <c r="P119" s="23">
        <v>66.5</v>
      </c>
      <c r="Q119" s="23"/>
      <c r="R119" s="11"/>
      <c r="S119" s="23">
        <v>400</v>
      </c>
      <c r="T119" s="23">
        <v>66.5</v>
      </c>
      <c r="U119" s="23"/>
      <c r="V119" s="11"/>
      <c r="W119" s="23"/>
      <c r="X119" s="23"/>
      <c r="Y119" s="23"/>
      <c r="Z119" s="11"/>
      <c r="AA119" s="23"/>
      <c r="AB119" s="23"/>
      <c r="AC119" s="23"/>
      <c r="AD119" s="11"/>
      <c r="AE119" s="23"/>
      <c r="AF119" s="23"/>
      <c r="AG119" s="23"/>
      <c r="AH119" s="11"/>
      <c r="AI119" s="23"/>
      <c r="AJ119" s="23"/>
      <c r="AK119" s="23"/>
      <c r="AL119" s="11"/>
      <c r="AM119" s="23"/>
      <c r="AN119" s="23"/>
      <c r="AO119" s="23"/>
      <c r="AP119" s="11"/>
      <c r="AQ119" s="23"/>
      <c r="AR119" s="23"/>
      <c r="AS119" s="23"/>
      <c r="AT119" s="11"/>
      <c r="AU119" s="23"/>
      <c r="AV119" s="23"/>
      <c r="AW119" s="23"/>
      <c r="AX119" s="11"/>
      <c r="AY119" s="23"/>
      <c r="AZ119" s="23"/>
      <c r="BA119" s="23"/>
      <c r="BB119" s="11"/>
      <c r="BC119" s="23"/>
      <c r="BD119" s="23"/>
      <c r="BE119" s="23"/>
      <c r="BF119" s="11"/>
      <c r="BG119" s="23"/>
      <c r="BH119" s="23"/>
      <c r="BI119" s="23"/>
      <c r="BJ119" s="11"/>
      <c r="BK119" s="23"/>
      <c r="BL119" s="23"/>
      <c r="BM119" s="23"/>
      <c r="BN119" s="11"/>
      <c r="BO119" s="23"/>
      <c r="BP119" s="23"/>
      <c r="BQ119" s="23"/>
      <c r="BR119" s="11"/>
      <c r="BS119" s="23"/>
      <c r="BT119" s="23"/>
      <c r="BU119" s="23"/>
      <c r="BV119" s="11"/>
      <c r="BW119" s="23"/>
      <c r="BX119" s="23"/>
      <c r="BY119" s="23"/>
      <c r="BZ119" s="11"/>
      <c r="CA119" s="3"/>
      <c r="CB119" s="3"/>
      <c r="CC119" s="3"/>
      <c r="CD119" s="3"/>
      <c r="CE119" s="3"/>
      <c r="CF119" s="3"/>
      <c r="CG119" s="3"/>
      <c r="CH119" s="3"/>
      <c r="CI119" s="3"/>
      <c r="CJ119" s="3"/>
      <c r="CK119" s="3"/>
      <c r="CL119" s="3"/>
      <c r="CM119" s="3"/>
      <c r="CN119" s="3"/>
      <c r="CO119" s="3"/>
      <c r="CP119" s="3"/>
      <c r="CQ119" s="3"/>
      <c r="CR119" s="3"/>
      <c r="CS119" s="3"/>
      <c r="CT119" s="3"/>
    </row>
    <row r="120" spans="1:98" x14ac:dyDescent="0.2">
      <c r="A120" s="109"/>
      <c r="B120" s="144"/>
      <c r="C120" s="23"/>
      <c r="D120" s="23"/>
      <c r="E120" s="23"/>
      <c r="F120" s="11"/>
      <c r="G120" s="23"/>
      <c r="H120" s="23"/>
      <c r="I120" s="23"/>
      <c r="J120" s="11"/>
      <c r="K120" s="23"/>
      <c r="L120" s="23"/>
      <c r="M120" s="23"/>
      <c r="N120" s="11"/>
      <c r="O120" s="23">
        <v>450</v>
      </c>
      <c r="P120" s="23">
        <v>59</v>
      </c>
      <c r="Q120" s="23"/>
      <c r="R120" s="11"/>
      <c r="S120" s="23">
        <v>450</v>
      </c>
      <c r="T120" s="23">
        <v>59</v>
      </c>
      <c r="U120" s="23"/>
      <c r="V120" s="11"/>
      <c r="W120" s="23"/>
      <c r="X120" s="23"/>
      <c r="Y120" s="23"/>
      <c r="Z120" s="11"/>
      <c r="AA120" s="23"/>
      <c r="AB120" s="23"/>
      <c r="AC120" s="23"/>
      <c r="AD120" s="11"/>
      <c r="AE120" s="23"/>
      <c r="AF120" s="23"/>
      <c r="AG120" s="23"/>
      <c r="AH120" s="11"/>
      <c r="AI120" s="23"/>
      <c r="AJ120" s="23"/>
      <c r="AK120" s="23"/>
      <c r="AL120" s="11"/>
      <c r="AM120" s="23"/>
      <c r="AN120" s="23"/>
      <c r="AO120" s="23"/>
      <c r="AP120" s="11"/>
      <c r="AQ120" s="23"/>
      <c r="AR120" s="23"/>
      <c r="AS120" s="23"/>
      <c r="AT120" s="11"/>
      <c r="AU120" s="23"/>
      <c r="AV120" s="23"/>
      <c r="AW120" s="23"/>
      <c r="AX120" s="11"/>
      <c r="AY120" s="23"/>
      <c r="AZ120" s="23"/>
      <c r="BA120" s="23"/>
      <c r="BB120" s="11"/>
      <c r="BC120" s="23"/>
      <c r="BD120" s="23"/>
      <c r="BE120" s="23"/>
      <c r="BF120" s="11"/>
      <c r="BG120" s="23"/>
      <c r="BH120" s="23"/>
      <c r="BI120" s="23"/>
      <c r="BJ120" s="11"/>
      <c r="BK120" s="23"/>
      <c r="BL120" s="23"/>
      <c r="BM120" s="23"/>
      <c r="BN120" s="11"/>
      <c r="BO120" s="23"/>
      <c r="BP120" s="23"/>
      <c r="BQ120" s="23"/>
      <c r="BR120" s="11"/>
      <c r="BS120" s="23"/>
      <c r="BT120" s="23"/>
      <c r="BU120" s="23"/>
      <c r="BV120" s="11"/>
      <c r="BW120" s="23"/>
      <c r="BX120" s="23"/>
      <c r="BY120" s="23"/>
      <c r="BZ120" s="11"/>
      <c r="CA120" s="3"/>
      <c r="CB120" s="3"/>
      <c r="CC120" s="3"/>
      <c r="CD120" s="3"/>
      <c r="CE120" s="3"/>
      <c r="CF120" s="3"/>
      <c r="CG120" s="3"/>
      <c r="CH120" s="3"/>
      <c r="CI120" s="3"/>
      <c r="CJ120" s="3"/>
      <c r="CK120" s="3"/>
      <c r="CL120" s="3"/>
      <c r="CM120" s="3"/>
      <c r="CN120" s="3"/>
      <c r="CO120" s="3"/>
      <c r="CP120" s="3"/>
      <c r="CQ120" s="3"/>
      <c r="CR120" s="3"/>
      <c r="CS120" s="3"/>
      <c r="CT120" s="3"/>
    </row>
    <row r="121" spans="1:98" x14ac:dyDescent="0.2">
      <c r="A121" s="109"/>
      <c r="B121" s="144"/>
      <c r="C121" s="23"/>
      <c r="D121" s="23"/>
      <c r="E121" s="23"/>
      <c r="F121" s="11"/>
      <c r="G121" s="23"/>
      <c r="H121" s="23"/>
      <c r="I121" s="23"/>
      <c r="J121" s="11"/>
      <c r="K121" s="23"/>
      <c r="L121" s="23"/>
      <c r="M121" s="23"/>
      <c r="N121" s="11"/>
      <c r="O121" s="23">
        <v>500</v>
      </c>
      <c r="P121" s="23">
        <v>51.5</v>
      </c>
      <c r="Q121" s="23"/>
      <c r="R121" s="11"/>
      <c r="S121" s="23">
        <v>500</v>
      </c>
      <c r="T121" s="23">
        <v>51.5</v>
      </c>
      <c r="U121" s="23"/>
      <c r="V121" s="11"/>
      <c r="W121" s="23"/>
      <c r="X121" s="23"/>
      <c r="Y121" s="23"/>
      <c r="Z121" s="11"/>
      <c r="AA121" s="23"/>
      <c r="AB121" s="23"/>
      <c r="AC121" s="23"/>
      <c r="AD121" s="11"/>
      <c r="AE121" s="23"/>
      <c r="AF121" s="23"/>
      <c r="AG121" s="23"/>
      <c r="AH121" s="11"/>
      <c r="AI121" s="23"/>
      <c r="AJ121" s="23"/>
      <c r="AK121" s="23"/>
      <c r="AL121" s="11"/>
      <c r="AM121" s="23"/>
      <c r="AN121" s="23"/>
      <c r="AO121" s="23"/>
      <c r="AP121" s="11"/>
      <c r="AQ121" s="23"/>
      <c r="AR121" s="23"/>
      <c r="AS121" s="23"/>
      <c r="AT121" s="11"/>
      <c r="AU121" s="23"/>
      <c r="AV121" s="23"/>
      <c r="AW121" s="23"/>
      <c r="AX121" s="11"/>
      <c r="AY121" s="23"/>
      <c r="AZ121" s="23"/>
      <c r="BA121" s="23"/>
      <c r="BB121" s="11"/>
      <c r="BC121" s="23"/>
      <c r="BD121" s="23"/>
      <c r="BE121" s="23"/>
      <c r="BF121" s="11"/>
      <c r="BG121" s="23"/>
      <c r="BH121" s="23"/>
      <c r="BI121" s="23"/>
      <c r="BJ121" s="11"/>
      <c r="BK121" s="23"/>
      <c r="BL121" s="23"/>
      <c r="BM121" s="23"/>
      <c r="BN121" s="11"/>
      <c r="BO121" s="23"/>
      <c r="BP121" s="23"/>
      <c r="BQ121" s="23"/>
      <c r="BR121" s="11"/>
      <c r="BS121" s="23"/>
      <c r="BT121" s="23"/>
      <c r="BU121" s="23"/>
      <c r="BV121" s="11"/>
      <c r="BW121" s="23"/>
      <c r="BX121" s="23"/>
      <c r="BY121" s="23"/>
      <c r="BZ121" s="11"/>
      <c r="CA121" s="3"/>
      <c r="CB121" s="3"/>
      <c r="CC121" s="3"/>
      <c r="CD121" s="3"/>
      <c r="CE121" s="3"/>
      <c r="CF121" s="3"/>
      <c r="CG121" s="3"/>
      <c r="CH121" s="3"/>
      <c r="CI121" s="3"/>
      <c r="CJ121" s="3"/>
      <c r="CK121" s="3"/>
      <c r="CL121" s="3"/>
      <c r="CM121" s="3"/>
      <c r="CN121" s="3"/>
      <c r="CO121" s="3"/>
      <c r="CP121" s="3"/>
      <c r="CQ121" s="3"/>
      <c r="CR121" s="3"/>
      <c r="CS121" s="3"/>
      <c r="CT121" s="3"/>
    </row>
    <row r="122" spans="1:98" x14ac:dyDescent="0.2">
      <c r="A122" s="109"/>
      <c r="B122" s="144"/>
      <c r="C122" s="23"/>
      <c r="D122" s="23"/>
      <c r="E122" s="23"/>
      <c r="F122" s="11"/>
      <c r="G122" s="23"/>
      <c r="H122" s="23"/>
      <c r="I122" s="23"/>
      <c r="J122" s="11"/>
      <c r="K122" s="23"/>
      <c r="L122" s="23"/>
      <c r="M122" s="23"/>
      <c r="N122" s="11"/>
      <c r="O122" s="23">
        <v>550</v>
      </c>
      <c r="P122" s="23">
        <v>44</v>
      </c>
      <c r="Q122" s="23"/>
      <c r="R122" s="11"/>
      <c r="S122" s="23">
        <v>550</v>
      </c>
      <c r="T122" s="23">
        <v>44</v>
      </c>
      <c r="U122" s="23"/>
      <c r="V122" s="11"/>
      <c r="W122" s="23"/>
      <c r="X122" s="23"/>
      <c r="Y122" s="23"/>
      <c r="Z122" s="11"/>
      <c r="AA122" s="23"/>
      <c r="AB122" s="23"/>
      <c r="AC122" s="23"/>
      <c r="AD122" s="11"/>
      <c r="AE122" s="23"/>
      <c r="AF122" s="23"/>
      <c r="AG122" s="23"/>
      <c r="AH122" s="11"/>
      <c r="AI122" s="23"/>
      <c r="AJ122" s="23"/>
      <c r="AK122" s="23"/>
      <c r="AL122" s="11"/>
      <c r="AM122" s="23"/>
      <c r="AN122" s="23"/>
      <c r="AO122" s="23"/>
      <c r="AP122" s="11"/>
      <c r="AQ122" s="23"/>
      <c r="AR122" s="23"/>
      <c r="AS122" s="23"/>
      <c r="AT122" s="11"/>
      <c r="AU122" s="23"/>
      <c r="AV122" s="23"/>
      <c r="AW122" s="23"/>
      <c r="AX122" s="11"/>
      <c r="AY122" s="23"/>
      <c r="AZ122" s="23"/>
      <c r="BA122" s="23"/>
      <c r="BB122" s="11"/>
      <c r="BC122" s="23"/>
      <c r="BD122" s="23"/>
      <c r="BE122" s="23"/>
      <c r="BF122" s="11"/>
      <c r="BG122" s="23"/>
      <c r="BH122" s="23"/>
      <c r="BI122" s="23"/>
      <c r="BJ122" s="11"/>
      <c r="BK122" s="23"/>
      <c r="BL122" s="23"/>
      <c r="BM122" s="23"/>
      <c r="BN122" s="11"/>
      <c r="BO122" s="23"/>
      <c r="BP122" s="23"/>
      <c r="BQ122" s="23"/>
      <c r="BR122" s="11"/>
      <c r="BS122" s="23"/>
      <c r="BT122" s="23"/>
      <c r="BU122" s="23"/>
      <c r="BV122" s="11"/>
      <c r="BW122" s="23"/>
      <c r="BX122" s="23"/>
      <c r="BY122" s="23"/>
      <c r="BZ122" s="11"/>
      <c r="CA122" s="3"/>
      <c r="CB122" s="3"/>
      <c r="CC122" s="3"/>
      <c r="CD122" s="3"/>
      <c r="CE122" s="3"/>
      <c r="CF122" s="3"/>
      <c r="CG122" s="3"/>
      <c r="CH122" s="3"/>
      <c r="CI122" s="3"/>
      <c r="CJ122" s="3"/>
      <c r="CK122" s="3"/>
      <c r="CL122" s="3"/>
      <c r="CM122" s="3"/>
      <c r="CN122" s="3"/>
      <c r="CO122" s="3"/>
      <c r="CP122" s="3"/>
      <c r="CQ122" s="3"/>
      <c r="CR122" s="3"/>
      <c r="CS122" s="3"/>
      <c r="CT122" s="3"/>
    </row>
    <row r="123" spans="1:98" x14ac:dyDescent="0.2">
      <c r="A123" s="109"/>
      <c r="B123" s="144"/>
      <c r="C123" s="23"/>
      <c r="D123" s="23"/>
      <c r="E123" s="23"/>
      <c r="F123" s="11"/>
      <c r="G123" s="23"/>
      <c r="H123" s="23"/>
      <c r="I123" s="23"/>
      <c r="J123" s="11"/>
      <c r="K123" s="23"/>
      <c r="L123" s="23"/>
      <c r="M123" s="23"/>
      <c r="N123" s="11"/>
      <c r="O123" s="23">
        <v>600</v>
      </c>
      <c r="P123" s="23">
        <v>36.5</v>
      </c>
      <c r="Q123" s="23"/>
      <c r="R123" s="11"/>
      <c r="S123" s="23">
        <v>600</v>
      </c>
      <c r="T123" s="23">
        <v>36.5</v>
      </c>
      <c r="U123" s="23"/>
      <c r="V123" s="11"/>
      <c r="W123" s="23"/>
      <c r="X123" s="23"/>
      <c r="Y123" s="23"/>
      <c r="Z123" s="11"/>
      <c r="AA123" s="23"/>
      <c r="AB123" s="23"/>
      <c r="AC123" s="23"/>
      <c r="AD123" s="11"/>
      <c r="AE123" s="23"/>
      <c r="AF123" s="23"/>
      <c r="AG123" s="23"/>
      <c r="AH123" s="11"/>
      <c r="AI123" s="23"/>
      <c r="AJ123" s="23"/>
      <c r="AK123" s="23"/>
      <c r="AL123" s="11"/>
      <c r="AM123" s="23"/>
      <c r="AN123" s="23"/>
      <c r="AO123" s="23"/>
      <c r="AP123" s="11"/>
      <c r="AQ123" s="23"/>
      <c r="AR123" s="23"/>
      <c r="AS123" s="23"/>
      <c r="AT123" s="11"/>
      <c r="AU123" s="23"/>
      <c r="AV123" s="23"/>
      <c r="AW123" s="23"/>
      <c r="AX123" s="11"/>
      <c r="AY123" s="23"/>
      <c r="AZ123" s="23"/>
      <c r="BA123" s="23"/>
      <c r="BB123" s="11"/>
      <c r="BC123" s="23"/>
      <c r="BD123" s="23"/>
      <c r="BE123" s="23"/>
      <c r="BF123" s="11"/>
      <c r="BG123" s="23"/>
      <c r="BH123" s="23"/>
      <c r="BI123" s="23"/>
      <c r="BJ123" s="11"/>
      <c r="BK123" s="23"/>
      <c r="BL123" s="23"/>
      <c r="BM123" s="23"/>
      <c r="BN123" s="11"/>
      <c r="BO123" s="23"/>
      <c r="BP123" s="23"/>
      <c r="BQ123" s="23"/>
      <c r="BR123" s="11"/>
      <c r="BS123" s="23"/>
      <c r="BT123" s="23"/>
      <c r="BU123" s="23"/>
      <c r="BV123" s="11"/>
      <c r="BW123" s="23"/>
      <c r="BX123" s="23"/>
      <c r="BY123" s="23"/>
      <c r="BZ123" s="11"/>
      <c r="CA123" s="3"/>
      <c r="CB123" s="3"/>
      <c r="CC123" s="3"/>
      <c r="CD123" s="3"/>
      <c r="CE123" s="3"/>
      <c r="CF123" s="3"/>
      <c r="CG123" s="3"/>
      <c r="CH123" s="3"/>
      <c r="CI123" s="3"/>
      <c r="CJ123" s="3"/>
      <c r="CK123" s="3"/>
      <c r="CL123" s="3"/>
      <c r="CM123" s="3"/>
      <c r="CN123" s="3"/>
      <c r="CO123" s="3"/>
      <c r="CP123" s="3"/>
      <c r="CQ123" s="3"/>
      <c r="CR123" s="3"/>
      <c r="CS123" s="3"/>
      <c r="CT123" s="3"/>
    </row>
    <row r="124" spans="1:98" x14ac:dyDescent="0.2">
      <c r="A124" s="109"/>
      <c r="B124" s="144"/>
      <c r="C124" s="23"/>
      <c r="D124" s="23"/>
      <c r="E124" s="23"/>
      <c r="F124" s="11"/>
      <c r="G124" s="23"/>
      <c r="H124" s="23"/>
      <c r="I124" s="23"/>
      <c r="J124" s="11"/>
      <c r="K124" s="23"/>
      <c r="L124" s="23"/>
      <c r="M124" s="23"/>
      <c r="N124" s="11"/>
      <c r="O124" s="23">
        <v>650</v>
      </c>
      <c r="P124" s="23">
        <v>29</v>
      </c>
      <c r="Q124" s="23"/>
      <c r="R124" s="11"/>
      <c r="S124" s="23">
        <v>650</v>
      </c>
      <c r="T124" s="23">
        <v>29</v>
      </c>
      <c r="U124" s="23"/>
      <c r="V124" s="11"/>
      <c r="W124" s="23"/>
      <c r="X124" s="23"/>
      <c r="Y124" s="23"/>
      <c r="Z124" s="11"/>
      <c r="AA124" s="23"/>
      <c r="AB124" s="23"/>
      <c r="AC124" s="23"/>
      <c r="AD124" s="11"/>
      <c r="AE124" s="23"/>
      <c r="AF124" s="23"/>
      <c r="AG124" s="23"/>
      <c r="AH124" s="11"/>
      <c r="AI124" s="23"/>
      <c r="AJ124" s="23"/>
      <c r="AK124" s="23"/>
      <c r="AL124" s="11"/>
      <c r="AM124" s="23"/>
      <c r="AN124" s="23"/>
      <c r="AO124" s="23"/>
      <c r="AP124" s="11"/>
      <c r="AQ124" s="23"/>
      <c r="AR124" s="23"/>
      <c r="AS124" s="23"/>
      <c r="AT124" s="11"/>
      <c r="AU124" s="23"/>
      <c r="AV124" s="23"/>
      <c r="AW124" s="23"/>
      <c r="AX124" s="11"/>
      <c r="AY124" s="23"/>
      <c r="AZ124" s="23"/>
      <c r="BA124" s="23"/>
      <c r="BB124" s="11"/>
      <c r="BC124" s="23"/>
      <c r="BD124" s="23"/>
      <c r="BE124" s="23"/>
      <c r="BF124" s="11"/>
      <c r="BG124" s="23"/>
      <c r="BH124" s="23"/>
      <c r="BI124" s="23"/>
      <c r="BJ124" s="11"/>
      <c r="BK124" s="23"/>
      <c r="BL124" s="23"/>
      <c r="BM124" s="23"/>
      <c r="BN124" s="11"/>
      <c r="BO124" s="23"/>
      <c r="BP124" s="23"/>
      <c r="BQ124" s="23"/>
      <c r="BR124" s="11"/>
      <c r="BS124" s="23"/>
      <c r="BT124" s="23"/>
      <c r="BU124" s="23"/>
      <c r="BV124" s="11"/>
      <c r="BW124" s="23"/>
      <c r="BX124" s="23"/>
      <c r="BY124" s="23"/>
      <c r="BZ124" s="11"/>
      <c r="CA124" s="3"/>
      <c r="CB124" s="3"/>
      <c r="CC124" s="3"/>
      <c r="CD124" s="3"/>
      <c r="CE124" s="3"/>
      <c r="CF124" s="3"/>
      <c r="CG124" s="3"/>
      <c r="CH124" s="3"/>
      <c r="CI124" s="3"/>
      <c r="CJ124" s="3"/>
      <c r="CK124" s="3"/>
      <c r="CL124" s="3"/>
      <c r="CM124" s="3"/>
      <c r="CN124" s="3"/>
      <c r="CO124" s="3"/>
      <c r="CP124" s="3"/>
      <c r="CQ124" s="3"/>
      <c r="CR124" s="3"/>
      <c r="CS124" s="3"/>
      <c r="CT124" s="3"/>
    </row>
    <row r="125" spans="1:98" x14ac:dyDescent="0.2">
      <c r="A125" s="109"/>
      <c r="B125" s="144"/>
      <c r="C125" s="23"/>
      <c r="D125" s="23"/>
      <c r="E125" s="23"/>
      <c r="F125" s="11"/>
      <c r="G125" s="23"/>
      <c r="H125" s="23"/>
      <c r="I125" s="23"/>
      <c r="J125" s="11"/>
      <c r="K125" s="23"/>
      <c r="L125" s="23"/>
      <c r="M125" s="23"/>
      <c r="N125" s="11"/>
      <c r="O125" s="23">
        <v>700</v>
      </c>
      <c r="P125" s="23">
        <v>21.5</v>
      </c>
      <c r="Q125" s="23"/>
      <c r="R125" s="11"/>
      <c r="S125" s="23">
        <v>700</v>
      </c>
      <c r="T125" s="23">
        <v>21.5</v>
      </c>
      <c r="U125" s="23"/>
      <c r="V125" s="11"/>
      <c r="W125" s="23"/>
      <c r="X125" s="23"/>
      <c r="Y125" s="23"/>
      <c r="Z125" s="11"/>
      <c r="AA125" s="23"/>
      <c r="AB125" s="23"/>
      <c r="AC125" s="23"/>
      <c r="AD125" s="11"/>
      <c r="AE125" s="23"/>
      <c r="AF125" s="23"/>
      <c r="AG125" s="23"/>
      <c r="AH125" s="11"/>
      <c r="AI125" s="23"/>
      <c r="AJ125" s="23"/>
      <c r="AK125" s="23"/>
      <c r="AL125" s="11"/>
      <c r="AM125" s="23"/>
      <c r="AN125" s="23"/>
      <c r="AO125" s="23"/>
      <c r="AP125" s="11"/>
      <c r="AQ125" s="23"/>
      <c r="AR125" s="23"/>
      <c r="AS125" s="23"/>
      <c r="AT125" s="11"/>
      <c r="AU125" s="23"/>
      <c r="AV125" s="23"/>
      <c r="AW125" s="23"/>
      <c r="AX125" s="11"/>
      <c r="AY125" s="23"/>
      <c r="AZ125" s="23"/>
      <c r="BA125" s="23"/>
      <c r="BB125" s="11"/>
      <c r="BC125" s="23"/>
      <c r="BD125" s="23"/>
      <c r="BE125" s="23"/>
      <c r="BF125" s="11"/>
      <c r="BG125" s="23"/>
      <c r="BH125" s="23"/>
      <c r="BI125" s="23"/>
      <c r="BJ125" s="11"/>
      <c r="BK125" s="23"/>
      <c r="BL125" s="23"/>
      <c r="BM125" s="23"/>
      <c r="BN125" s="11"/>
      <c r="BO125" s="23"/>
      <c r="BP125" s="23"/>
      <c r="BQ125" s="23"/>
      <c r="BR125" s="11"/>
      <c r="BS125" s="23"/>
      <c r="BT125" s="23"/>
      <c r="BU125" s="23"/>
      <c r="BV125" s="11"/>
      <c r="BW125" s="23"/>
      <c r="BX125" s="23"/>
      <c r="BY125" s="23"/>
      <c r="BZ125" s="11"/>
      <c r="CA125" s="3"/>
      <c r="CB125" s="3"/>
      <c r="CC125" s="3"/>
      <c r="CD125" s="3"/>
      <c r="CE125" s="3"/>
      <c r="CF125" s="3"/>
      <c r="CG125" s="3"/>
      <c r="CH125" s="3"/>
      <c r="CI125" s="3"/>
      <c r="CJ125" s="3"/>
      <c r="CK125" s="3"/>
      <c r="CL125" s="3"/>
      <c r="CM125" s="3"/>
      <c r="CN125" s="3"/>
      <c r="CO125" s="3"/>
      <c r="CP125" s="3"/>
      <c r="CQ125" s="3"/>
      <c r="CR125" s="3"/>
      <c r="CS125" s="3"/>
      <c r="CT125" s="3"/>
    </row>
    <row r="126" spans="1:98" x14ac:dyDescent="0.2">
      <c r="A126" s="109"/>
      <c r="B126" s="144"/>
      <c r="C126" s="23"/>
      <c r="D126" s="23"/>
      <c r="E126" s="23"/>
      <c r="F126" s="11"/>
      <c r="G126" s="23"/>
      <c r="H126" s="23"/>
      <c r="I126" s="23"/>
      <c r="J126" s="11"/>
      <c r="K126" s="23"/>
      <c r="L126" s="23"/>
      <c r="M126" s="23"/>
      <c r="N126" s="11"/>
      <c r="O126" s="23">
        <v>800</v>
      </c>
      <c r="P126" s="23">
        <v>6.5</v>
      </c>
      <c r="Q126" s="23"/>
      <c r="R126" s="11"/>
      <c r="S126" s="23">
        <v>800</v>
      </c>
      <c r="T126" s="23">
        <v>6.5</v>
      </c>
      <c r="U126" s="23"/>
      <c r="V126" s="11"/>
      <c r="W126" s="23"/>
      <c r="X126" s="23"/>
      <c r="Y126" s="23"/>
      <c r="Z126" s="11"/>
      <c r="AA126" s="23"/>
      <c r="AB126" s="23"/>
      <c r="AC126" s="23"/>
      <c r="AD126" s="11"/>
      <c r="AE126" s="23"/>
      <c r="AF126" s="23"/>
      <c r="AG126" s="23"/>
      <c r="AH126" s="11"/>
      <c r="AI126" s="23"/>
      <c r="AJ126" s="23"/>
      <c r="AK126" s="23"/>
      <c r="AL126" s="11"/>
      <c r="AM126" s="23"/>
      <c r="AN126" s="23"/>
      <c r="AO126" s="23"/>
      <c r="AP126" s="11"/>
      <c r="AQ126" s="23"/>
      <c r="AR126" s="23"/>
      <c r="AS126" s="23"/>
      <c r="AT126" s="11"/>
      <c r="AU126" s="23"/>
      <c r="AV126" s="23"/>
      <c r="AW126" s="23"/>
      <c r="AX126" s="11"/>
      <c r="AY126" s="23"/>
      <c r="AZ126" s="23"/>
      <c r="BA126" s="23"/>
      <c r="BB126" s="11"/>
      <c r="BC126" s="23"/>
      <c r="BD126" s="23"/>
      <c r="BE126" s="23"/>
      <c r="BF126" s="11"/>
      <c r="BG126" s="23"/>
      <c r="BH126" s="23"/>
      <c r="BI126" s="23"/>
      <c r="BJ126" s="11"/>
      <c r="BK126" s="23"/>
      <c r="BL126" s="23"/>
      <c r="BM126" s="23"/>
      <c r="BN126" s="11"/>
      <c r="BO126" s="23"/>
      <c r="BP126" s="23"/>
      <c r="BQ126" s="23"/>
      <c r="BR126" s="11"/>
      <c r="BS126" s="23"/>
      <c r="BT126" s="23"/>
      <c r="BU126" s="23"/>
      <c r="BV126" s="11"/>
      <c r="BW126" s="23"/>
      <c r="BX126" s="23"/>
      <c r="BY126" s="23"/>
      <c r="BZ126" s="11"/>
      <c r="CA126" s="3"/>
      <c r="CB126" s="3"/>
      <c r="CC126" s="3"/>
      <c r="CD126" s="3"/>
      <c r="CE126" s="3"/>
      <c r="CF126" s="3"/>
      <c r="CG126" s="3"/>
      <c r="CH126" s="3"/>
      <c r="CI126" s="3"/>
      <c r="CJ126" s="3"/>
      <c r="CK126" s="3"/>
      <c r="CL126" s="3"/>
      <c r="CM126" s="3"/>
      <c r="CN126" s="3"/>
      <c r="CO126" s="3"/>
      <c r="CP126" s="3"/>
      <c r="CQ126" s="3"/>
      <c r="CR126" s="3"/>
      <c r="CS126" s="3"/>
      <c r="CT126" s="3"/>
    </row>
    <row r="127" spans="1:98" x14ac:dyDescent="0.2">
      <c r="A127" s="109"/>
      <c r="B127" s="144"/>
      <c r="C127" s="160"/>
      <c r="D127" s="23"/>
      <c r="E127" s="23"/>
      <c r="F127" s="11"/>
      <c r="G127" s="23"/>
      <c r="H127" s="23"/>
      <c r="I127" s="23"/>
      <c r="J127" s="11"/>
      <c r="K127" s="23"/>
      <c r="L127" s="23"/>
      <c r="M127" s="23"/>
      <c r="N127" s="11"/>
      <c r="O127" s="23">
        <v>821.66666666666674</v>
      </c>
      <c r="P127" s="23">
        <v>3.25</v>
      </c>
      <c r="Q127" s="23"/>
      <c r="R127" s="11"/>
      <c r="S127" s="23">
        <v>821.66666666666674</v>
      </c>
      <c r="T127" s="23">
        <v>3.25</v>
      </c>
      <c r="U127" s="23"/>
      <c r="V127" s="11"/>
      <c r="W127" s="23"/>
      <c r="X127" s="23"/>
      <c r="Y127" s="23"/>
      <c r="Z127" s="11"/>
      <c r="AA127" s="23"/>
      <c r="AB127" s="23"/>
      <c r="AC127" s="23"/>
      <c r="AD127" s="11"/>
      <c r="AE127" s="23"/>
      <c r="AF127" s="23"/>
      <c r="AG127" s="23"/>
      <c r="AH127" s="11"/>
      <c r="AI127" s="23"/>
      <c r="AJ127" s="23"/>
      <c r="AK127" s="23"/>
      <c r="AL127" s="11"/>
      <c r="AM127" s="23"/>
      <c r="AN127" s="23"/>
      <c r="AO127" s="23"/>
      <c r="AP127" s="11"/>
      <c r="AQ127" s="23"/>
      <c r="AR127" s="23"/>
      <c r="AS127" s="23"/>
      <c r="AT127" s="11"/>
      <c r="AU127" s="23"/>
      <c r="AV127" s="23"/>
      <c r="AW127" s="23"/>
      <c r="AX127" s="11"/>
      <c r="AY127" s="23"/>
      <c r="AZ127" s="23"/>
      <c r="BA127" s="23"/>
      <c r="BB127" s="11"/>
      <c r="BC127" s="23"/>
      <c r="BD127" s="23"/>
      <c r="BE127" s="23"/>
      <c r="BF127" s="11"/>
      <c r="BG127" s="23"/>
      <c r="BH127" s="23"/>
      <c r="BI127" s="23"/>
      <c r="BJ127" s="11"/>
      <c r="BK127" s="23"/>
      <c r="BL127" s="23"/>
      <c r="BM127" s="23"/>
      <c r="BN127" s="11"/>
      <c r="BO127" s="23"/>
      <c r="BP127" s="23"/>
      <c r="BQ127" s="23"/>
      <c r="BR127" s="11"/>
      <c r="BS127" s="23"/>
      <c r="BT127" s="23"/>
      <c r="BU127" s="23"/>
      <c r="BV127" s="11"/>
      <c r="BW127" s="23"/>
      <c r="BX127" s="23"/>
      <c r="BY127" s="23"/>
      <c r="BZ127" s="11"/>
      <c r="CA127" s="3"/>
      <c r="CB127" s="3"/>
      <c r="CC127" s="3"/>
      <c r="CD127" s="3"/>
      <c r="CE127" s="3"/>
      <c r="CF127" s="3"/>
      <c r="CG127" s="3"/>
      <c r="CH127" s="3"/>
      <c r="CI127" s="3"/>
      <c r="CJ127" s="3"/>
      <c r="CK127" s="3"/>
      <c r="CL127" s="3"/>
      <c r="CM127" s="3"/>
      <c r="CN127" s="3"/>
      <c r="CO127" s="3"/>
      <c r="CP127" s="3"/>
      <c r="CQ127" s="3"/>
      <c r="CR127" s="3"/>
      <c r="CS127" s="3"/>
      <c r="CT127" s="3"/>
    </row>
    <row r="128" spans="1:98" x14ac:dyDescent="0.2">
      <c r="A128" s="109"/>
      <c r="B128" s="144"/>
      <c r="C128" s="160"/>
      <c r="D128" s="23"/>
      <c r="E128" s="23"/>
      <c r="F128" s="11"/>
      <c r="G128" s="23"/>
      <c r="H128" s="23"/>
      <c r="I128" s="23"/>
      <c r="J128" s="11"/>
      <c r="K128" s="23"/>
      <c r="L128" s="23"/>
      <c r="M128" s="23"/>
      <c r="N128" s="11"/>
      <c r="O128" s="23">
        <v>843.33333333333326</v>
      </c>
      <c r="P128" s="23">
        <v>0</v>
      </c>
      <c r="Q128" s="23"/>
      <c r="R128" s="11"/>
      <c r="S128" s="23">
        <v>843.33333333333326</v>
      </c>
      <c r="T128" s="23">
        <v>0</v>
      </c>
      <c r="U128" s="23"/>
      <c r="V128" s="11"/>
      <c r="W128" s="23"/>
      <c r="X128" s="23"/>
      <c r="Y128" s="23"/>
      <c r="Z128" s="11"/>
      <c r="AA128" s="23"/>
      <c r="AB128" s="23"/>
      <c r="AC128" s="23"/>
      <c r="AD128" s="11"/>
      <c r="AE128" s="23"/>
      <c r="AF128" s="23"/>
      <c r="AG128" s="23"/>
      <c r="AH128" s="11"/>
      <c r="AI128" s="23"/>
      <c r="AJ128" s="23"/>
      <c r="AK128" s="23"/>
      <c r="AL128" s="11"/>
      <c r="AM128" s="23"/>
      <c r="AN128" s="23"/>
      <c r="AO128" s="23"/>
      <c r="AP128" s="11"/>
      <c r="AQ128" s="23"/>
      <c r="AR128" s="23"/>
      <c r="AS128" s="23"/>
      <c r="AT128" s="11"/>
      <c r="AU128" s="23"/>
      <c r="AV128" s="23"/>
      <c r="AW128" s="23"/>
      <c r="AX128" s="11"/>
      <c r="AY128" s="23"/>
      <c r="AZ128" s="23"/>
      <c r="BA128" s="23"/>
      <c r="BB128" s="11"/>
      <c r="BC128" s="23"/>
      <c r="BD128" s="23"/>
      <c r="BE128" s="23"/>
      <c r="BF128" s="11"/>
      <c r="BG128" s="23"/>
      <c r="BH128" s="23"/>
      <c r="BI128" s="23"/>
      <c r="BJ128" s="11"/>
      <c r="BK128" s="23"/>
      <c r="BL128" s="23"/>
      <c r="BM128" s="23"/>
      <c r="BN128" s="11"/>
      <c r="BO128" s="23"/>
      <c r="BP128" s="23"/>
      <c r="BQ128" s="23"/>
      <c r="BR128" s="11"/>
      <c r="BS128" s="23"/>
      <c r="BT128" s="23"/>
      <c r="BU128" s="23"/>
      <c r="BV128" s="11"/>
      <c r="BW128" s="23"/>
      <c r="BX128" s="23"/>
      <c r="BY128" s="23"/>
      <c r="BZ128" s="11"/>
      <c r="CA128" s="3"/>
      <c r="CB128" s="3"/>
      <c r="CC128" s="3"/>
      <c r="CD128" s="3"/>
      <c r="CE128" s="3"/>
      <c r="CF128" s="3"/>
      <c r="CG128" s="3"/>
      <c r="CH128" s="3"/>
      <c r="CI128" s="3"/>
      <c r="CJ128" s="3"/>
      <c r="CK128" s="3"/>
      <c r="CL128" s="3"/>
      <c r="CM128" s="3"/>
      <c r="CN128" s="3"/>
      <c r="CO128" s="3"/>
      <c r="CP128" s="3"/>
      <c r="CQ128" s="3"/>
      <c r="CR128" s="3"/>
      <c r="CS128" s="3"/>
      <c r="CT128" s="3"/>
    </row>
    <row r="129" spans="1:98" x14ac:dyDescent="0.2">
      <c r="A129" s="109"/>
      <c r="B129" s="144"/>
      <c r="C129" s="160"/>
      <c r="D129" s="23"/>
      <c r="E129" s="23"/>
      <c r="F129" s="11"/>
      <c r="G129" s="23"/>
      <c r="H129" s="23"/>
      <c r="I129" s="23"/>
      <c r="J129" s="11"/>
      <c r="K129" s="23"/>
      <c r="L129" s="23"/>
      <c r="M129" s="23"/>
      <c r="N129" s="11"/>
      <c r="O129" s="23"/>
      <c r="P129" s="23"/>
      <c r="Q129" s="23"/>
      <c r="R129" s="11"/>
      <c r="S129" s="23"/>
      <c r="T129" s="23"/>
      <c r="U129" s="23"/>
      <c r="V129" s="11"/>
      <c r="W129" s="23"/>
      <c r="X129" s="23"/>
      <c r="Y129" s="23"/>
      <c r="Z129" s="11"/>
      <c r="AA129" s="23"/>
      <c r="AB129" s="23"/>
      <c r="AC129" s="23"/>
      <c r="AD129" s="11"/>
      <c r="AE129" s="23"/>
      <c r="AF129" s="23"/>
      <c r="AG129" s="23"/>
      <c r="AH129" s="11"/>
      <c r="AI129" s="23"/>
      <c r="AJ129" s="23"/>
      <c r="AK129" s="23"/>
      <c r="AL129" s="11"/>
      <c r="AM129" s="23"/>
      <c r="AN129" s="23"/>
      <c r="AO129" s="23"/>
      <c r="AP129" s="11"/>
      <c r="AQ129" s="23"/>
      <c r="AR129" s="23"/>
      <c r="AS129" s="23"/>
      <c r="AT129" s="11"/>
      <c r="AU129" s="23"/>
      <c r="AV129" s="23"/>
      <c r="AW129" s="23"/>
      <c r="AX129" s="11"/>
      <c r="AY129" s="23"/>
      <c r="AZ129" s="23"/>
      <c r="BA129" s="23"/>
      <c r="BB129" s="11"/>
      <c r="BC129" s="23"/>
      <c r="BD129" s="23"/>
      <c r="BE129" s="23"/>
      <c r="BF129" s="11"/>
      <c r="BG129" s="23"/>
      <c r="BH129" s="23"/>
      <c r="BI129" s="23"/>
      <c r="BJ129" s="11"/>
      <c r="BK129" s="23"/>
      <c r="BL129" s="23"/>
      <c r="BM129" s="23"/>
      <c r="BN129" s="11"/>
      <c r="BO129" s="23"/>
      <c r="BP129" s="23"/>
      <c r="BQ129" s="23"/>
      <c r="BR129" s="11"/>
      <c r="BS129" s="23"/>
      <c r="BT129" s="23"/>
      <c r="BU129" s="23"/>
      <c r="BV129" s="11"/>
      <c r="BW129" s="23"/>
      <c r="BX129" s="23"/>
      <c r="BY129" s="23"/>
      <c r="BZ129" s="11"/>
      <c r="CA129" s="3"/>
      <c r="CB129" s="3"/>
      <c r="CC129" s="3"/>
      <c r="CD129" s="3"/>
      <c r="CE129" s="3"/>
      <c r="CF129" s="3"/>
      <c r="CG129" s="3"/>
      <c r="CH129" s="3"/>
      <c r="CI129" s="3"/>
      <c r="CJ129" s="3"/>
      <c r="CK129" s="3"/>
      <c r="CL129" s="3"/>
      <c r="CM129" s="3"/>
      <c r="CN129" s="3"/>
      <c r="CO129" s="3"/>
      <c r="CP129" s="3"/>
      <c r="CQ129" s="3"/>
      <c r="CR129" s="3"/>
      <c r="CS129" s="3"/>
      <c r="CT129" s="3"/>
    </row>
    <row r="130" spans="1:98" x14ac:dyDescent="0.2">
      <c r="A130" s="109"/>
      <c r="B130" s="144"/>
      <c r="C130" s="160"/>
      <c r="D130" s="23"/>
      <c r="E130" s="23"/>
      <c r="F130" s="11"/>
      <c r="G130" s="23"/>
      <c r="H130" s="23"/>
      <c r="I130" s="23"/>
      <c r="J130" s="11"/>
      <c r="K130" s="23"/>
      <c r="L130" s="23"/>
      <c r="M130" s="23"/>
      <c r="N130" s="11"/>
      <c r="O130" s="23"/>
      <c r="P130" s="23"/>
      <c r="Q130" s="23"/>
      <c r="R130" s="11"/>
      <c r="S130" s="23"/>
      <c r="T130" s="23"/>
      <c r="U130" s="23"/>
      <c r="V130" s="11"/>
      <c r="W130" s="23"/>
      <c r="X130" s="23"/>
      <c r="Y130" s="23"/>
      <c r="Z130" s="11"/>
      <c r="AA130" s="23"/>
      <c r="AB130" s="23"/>
      <c r="AC130" s="23"/>
      <c r="AD130" s="11"/>
      <c r="AE130" s="23"/>
      <c r="AF130" s="23"/>
      <c r="AG130" s="23"/>
      <c r="AH130" s="11"/>
      <c r="AI130" s="23"/>
      <c r="AJ130" s="23"/>
      <c r="AK130" s="23"/>
      <c r="AL130" s="11"/>
      <c r="AM130" s="23"/>
      <c r="AN130" s="23"/>
      <c r="AO130" s="23"/>
      <c r="AP130" s="11"/>
      <c r="AQ130" s="23"/>
      <c r="AR130" s="23"/>
      <c r="AS130" s="23"/>
      <c r="AT130" s="11"/>
      <c r="AU130" s="23"/>
      <c r="AV130" s="23"/>
      <c r="AW130" s="23"/>
      <c r="AX130" s="11"/>
      <c r="AY130" s="23"/>
      <c r="AZ130" s="23"/>
      <c r="BA130" s="23"/>
      <c r="BB130" s="11"/>
      <c r="BC130" s="23"/>
      <c r="BD130" s="23"/>
      <c r="BE130" s="23"/>
      <c r="BF130" s="11"/>
      <c r="BG130" s="23"/>
      <c r="BH130" s="23"/>
      <c r="BI130" s="23"/>
      <c r="BJ130" s="11"/>
      <c r="BK130" s="23"/>
      <c r="BL130" s="23"/>
      <c r="BM130" s="23"/>
      <c r="BN130" s="11"/>
      <c r="BO130" s="23"/>
      <c r="BP130" s="23"/>
      <c r="BQ130" s="23"/>
      <c r="BR130" s="11"/>
      <c r="BS130" s="23"/>
      <c r="BT130" s="23"/>
      <c r="BU130" s="23"/>
      <c r="BV130" s="11"/>
      <c r="BW130" s="23"/>
      <c r="BX130" s="23"/>
      <c r="BY130" s="23"/>
      <c r="BZ130" s="11"/>
      <c r="CA130" s="3"/>
      <c r="CB130" s="3"/>
      <c r="CC130" s="3"/>
      <c r="CD130" s="3"/>
      <c r="CE130" s="3"/>
      <c r="CF130" s="3"/>
      <c r="CG130" s="3"/>
      <c r="CH130" s="3"/>
      <c r="CI130" s="3"/>
      <c r="CJ130" s="3"/>
      <c r="CK130" s="3"/>
      <c r="CL130" s="3"/>
      <c r="CM130" s="3"/>
      <c r="CN130" s="3"/>
      <c r="CO130" s="3"/>
      <c r="CP130" s="3"/>
      <c r="CQ130" s="3"/>
      <c r="CR130" s="3"/>
      <c r="CS130" s="3"/>
      <c r="CT130" s="3"/>
    </row>
    <row r="131" spans="1:98" x14ac:dyDescent="0.2">
      <c r="A131" s="109"/>
      <c r="B131" s="144"/>
      <c r="C131" s="160"/>
      <c r="D131" s="23"/>
      <c r="E131" s="23"/>
      <c r="F131" s="11"/>
      <c r="G131" s="23"/>
      <c r="H131" s="23"/>
      <c r="I131" s="23"/>
      <c r="J131" s="11"/>
      <c r="K131" s="23"/>
      <c r="L131" s="23"/>
      <c r="M131" s="23"/>
      <c r="N131" s="11"/>
      <c r="O131" s="23"/>
      <c r="P131" s="23"/>
      <c r="Q131" s="23"/>
      <c r="R131" s="11"/>
      <c r="S131" s="23"/>
      <c r="T131" s="23"/>
      <c r="U131" s="23"/>
      <c r="V131" s="11"/>
      <c r="W131" s="23"/>
      <c r="X131" s="23"/>
      <c r="Y131" s="23"/>
      <c r="Z131" s="11"/>
      <c r="AA131" s="23"/>
      <c r="AB131" s="23"/>
      <c r="AC131" s="23"/>
      <c r="AD131" s="11"/>
      <c r="AE131" s="23"/>
      <c r="AF131" s="23"/>
      <c r="AG131" s="23"/>
      <c r="AH131" s="11"/>
      <c r="AI131" s="23"/>
      <c r="AJ131" s="23"/>
      <c r="AK131" s="23"/>
      <c r="AL131" s="11"/>
      <c r="AM131" s="23"/>
      <c r="AN131" s="23"/>
      <c r="AO131" s="23"/>
      <c r="AP131" s="11"/>
      <c r="AQ131" s="23"/>
      <c r="AR131" s="23"/>
      <c r="AS131" s="23"/>
      <c r="AT131" s="11"/>
      <c r="AU131" s="23"/>
      <c r="AV131" s="23"/>
      <c r="AW131" s="23"/>
      <c r="AX131" s="11"/>
      <c r="AY131" s="23"/>
      <c r="AZ131" s="23"/>
      <c r="BA131" s="23"/>
      <c r="BB131" s="11"/>
      <c r="BC131" s="23"/>
      <c r="BD131" s="23"/>
      <c r="BE131" s="23"/>
      <c r="BF131" s="11"/>
      <c r="BG131" s="23"/>
      <c r="BH131" s="23"/>
      <c r="BI131" s="23"/>
      <c r="BJ131" s="11"/>
      <c r="BK131" s="23"/>
      <c r="BL131" s="23"/>
      <c r="BM131" s="23"/>
      <c r="BN131" s="11"/>
      <c r="BO131" s="23"/>
      <c r="BP131" s="23"/>
      <c r="BQ131" s="23"/>
      <c r="BR131" s="11"/>
      <c r="BS131" s="23"/>
      <c r="BT131" s="23"/>
      <c r="BU131" s="23"/>
      <c r="BV131" s="11"/>
      <c r="BW131" s="23"/>
      <c r="BX131" s="23"/>
      <c r="BY131" s="23"/>
      <c r="BZ131" s="11"/>
      <c r="CA131" s="3"/>
      <c r="CB131" s="3"/>
      <c r="CC131" s="3"/>
      <c r="CD131" s="3"/>
      <c r="CE131" s="3"/>
      <c r="CF131" s="3"/>
      <c r="CG131" s="3"/>
      <c r="CH131" s="3"/>
      <c r="CI131" s="3"/>
      <c r="CJ131" s="3"/>
      <c r="CK131" s="3"/>
      <c r="CL131" s="3"/>
      <c r="CM131" s="3"/>
      <c r="CN131" s="3"/>
      <c r="CO131" s="3"/>
      <c r="CP131" s="3"/>
      <c r="CQ131" s="3"/>
      <c r="CR131" s="3"/>
      <c r="CS131" s="3"/>
      <c r="CT131" s="3"/>
    </row>
    <row r="132" spans="1:98" x14ac:dyDescent="0.2">
      <c r="A132" s="109"/>
      <c r="B132" s="144"/>
      <c r="C132" s="23"/>
      <c r="D132" s="23"/>
      <c r="E132" s="23"/>
      <c r="F132" s="11"/>
      <c r="G132" s="23"/>
      <c r="H132" s="23"/>
      <c r="I132" s="23"/>
      <c r="J132" s="11"/>
      <c r="K132" s="23"/>
      <c r="L132" s="23"/>
      <c r="M132" s="23"/>
      <c r="N132" s="11"/>
      <c r="O132" s="23"/>
      <c r="P132" s="23"/>
      <c r="Q132" s="23"/>
      <c r="R132" s="11"/>
      <c r="S132" s="23"/>
      <c r="T132" s="23"/>
      <c r="U132" s="23"/>
      <c r="V132" s="11"/>
      <c r="W132" s="23"/>
      <c r="X132" s="23"/>
      <c r="Y132" s="23"/>
      <c r="Z132" s="11"/>
      <c r="AA132" s="23"/>
      <c r="AB132" s="23"/>
      <c r="AC132" s="23"/>
      <c r="AD132" s="11"/>
      <c r="AE132" s="23"/>
      <c r="AF132" s="23"/>
      <c r="AG132" s="23"/>
      <c r="AH132" s="11"/>
      <c r="AI132" s="23"/>
      <c r="AJ132" s="23"/>
      <c r="AK132" s="23"/>
      <c r="AL132" s="11"/>
      <c r="AM132" s="23"/>
      <c r="AN132" s="23"/>
      <c r="AO132" s="23"/>
      <c r="AP132" s="11"/>
      <c r="AQ132" s="23"/>
      <c r="AR132" s="23"/>
      <c r="AS132" s="23"/>
      <c r="AT132" s="11"/>
      <c r="AU132" s="23"/>
      <c r="AV132" s="23"/>
      <c r="AW132" s="23"/>
      <c r="AX132" s="11"/>
      <c r="AY132" s="23"/>
      <c r="AZ132" s="23"/>
      <c r="BA132" s="23"/>
      <c r="BB132" s="11"/>
      <c r="BC132" s="23"/>
      <c r="BD132" s="23"/>
      <c r="BE132" s="23"/>
      <c r="BF132" s="11"/>
      <c r="BG132" s="23"/>
      <c r="BH132" s="23"/>
      <c r="BI132" s="23"/>
      <c r="BJ132" s="11"/>
      <c r="BK132" s="23"/>
      <c r="BL132" s="23"/>
      <c r="BM132" s="23"/>
      <c r="BN132" s="11"/>
      <c r="BO132" s="23"/>
      <c r="BP132" s="23"/>
      <c r="BQ132" s="23"/>
      <c r="BR132" s="11"/>
      <c r="BS132" s="23"/>
      <c r="BT132" s="23"/>
      <c r="BU132" s="23"/>
      <c r="BV132" s="11"/>
      <c r="BW132" s="23"/>
      <c r="BX132" s="23"/>
      <c r="BY132" s="23"/>
      <c r="BZ132" s="11"/>
      <c r="CA132" s="3"/>
      <c r="CB132" s="3"/>
      <c r="CC132" s="3"/>
      <c r="CD132" s="3"/>
      <c r="CE132" s="3"/>
      <c r="CF132" s="3"/>
      <c r="CG132" s="3"/>
      <c r="CH132" s="3"/>
      <c r="CI132" s="3"/>
      <c r="CJ132" s="3"/>
      <c r="CK132" s="3"/>
      <c r="CL132" s="3"/>
      <c r="CM132" s="3"/>
      <c r="CN132" s="3"/>
      <c r="CO132" s="3"/>
      <c r="CP132" s="3"/>
      <c r="CQ132" s="3"/>
      <c r="CR132" s="3"/>
      <c r="CS132" s="3"/>
      <c r="CT132" s="3"/>
    </row>
    <row r="133" spans="1:98" x14ac:dyDescent="0.2">
      <c r="A133" s="109"/>
      <c r="B133" s="144"/>
      <c r="C133" s="23"/>
      <c r="D133" s="23"/>
      <c r="E133" s="23"/>
      <c r="F133" s="11"/>
      <c r="G133" s="23"/>
      <c r="H133" s="23"/>
      <c r="I133" s="23"/>
      <c r="J133" s="11"/>
      <c r="K133" s="23"/>
      <c r="L133" s="23"/>
      <c r="M133" s="23"/>
      <c r="N133" s="11"/>
      <c r="O133" s="23"/>
      <c r="P133" s="23"/>
      <c r="Q133" s="23"/>
      <c r="R133" s="11"/>
      <c r="S133" s="23"/>
      <c r="T133" s="23"/>
      <c r="U133" s="23"/>
      <c r="V133" s="11"/>
      <c r="W133" s="23"/>
      <c r="X133" s="23"/>
      <c r="Y133" s="23"/>
      <c r="Z133" s="11"/>
      <c r="AA133" s="23"/>
      <c r="AB133" s="23"/>
      <c r="AC133" s="23"/>
      <c r="AD133" s="11"/>
      <c r="AE133" s="23"/>
      <c r="AF133" s="23"/>
      <c r="AG133" s="23"/>
      <c r="AH133" s="11"/>
      <c r="AI133" s="23"/>
      <c r="AJ133" s="23"/>
      <c r="AK133" s="23"/>
      <c r="AL133" s="11"/>
      <c r="AM133" s="23"/>
      <c r="AN133" s="23"/>
      <c r="AO133" s="23"/>
      <c r="AP133" s="11"/>
      <c r="AQ133" s="23"/>
      <c r="AR133" s="23"/>
      <c r="AS133" s="23"/>
      <c r="AT133" s="11"/>
      <c r="AU133" s="23"/>
      <c r="AV133" s="23"/>
      <c r="AW133" s="23"/>
      <c r="AX133" s="11"/>
      <c r="AY133" s="23"/>
      <c r="AZ133" s="23"/>
      <c r="BA133" s="23"/>
      <c r="BB133" s="11"/>
      <c r="BC133" s="23"/>
      <c r="BD133" s="23"/>
      <c r="BE133" s="23"/>
      <c r="BF133" s="11"/>
      <c r="BG133" s="23"/>
      <c r="BH133" s="23"/>
      <c r="BI133" s="23"/>
      <c r="BJ133" s="11"/>
      <c r="BK133" s="23"/>
      <c r="BL133" s="23"/>
      <c r="BM133" s="23"/>
      <c r="BN133" s="11"/>
      <c r="BO133" s="23"/>
      <c r="BP133" s="23"/>
      <c r="BQ133" s="23"/>
      <c r="BR133" s="11"/>
      <c r="BS133" s="23"/>
      <c r="BT133" s="23"/>
      <c r="BU133" s="23"/>
      <c r="BV133" s="11"/>
      <c r="BW133" s="23"/>
      <c r="BX133" s="23"/>
      <c r="BY133" s="23"/>
      <c r="BZ133" s="11"/>
      <c r="CA133" s="3"/>
      <c r="CB133" s="3"/>
      <c r="CC133" s="3"/>
      <c r="CD133" s="3"/>
      <c r="CE133" s="3"/>
      <c r="CF133" s="3"/>
      <c r="CG133" s="3"/>
      <c r="CH133" s="3"/>
      <c r="CI133" s="3"/>
      <c r="CJ133" s="3"/>
      <c r="CK133" s="3"/>
      <c r="CL133" s="3"/>
      <c r="CM133" s="3"/>
      <c r="CN133" s="3"/>
      <c r="CO133" s="3"/>
      <c r="CP133" s="3"/>
      <c r="CQ133" s="3"/>
      <c r="CR133" s="3"/>
      <c r="CS133" s="3"/>
      <c r="CT133" s="3"/>
    </row>
    <row r="134" spans="1:98" x14ac:dyDescent="0.2">
      <c r="A134" s="109"/>
      <c r="B134" s="144"/>
      <c r="C134" s="23"/>
      <c r="D134" s="23"/>
      <c r="E134" s="23"/>
      <c r="F134" s="11"/>
      <c r="G134" s="23"/>
      <c r="H134" s="23"/>
      <c r="I134" s="23"/>
      <c r="J134" s="11"/>
      <c r="K134" s="23"/>
      <c r="L134" s="23"/>
      <c r="M134" s="23"/>
      <c r="N134" s="11"/>
      <c r="O134" s="23"/>
      <c r="P134" s="23"/>
      <c r="Q134" s="23"/>
      <c r="R134" s="11"/>
      <c r="S134" s="23"/>
      <c r="T134" s="23"/>
      <c r="U134" s="23"/>
      <c r="V134" s="11"/>
      <c r="W134" s="23"/>
      <c r="X134" s="23"/>
      <c r="Y134" s="23"/>
      <c r="Z134" s="11"/>
      <c r="AA134" s="23"/>
      <c r="AB134" s="23"/>
      <c r="AC134" s="23"/>
      <c r="AD134" s="11"/>
      <c r="AE134" s="23"/>
      <c r="AF134" s="23"/>
      <c r="AG134" s="23"/>
      <c r="AH134" s="11"/>
      <c r="AI134" s="23"/>
      <c r="AJ134" s="23"/>
      <c r="AK134" s="23"/>
      <c r="AL134" s="11"/>
      <c r="AM134" s="23"/>
      <c r="AN134" s="23"/>
      <c r="AO134" s="23"/>
      <c r="AP134" s="11"/>
      <c r="AQ134" s="23"/>
      <c r="AR134" s="23"/>
      <c r="AS134" s="23"/>
      <c r="AT134" s="11"/>
      <c r="AU134" s="23"/>
      <c r="AV134" s="23"/>
      <c r="AW134" s="23"/>
      <c r="AX134" s="11"/>
      <c r="AY134" s="23"/>
      <c r="AZ134" s="23"/>
      <c r="BA134" s="23"/>
      <c r="BB134" s="11"/>
      <c r="BC134" s="23"/>
      <c r="BD134" s="23"/>
      <c r="BE134" s="23"/>
      <c r="BF134" s="11"/>
      <c r="BG134" s="23"/>
      <c r="BH134" s="23"/>
      <c r="BI134" s="23"/>
      <c r="BJ134" s="11"/>
      <c r="BK134" s="23"/>
      <c r="BL134" s="23"/>
      <c r="BM134" s="23"/>
      <c r="BN134" s="11"/>
      <c r="BO134" s="23"/>
      <c r="BP134" s="23"/>
      <c r="BQ134" s="23"/>
      <c r="BR134" s="11"/>
      <c r="BS134" s="23"/>
      <c r="BT134" s="23"/>
      <c r="BU134" s="23"/>
      <c r="BV134" s="11"/>
      <c r="BW134" s="23"/>
      <c r="BX134" s="23"/>
      <c r="BY134" s="23"/>
      <c r="BZ134" s="11"/>
      <c r="CA134" s="3"/>
      <c r="CB134" s="3"/>
      <c r="CC134" s="3"/>
      <c r="CD134" s="3"/>
      <c r="CE134" s="3"/>
      <c r="CF134" s="3"/>
      <c r="CG134" s="3"/>
      <c r="CH134" s="3"/>
      <c r="CI134" s="3"/>
      <c r="CJ134" s="3"/>
      <c r="CK134" s="3"/>
      <c r="CL134" s="3"/>
      <c r="CM134" s="3"/>
      <c r="CN134" s="3"/>
      <c r="CO134" s="3"/>
      <c r="CP134" s="3"/>
      <c r="CQ134" s="3"/>
      <c r="CR134" s="3"/>
      <c r="CS134" s="3"/>
      <c r="CT134" s="3"/>
    </row>
    <row r="135" spans="1:98" x14ac:dyDescent="0.2">
      <c r="A135" s="109"/>
      <c r="B135" s="144"/>
      <c r="C135" s="23"/>
      <c r="D135" s="23"/>
      <c r="E135" s="23"/>
      <c r="F135" s="11"/>
      <c r="G135" s="23"/>
      <c r="H135" s="23"/>
      <c r="I135" s="23"/>
      <c r="J135" s="11"/>
      <c r="K135" s="23"/>
      <c r="L135" s="23"/>
      <c r="M135" s="23"/>
      <c r="N135" s="11"/>
      <c r="O135" s="23"/>
      <c r="P135" s="23"/>
      <c r="Q135" s="23"/>
      <c r="R135" s="11"/>
      <c r="S135" s="23"/>
      <c r="T135" s="23"/>
      <c r="U135" s="23"/>
      <c r="V135" s="11"/>
      <c r="W135" s="23"/>
      <c r="X135" s="23"/>
      <c r="Y135" s="23"/>
      <c r="Z135" s="11"/>
      <c r="AA135" s="23"/>
      <c r="AB135" s="23"/>
      <c r="AC135" s="23"/>
      <c r="AD135" s="11"/>
      <c r="AE135" s="23"/>
      <c r="AF135" s="23"/>
      <c r="AG135" s="23"/>
      <c r="AH135" s="11"/>
      <c r="AI135" s="23"/>
      <c r="AJ135" s="23"/>
      <c r="AK135" s="23"/>
      <c r="AL135" s="11"/>
      <c r="AM135" s="23"/>
      <c r="AN135" s="23"/>
      <c r="AO135" s="23"/>
      <c r="AP135" s="11"/>
      <c r="AQ135" s="23"/>
      <c r="AR135" s="23"/>
      <c r="AS135" s="23"/>
      <c r="AT135" s="11"/>
      <c r="AU135" s="23"/>
      <c r="AV135" s="23"/>
      <c r="AW135" s="23"/>
      <c r="AX135" s="11"/>
      <c r="AY135" s="23"/>
      <c r="AZ135" s="23"/>
      <c r="BA135" s="23"/>
      <c r="BB135" s="11"/>
      <c r="BC135" s="23"/>
      <c r="BD135" s="23"/>
      <c r="BE135" s="23"/>
      <c r="BF135" s="11"/>
      <c r="BG135" s="23"/>
      <c r="BH135" s="23"/>
      <c r="BI135" s="23"/>
      <c r="BJ135" s="11"/>
      <c r="BK135" s="23"/>
      <c r="BL135" s="23"/>
      <c r="BM135" s="23"/>
      <c r="BN135" s="11"/>
      <c r="BO135" s="23"/>
      <c r="BP135" s="23"/>
      <c r="BQ135" s="23"/>
      <c r="BR135" s="11"/>
      <c r="BS135" s="23"/>
      <c r="BT135" s="23"/>
      <c r="BU135" s="23"/>
      <c r="BV135" s="11"/>
      <c r="BW135" s="23"/>
      <c r="BX135" s="23"/>
      <c r="BY135" s="23"/>
      <c r="BZ135" s="11"/>
      <c r="CA135" s="3"/>
      <c r="CB135" s="3"/>
      <c r="CC135" s="3"/>
      <c r="CD135" s="3"/>
      <c r="CE135" s="3"/>
      <c r="CF135" s="3"/>
      <c r="CG135" s="3"/>
      <c r="CH135" s="3"/>
      <c r="CI135" s="3"/>
      <c r="CJ135" s="3"/>
      <c r="CK135" s="3"/>
      <c r="CL135" s="3"/>
      <c r="CM135" s="3"/>
      <c r="CN135" s="3"/>
      <c r="CO135" s="3"/>
      <c r="CP135" s="3"/>
      <c r="CQ135" s="3"/>
      <c r="CR135" s="3"/>
      <c r="CS135" s="3"/>
      <c r="CT135" s="3"/>
    </row>
    <row r="136" spans="1:98" x14ac:dyDescent="0.2">
      <c r="A136" s="109"/>
      <c r="B136" s="144"/>
      <c r="C136" s="23"/>
      <c r="D136" s="23"/>
      <c r="E136" s="23"/>
      <c r="F136" s="11"/>
      <c r="G136" s="23"/>
      <c r="H136" s="23"/>
      <c r="I136" s="23"/>
      <c r="J136" s="11"/>
      <c r="K136" s="23"/>
      <c r="L136" s="23"/>
      <c r="M136" s="23"/>
      <c r="N136" s="11"/>
      <c r="O136" s="23"/>
      <c r="P136" s="23"/>
      <c r="Q136" s="23"/>
      <c r="R136" s="11"/>
      <c r="S136" s="23"/>
      <c r="T136" s="23"/>
      <c r="U136" s="23"/>
      <c r="V136" s="11"/>
      <c r="W136" s="23"/>
      <c r="X136" s="23"/>
      <c r="Y136" s="23"/>
      <c r="Z136" s="11"/>
      <c r="AA136" s="23"/>
      <c r="AB136" s="23"/>
      <c r="AC136" s="23"/>
      <c r="AD136" s="11"/>
      <c r="AE136" s="23"/>
      <c r="AF136" s="23"/>
      <c r="AG136" s="23"/>
      <c r="AH136" s="11"/>
      <c r="AI136" s="23"/>
      <c r="AJ136" s="23"/>
      <c r="AK136" s="23"/>
      <c r="AL136" s="11"/>
      <c r="AM136" s="23"/>
      <c r="AN136" s="23"/>
      <c r="AO136" s="23"/>
      <c r="AP136" s="11"/>
      <c r="AQ136" s="23"/>
      <c r="AR136" s="23"/>
      <c r="AS136" s="23"/>
      <c r="AT136" s="11"/>
      <c r="AU136" s="23"/>
      <c r="AV136" s="23"/>
      <c r="AW136" s="23"/>
      <c r="AX136" s="11"/>
      <c r="AY136" s="23"/>
      <c r="AZ136" s="23"/>
      <c r="BA136" s="23"/>
      <c r="BB136" s="11"/>
      <c r="BC136" s="23"/>
      <c r="BD136" s="23"/>
      <c r="BE136" s="23"/>
      <c r="BF136" s="11"/>
      <c r="BG136" s="23"/>
      <c r="BH136" s="23"/>
      <c r="BI136" s="23"/>
      <c r="BJ136" s="11"/>
      <c r="BK136" s="23"/>
      <c r="BL136" s="23"/>
      <c r="BM136" s="23"/>
      <c r="BN136" s="11"/>
      <c r="BO136" s="23"/>
      <c r="BP136" s="23"/>
      <c r="BQ136" s="23"/>
      <c r="BR136" s="11"/>
      <c r="BS136" s="23"/>
      <c r="BT136" s="23"/>
      <c r="BU136" s="23"/>
      <c r="BV136" s="11"/>
      <c r="BW136" s="23"/>
      <c r="BX136" s="23"/>
      <c r="BY136" s="23"/>
      <c r="BZ136" s="11"/>
      <c r="CA136" s="3"/>
      <c r="CB136" s="3"/>
      <c r="CC136" s="3"/>
      <c r="CD136" s="3"/>
      <c r="CE136" s="3"/>
      <c r="CF136" s="3"/>
      <c r="CG136" s="3"/>
      <c r="CH136" s="3"/>
      <c r="CI136" s="3"/>
      <c r="CJ136" s="3"/>
      <c r="CK136" s="3"/>
      <c r="CL136" s="3"/>
      <c r="CM136" s="3"/>
      <c r="CN136" s="3"/>
      <c r="CO136" s="3"/>
      <c r="CP136" s="3"/>
      <c r="CQ136" s="3"/>
      <c r="CR136" s="3"/>
      <c r="CS136" s="3"/>
      <c r="CT136" s="3"/>
    </row>
    <row r="137" spans="1:98" x14ac:dyDescent="0.2">
      <c r="A137" s="109"/>
      <c r="B137" s="144"/>
      <c r="C137" s="23"/>
      <c r="D137" s="23"/>
      <c r="E137" s="23"/>
      <c r="F137" s="11"/>
      <c r="G137" s="23"/>
      <c r="H137" s="23"/>
      <c r="I137" s="23"/>
      <c r="J137" s="11"/>
      <c r="K137" s="23"/>
      <c r="L137" s="23"/>
      <c r="M137" s="23"/>
      <c r="N137" s="11"/>
      <c r="O137" s="23"/>
      <c r="P137" s="23"/>
      <c r="Q137" s="23"/>
      <c r="R137" s="11"/>
      <c r="S137" s="23"/>
      <c r="T137" s="23"/>
      <c r="U137" s="23"/>
      <c r="V137" s="11"/>
      <c r="W137" s="23"/>
      <c r="X137" s="23"/>
      <c r="Y137" s="23"/>
      <c r="Z137" s="11"/>
      <c r="AA137" s="23"/>
      <c r="AB137" s="23"/>
      <c r="AC137" s="23"/>
      <c r="AD137" s="11"/>
      <c r="AE137" s="23"/>
      <c r="AF137" s="23"/>
      <c r="AG137" s="23"/>
      <c r="AH137" s="11"/>
      <c r="AI137" s="23"/>
      <c r="AJ137" s="23"/>
      <c r="AK137" s="23"/>
      <c r="AL137" s="11"/>
      <c r="AM137" s="23"/>
      <c r="AN137" s="23"/>
      <c r="AO137" s="23"/>
      <c r="AP137" s="11"/>
      <c r="AQ137" s="23"/>
      <c r="AR137" s="23"/>
      <c r="AS137" s="23"/>
      <c r="AT137" s="11"/>
      <c r="AU137" s="23"/>
      <c r="AV137" s="23"/>
      <c r="AW137" s="23"/>
      <c r="AX137" s="11"/>
      <c r="AY137" s="23"/>
      <c r="AZ137" s="23"/>
      <c r="BA137" s="23"/>
      <c r="BB137" s="11"/>
      <c r="BC137" s="23"/>
      <c r="BD137" s="23"/>
      <c r="BE137" s="23"/>
      <c r="BF137" s="11"/>
      <c r="BG137" s="23"/>
      <c r="BH137" s="23"/>
      <c r="BI137" s="23"/>
      <c r="BJ137" s="11"/>
      <c r="BK137" s="23"/>
      <c r="BL137" s="23"/>
      <c r="BM137" s="23"/>
      <c r="BN137" s="11"/>
      <c r="BO137" s="23"/>
      <c r="BP137" s="23"/>
      <c r="BQ137" s="23"/>
      <c r="BR137" s="11"/>
      <c r="BS137" s="23"/>
      <c r="BT137" s="23"/>
      <c r="BU137" s="23"/>
      <c r="BV137" s="11"/>
      <c r="BW137" s="23"/>
      <c r="BX137" s="23"/>
      <c r="BY137" s="23"/>
      <c r="BZ137" s="11"/>
      <c r="CA137" s="3"/>
      <c r="CB137" s="3"/>
      <c r="CC137" s="3"/>
      <c r="CD137" s="3"/>
      <c r="CE137" s="3"/>
      <c r="CF137" s="3"/>
      <c r="CG137" s="3"/>
      <c r="CH137" s="3"/>
      <c r="CI137" s="3"/>
      <c r="CJ137" s="3"/>
      <c r="CK137" s="3"/>
      <c r="CL137" s="3"/>
      <c r="CM137" s="3"/>
      <c r="CN137" s="3"/>
      <c r="CO137" s="3"/>
      <c r="CP137" s="3"/>
      <c r="CQ137" s="3"/>
      <c r="CR137" s="3"/>
      <c r="CS137" s="3"/>
      <c r="CT137" s="3"/>
    </row>
    <row r="138" spans="1:98" x14ac:dyDescent="0.2">
      <c r="A138" s="109"/>
      <c r="B138" s="144"/>
      <c r="C138" s="23"/>
      <c r="D138" s="23"/>
      <c r="E138" s="23"/>
      <c r="F138" s="11"/>
      <c r="G138" s="23"/>
      <c r="H138" s="23"/>
      <c r="I138" s="23"/>
      <c r="J138" s="11"/>
      <c r="K138" s="23"/>
      <c r="L138" s="23"/>
      <c r="M138" s="23"/>
      <c r="N138" s="11"/>
      <c r="O138" s="23"/>
      <c r="P138" s="23"/>
      <c r="Q138" s="23"/>
      <c r="R138" s="11"/>
      <c r="S138" s="23"/>
      <c r="T138" s="23"/>
      <c r="U138" s="23"/>
      <c r="V138" s="11"/>
      <c r="W138" s="23"/>
      <c r="X138" s="23"/>
      <c r="Y138" s="23"/>
      <c r="Z138" s="11"/>
      <c r="AA138" s="23"/>
      <c r="AB138" s="23"/>
      <c r="AC138" s="23"/>
      <c r="AD138" s="11"/>
      <c r="AE138" s="23"/>
      <c r="AF138" s="23"/>
      <c r="AG138" s="23"/>
      <c r="AH138" s="11"/>
      <c r="AI138" s="23"/>
      <c r="AJ138" s="23"/>
      <c r="AK138" s="23"/>
      <c r="AL138" s="11"/>
      <c r="AM138" s="23"/>
      <c r="AN138" s="23"/>
      <c r="AO138" s="23"/>
      <c r="AP138" s="11"/>
      <c r="AQ138" s="23"/>
      <c r="AR138" s="23"/>
      <c r="AS138" s="23"/>
      <c r="AT138" s="11"/>
      <c r="AU138" s="23"/>
      <c r="AV138" s="23"/>
      <c r="AW138" s="23"/>
      <c r="AX138" s="11"/>
      <c r="AY138" s="23"/>
      <c r="AZ138" s="23"/>
      <c r="BA138" s="23"/>
      <c r="BB138" s="11"/>
      <c r="BC138" s="23"/>
      <c r="BD138" s="23"/>
      <c r="BE138" s="23"/>
      <c r="BF138" s="11"/>
      <c r="BG138" s="23"/>
      <c r="BH138" s="23"/>
      <c r="BI138" s="23"/>
      <c r="BJ138" s="11"/>
      <c r="BK138" s="23"/>
      <c r="BL138" s="23"/>
      <c r="BM138" s="23"/>
      <c r="BN138" s="11"/>
      <c r="BO138" s="23"/>
      <c r="BP138" s="23"/>
      <c r="BQ138" s="23"/>
      <c r="BR138" s="11"/>
      <c r="BS138" s="23"/>
      <c r="BT138" s="23"/>
      <c r="BU138" s="23"/>
      <c r="BV138" s="11"/>
      <c r="BW138" s="23"/>
      <c r="BX138" s="23"/>
      <c r="BY138" s="23"/>
      <c r="BZ138" s="11"/>
      <c r="CA138" s="3"/>
      <c r="CB138" s="3"/>
      <c r="CC138" s="3"/>
      <c r="CD138" s="3"/>
      <c r="CE138" s="3"/>
      <c r="CF138" s="3"/>
      <c r="CG138" s="3"/>
      <c r="CH138" s="3"/>
      <c r="CI138" s="3"/>
      <c r="CJ138" s="3"/>
      <c r="CK138" s="3"/>
      <c r="CL138" s="3"/>
      <c r="CM138" s="3"/>
      <c r="CN138" s="3"/>
      <c r="CO138" s="3"/>
      <c r="CP138" s="3"/>
      <c r="CQ138" s="3"/>
      <c r="CR138" s="3"/>
      <c r="CS138" s="3"/>
      <c r="CT138" s="3"/>
    </row>
    <row r="139" spans="1:98" x14ac:dyDescent="0.2">
      <c r="A139" s="109"/>
      <c r="B139" s="144"/>
      <c r="C139" s="23"/>
      <c r="D139" s="23"/>
      <c r="E139" s="23"/>
      <c r="F139" s="11"/>
      <c r="G139" s="23"/>
      <c r="H139" s="23"/>
      <c r="I139" s="23"/>
      <c r="J139" s="11"/>
      <c r="K139" s="23"/>
      <c r="L139" s="23"/>
      <c r="M139" s="23"/>
      <c r="N139" s="11"/>
      <c r="O139" s="23"/>
      <c r="P139" s="23"/>
      <c r="Q139" s="23"/>
      <c r="R139" s="11"/>
      <c r="S139" s="23"/>
      <c r="T139" s="23"/>
      <c r="U139" s="23"/>
      <c r="V139" s="11"/>
      <c r="W139" s="23"/>
      <c r="X139" s="23"/>
      <c r="Y139" s="23"/>
      <c r="Z139" s="11"/>
      <c r="AA139" s="23"/>
      <c r="AB139" s="23"/>
      <c r="AC139" s="23"/>
      <c r="AD139" s="11"/>
      <c r="AE139" s="23"/>
      <c r="AF139" s="23"/>
      <c r="AG139" s="23"/>
      <c r="AH139" s="11"/>
      <c r="AI139" s="23"/>
      <c r="AJ139" s="23"/>
      <c r="AK139" s="23"/>
      <c r="AL139" s="11"/>
      <c r="AM139" s="23"/>
      <c r="AN139" s="23"/>
      <c r="AO139" s="23"/>
      <c r="AP139" s="11"/>
      <c r="AQ139" s="23"/>
      <c r="AR139" s="23"/>
      <c r="AS139" s="23"/>
      <c r="AT139" s="11"/>
      <c r="AU139" s="23"/>
      <c r="AV139" s="23"/>
      <c r="AW139" s="23"/>
      <c r="AX139" s="11"/>
      <c r="AY139" s="23"/>
      <c r="AZ139" s="23"/>
      <c r="BA139" s="23"/>
      <c r="BB139" s="11"/>
      <c r="BC139" s="23"/>
      <c r="BD139" s="23"/>
      <c r="BE139" s="23"/>
      <c r="BF139" s="11"/>
      <c r="BG139" s="23"/>
      <c r="BH139" s="23"/>
      <c r="BI139" s="23"/>
      <c r="BJ139" s="11"/>
      <c r="BK139" s="23"/>
      <c r="BL139" s="23"/>
      <c r="BM139" s="23"/>
      <c r="BN139" s="11"/>
      <c r="BO139" s="23"/>
      <c r="BP139" s="23"/>
      <c r="BQ139" s="23"/>
      <c r="BR139" s="11"/>
      <c r="BS139" s="23"/>
      <c r="BT139" s="23"/>
      <c r="BU139" s="23"/>
      <c r="BV139" s="11"/>
      <c r="BW139" s="23"/>
      <c r="BX139" s="23"/>
      <c r="BY139" s="23"/>
      <c r="BZ139" s="11"/>
      <c r="CA139" s="3"/>
      <c r="CB139" s="3"/>
      <c r="CC139" s="3"/>
      <c r="CD139" s="3"/>
      <c r="CE139" s="3"/>
      <c r="CF139" s="3"/>
      <c r="CG139" s="3"/>
      <c r="CH139" s="3"/>
      <c r="CI139" s="3"/>
      <c r="CJ139" s="3"/>
      <c r="CK139" s="3"/>
      <c r="CL139" s="3"/>
      <c r="CM139" s="3"/>
      <c r="CN139" s="3"/>
      <c r="CO139" s="3"/>
      <c r="CP139" s="3"/>
      <c r="CQ139" s="3"/>
      <c r="CR139" s="3"/>
      <c r="CS139" s="3"/>
      <c r="CT139" s="3"/>
    </row>
    <row r="140" spans="1:98" x14ac:dyDescent="0.2">
      <c r="A140" s="109"/>
      <c r="B140" s="144"/>
      <c r="C140" s="23"/>
      <c r="D140" s="23"/>
      <c r="E140" s="23"/>
      <c r="F140" s="11"/>
      <c r="G140" s="23"/>
      <c r="H140" s="23"/>
      <c r="I140" s="23"/>
      <c r="J140" s="11"/>
      <c r="K140" s="23"/>
      <c r="L140" s="23"/>
      <c r="M140" s="23"/>
      <c r="N140" s="11"/>
      <c r="O140" s="23"/>
      <c r="P140" s="23"/>
      <c r="Q140" s="23"/>
      <c r="R140" s="11"/>
      <c r="S140" s="23"/>
      <c r="T140" s="23"/>
      <c r="U140" s="23"/>
      <c r="V140" s="11"/>
      <c r="W140" s="23"/>
      <c r="X140" s="23"/>
      <c r="Y140" s="23"/>
      <c r="Z140" s="11"/>
      <c r="AA140" s="23"/>
      <c r="AB140" s="23"/>
      <c r="AC140" s="23"/>
      <c r="AD140" s="11"/>
      <c r="AE140" s="23"/>
      <c r="AF140" s="23"/>
      <c r="AG140" s="23"/>
      <c r="AH140" s="11"/>
      <c r="AI140" s="23"/>
      <c r="AJ140" s="23"/>
      <c r="AK140" s="23"/>
      <c r="AL140" s="11"/>
      <c r="AM140" s="23"/>
      <c r="AN140" s="23"/>
      <c r="AO140" s="23"/>
      <c r="AP140" s="11"/>
      <c r="AQ140" s="23"/>
      <c r="AR140" s="23"/>
      <c r="AS140" s="23"/>
      <c r="AT140" s="11"/>
      <c r="AU140" s="23"/>
      <c r="AV140" s="23"/>
      <c r="AW140" s="23"/>
      <c r="AX140" s="11"/>
      <c r="AY140" s="23"/>
      <c r="AZ140" s="23"/>
      <c r="BA140" s="23"/>
      <c r="BB140" s="11"/>
      <c r="BC140" s="23"/>
      <c r="BD140" s="23"/>
      <c r="BE140" s="23"/>
      <c r="BF140" s="11"/>
      <c r="BG140" s="23"/>
      <c r="BH140" s="23"/>
      <c r="BI140" s="23"/>
      <c r="BJ140" s="11"/>
      <c r="BK140" s="23"/>
      <c r="BL140" s="23"/>
      <c r="BM140" s="23"/>
      <c r="BN140" s="11"/>
      <c r="BO140" s="23"/>
      <c r="BP140" s="23"/>
      <c r="BQ140" s="23"/>
      <c r="BR140" s="11"/>
      <c r="BS140" s="23"/>
      <c r="BT140" s="23"/>
      <c r="BU140" s="23"/>
      <c r="BV140" s="11"/>
      <c r="BW140" s="23"/>
      <c r="BX140" s="23"/>
      <c r="BY140" s="23"/>
      <c r="BZ140" s="11"/>
      <c r="CA140" s="3"/>
      <c r="CB140" s="3"/>
      <c r="CC140" s="3"/>
      <c r="CD140" s="3"/>
      <c r="CE140" s="3"/>
      <c r="CF140" s="3"/>
      <c r="CG140" s="3"/>
      <c r="CH140" s="3"/>
      <c r="CI140" s="3"/>
      <c r="CJ140" s="3"/>
      <c r="CK140" s="3"/>
      <c r="CL140" s="3"/>
      <c r="CM140" s="3"/>
      <c r="CN140" s="3"/>
      <c r="CO140" s="3"/>
      <c r="CP140" s="3"/>
      <c r="CQ140" s="3"/>
      <c r="CR140" s="3"/>
      <c r="CS140" s="3"/>
      <c r="CT140" s="3"/>
    </row>
    <row r="141" spans="1:98" x14ac:dyDescent="0.2">
      <c r="A141" s="109"/>
      <c r="B141" s="144"/>
      <c r="C141" s="23"/>
      <c r="D141" s="23"/>
      <c r="E141" s="23"/>
      <c r="F141" s="11"/>
      <c r="G141" s="23"/>
      <c r="H141" s="23"/>
      <c r="I141" s="23"/>
      <c r="J141" s="11"/>
      <c r="K141" s="23"/>
      <c r="L141" s="23"/>
      <c r="M141" s="23"/>
      <c r="N141" s="11"/>
      <c r="O141" s="23"/>
      <c r="P141" s="23"/>
      <c r="Q141" s="23"/>
      <c r="R141" s="11"/>
      <c r="S141" s="23"/>
      <c r="T141" s="23"/>
      <c r="U141" s="23"/>
      <c r="V141" s="11"/>
      <c r="W141" s="23"/>
      <c r="X141" s="23"/>
      <c r="Y141" s="23"/>
      <c r="Z141" s="11"/>
      <c r="AA141" s="23"/>
      <c r="AB141" s="23"/>
      <c r="AC141" s="23"/>
      <c r="AD141" s="11"/>
      <c r="AE141" s="23"/>
      <c r="AF141" s="23"/>
      <c r="AG141" s="23"/>
      <c r="AH141" s="11"/>
      <c r="AI141" s="23"/>
      <c r="AJ141" s="23"/>
      <c r="AK141" s="23"/>
      <c r="AL141" s="11"/>
      <c r="AM141" s="23"/>
      <c r="AN141" s="23"/>
      <c r="AO141" s="23"/>
      <c r="AP141" s="11"/>
      <c r="AQ141" s="23"/>
      <c r="AR141" s="23"/>
      <c r="AS141" s="23"/>
      <c r="AT141" s="11"/>
      <c r="AU141" s="23"/>
      <c r="AV141" s="23"/>
      <c r="AW141" s="23"/>
      <c r="AX141" s="11"/>
      <c r="AY141" s="23"/>
      <c r="AZ141" s="23"/>
      <c r="BA141" s="23"/>
      <c r="BB141" s="11"/>
      <c r="BC141" s="23"/>
      <c r="BD141" s="23"/>
      <c r="BE141" s="23"/>
      <c r="BF141" s="11"/>
      <c r="BG141" s="23"/>
      <c r="BH141" s="23"/>
      <c r="BI141" s="23"/>
      <c r="BJ141" s="11"/>
      <c r="BK141" s="23"/>
      <c r="BL141" s="23"/>
      <c r="BM141" s="23"/>
      <c r="BN141" s="11"/>
      <c r="BO141" s="23"/>
      <c r="BP141" s="23"/>
      <c r="BQ141" s="23"/>
      <c r="BR141" s="11"/>
      <c r="BS141" s="23"/>
      <c r="BT141" s="23"/>
      <c r="BU141" s="23"/>
      <c r="BV141" s="11"/>
      <c r="BW141" s="23"/>
      <c r="BX141" s="23"/>
      <c r="BY141" s="23"/>
      <c r="BZ141" s="11"/>
      <c r="CA141" s="3"/>
      <c r="CB141" s="3"/>
      <c r="CC141" s="3"/>
      <c r="CD141" s="3"/>
      <c r="CE141" s="3"/>
      <c r="CF141" s="3"/>
      <c r="CG141" s="3"/>
      <c r="CH141" s="3"/>
      <c r="CI141" s="3"/>
      <c r="CJ141" s="3"/>
      <c r="CK141" s="3"/>
      <c r="CL141" s="3"/>
      <c r="CM141" s="3"/>
      <c r="CN141" s="3"/>
      <c r="CO141" s="3"/>
      <c r="CP141" s="3"/>
      <c r="CQ141" s="3"/>
      <c r="CR141" s="3"/>
      <c r="CS141" s="3"/>
      <c r="CT141" s="3"/>
    </row>
    <row r="142" spans="1:98" x14ac:dyDescent="0.2">
      <c r="A142" s="109"/>
      <c r="B142" s="144"/>
      <c r="C142" s="23"/>
      <c r="D142" s="23"/>
      <c r="E142" s="23"/>
      <c r="F142" s="11"/>
      <c r="G142" s="23"/>
      <c r="H142" s="23"/>
      <c r="I142" s="23"/>
      <c r="J142" s="11"/>
      <c r="K142" s="23"/>
      <c r="L142" s="23"/>
      <c r="M142" s="23"/>
      <c r="N142" s="11"/>
      <c r="O142" s="23"/>
      <c r="P142" s="23"/>
      <c r="Q142" s="23"/>
      <c r="R142" s="11"/>
      <c r="S142" s="23"/>
      <c r="T142" s="23"/>
      <c r="U142" s="23"/>
      <c r="V142" s="11"/>
      <c r="W142" s="23"/>
      <c r="X142" s="23"/>
      <c r="Y142" s="23"/>
      <c r="Z142" s="11"/>
      <c r="AA142" s="23"/>
      <c r="AB142" s="23"/>
      <c r="AC142" s="23"/>
      <c r="AD142" s="11"/>
      <c r="AE142" s="23"/>
      <c r="AF142" s="23"/>
      <c r="AG142" s="23"/>
      <c r="AH142" s="11"/>
      <c r="AI142" s="23"/>
      <c r="AJ142" s="23"/>
      <c r="AK142" s="23"/>
      <c r="AL142" s="11"/>
      <c r="AM142" s="23"/>
      <c r="AN142" s="23"/>
      <c r="AO142" s="23"/>
      <c r="AP142" s="11"/>
      <c r="AQ142" s="23"/>
      <c r="AR142" s="23"/>
      <c r="AS142" s="23"/>
      <c r="AT142" s="11"/>
      <c r="AU142" s="23"/>
      <c r="AV142" s="23"/>
      <c r="AW142" s="23"/>
      <c r="AX142" s="11"/>
      <c r="AY142" s="23"/>
      <c r="AZ142" s="23"/>
      <c r="BA142" s="23"/>
      <c r="BB142" s="11"/>
      <c r="BC142" s="23"/>
      <c r="BD142" s="23"/>
      <c r="BE142" s="23"/>
      <c r="BF142" s="11"/>
      <c r="BG142" s="23"/>
      <c r="BH142" s="23"/>
      <c r="BI142" s="23"/>
      <c r="BJ142" s="11"/>
      <c r="BK142" s="23"/>
      <c r="BL142" s="23"/>
      <c r="BM142" s="23"/>
      <c r="BN142" s="11"/>
      <c r="BO142" s="23"/>
      <c r="BP142" s="23"/>
      <c r="BQ142" s="23"/>
      <c r="BR142" s="11"/>
      <c r="BS142" s="23"/>
      <c r="BT142" s="23"/>
      <c r="BU142" s="23"/>
      <c r="BV142" s="11"/>
      <c r="BW142" s="23"/>
      <c r="BX142" s="23"/>
      <c r="BY142" s="23"/>
      <c r="BZ142" s="11"/>
      <c r="CA142" s="3"/>
      <c r="CB142" s="3"/>
      <c r="CC142" s="3"/>
      <c r="CD142" s="3"/>
      <c r="CE142" s="3"/>
      <c r="CF142" s="3"/>
      <c r="CG142" s="3"/>
      <c r="CH142" s="3"/>
      <c r="CI142" s="3"/>
      <c r="CJ142" s="3"/>
      <c r="CK142" s="3"/>
      <c r="CL142" s="3"/>
      <c r="CM142" s="3"/>
      <c r="CN142" s="3"/>
      <c r="CO142" s="3"/>
      <c r="CP142" s="3"/>
      <c r="CQ142" s="3"/>
      <c r="CR142" s="3"/>
      <c r="CS142" s="3"/>
      <c r="CT142" s="3"/>
    </row>
    <row r="143" spans="1:98" x14ac:dyDescent="0.2">
      <c r="A143" s="109"/>
      <c r="B143" s="144"/>
      <c r="C143" s="23"/>
      <c r="D143" s="23"/>
      <c r="E143" s="23"/>
      <c r="F143" s="11"/>
      <c r="G143" s="23"/>
      <c r="H143" s="23"/>
      <c r="I143" s="23"/>
      <c r="J143" s="11"/>
      <c r="K143" s="23"/>
      <c r="L143" s="23"/>
      <c r="M143" s="23"/>
      <c r="N143" s="11"/>
      <c r="O143" s="23"/>
      <c r="P143" s="23"/>
      <c r="Q143" s="23"/>
      <c r="R143" s="11"/>
      <c r="S143" s="23"/>
      <c r="T143" s="23"/>
      <c r="U143" s="23"/>
      <c r="V143" s="11"/>
      <c r="W143" s="23"/>
      <c r="X143" s="23"/>
      <c r="Y143" s="23"/>
      <c r="Z143" s="11"/>
      <c r="AA143" s="23"/>
      <c r="AB143" s="23"/>
      <c r="AC143" s="23"/>
      <c r="AD143" s="11"/>
      <c r="AE143" s="23"/>
      <c r="AF143" s="23"/>
      <c r="AG143" s="23"/>
      <c r="AH143" s="11"/>
      <c r="AI143" s="23"/>
      <c r="AJ143" s="23"/>
      <c r="AK143" s="23"/>
      <c r="AL143" s="11"/>
      <c r="AM143" s="23"/>
      <c r="AN143" s="23"/>
      <c r="AO143" s="23"/>
      <c r="AP143" s="11"/>
      <c r="AQ143" s="23"/>
      <c r="AR143" s="23"/>
      <c r="AS143" s="23"/>
      <c r="AT143" s="11"/>
      <c r="AU143" s="23"/>
      <c r="AV143" s="23"/>
      <c r="AW143" s="23"/>
      <c r="AX143" s="11"/>
      <c r="AY143" s="23"/>
      <c r="AZ143" s="23"/>
      <c r="BA143" s="23"/>
      <c r="BB143" s="11"/>
      <c r="BC143" s="23"/>
      <c r="BD143" s="23"/>
      <c r="BE143" s="23"/>
      <c r="BF143" s="11"/>
      <c r="BG143" s="23"/>
      <c r="BH143" s="23"/>
      <c r="BI143" s="23"/>
      <c r="BJ143" s="11"/>
      <c r="BK143" s="23"/>
      <c r="BL143" s="23"/>
      <c r="BM143" s="23"/>
      <c r="BN143" s="11"/>
      <c r="BO143" s="23"/>
      <c r="BP143" s="23"/>
      <c r="BQ143" s="23"/>
      <c r="BR143" s="11"/>
      <c r="BS143" s="23"/>
      <c r="BT143" s="23"/>
      <c r="BU143" s="23"/>
      <c r="BV143" s="11"/>
      <c r="BW143" s="23"/>
      <c r="BX143" s="23"/>
      <c r="BY143" s="23"/>
      <c r="BZ143" s="11"/>
      <c r="CA143" s="3"/>
      <c r="CB143" s="3"/>
      <c r="CC143" s="3"/>
      <c r="CD143" s="3"/>
      <c r="CE143" s="3"/>
      <c r="CF143" s="3"/>
      <c r="CG143" s="3"/>
      <c r="CH143" s="3"/>
      <c r="CI143" s="3"/>
      <c r="CJ143" s="3"/>
      <c r="CK143" s="3"/>
      <c r="CL143" s="3"/>
      <c r="CM143" s="3"/>
      <c r="CN143" s="3"/>
      <c r="CO143" s="3"/>
      <c r="CP143" s="3"/>
      <c r="CQ143" s="3"/>
      <c r="CR143" s="3"/>
      <c r="CS143" s="3"/>
      <c r="CT143" s="3"/>
    </row>
    <row r="144" spans="1:98" x14ac:dyDescent="0.2">
      <c r="A144" s="109"/>
      <c r="B144" s="144"/>
      <c r="C144" s="23"/>
      <c r="D144" s="23"/>
      <c r="E144" s="23"/>
      <c r="F144" s="11"/>
      <c r="G144" s="23"/>
      <c r="H144" s="23"/>
      <c r="I144" s="23"/>
      <c r="J144" s="11"/>
      <c r="K144" s="23"/>
      <c r="L144" s="23"/>
      <c r="M144" s="23"/>
      <c r="N144" s="11"/>
      <c r="O144" s="23"/>
      <c r="P144" s="23"/>
      <c r="Q144" s="23"/>
      <c r="R144" s="11"/>
      <c r="S144" s="23"/>
      <c r="T144" s="23"/>
      <c r="U144" s="23"/>
      <c r="V144" s="11"/>
      <c r="W144" s="23"/>
      <c r="X144" s="23"/>
      <c r="Y144" s="23"/>
      <c r="Z144" s="11"/>
      <c r="AA144" s="23"/>
      <c r="AB144" s="23"/>
      <c r="AC144" s="23"/>
      <c r="AD144" s="11"/>
      <c r="AE144" s="23"/>
      <c r="AF144" s="23"/>
      <c r="AG144" s="23"/>
      <c r="AH144" s="11"/>
      <c r="AI144" s="23"/>
      <c r="AJ144" s="23"/>
      <c r="AK144" s="23"/>
      <c r="AL144" s="11"/>
      <c r="AM144" s="23"/>
      <c r="AN144" s="23"/>
      <c r="AO144" s="23"/>
      <c r="AP144" s="11"/>
      <c r="AQ144" s="23"/>
      <c r="AR144" s="23"/>
      <c r="AS144" s="23"/>
      <c r="AT144" s="11"/>
      <c r="AU144" s="23"/>
      <c r="AV144" s="23"/>
      <c r="AW144" s="23"/>
      <c r="AX144" s="11"/>
      <c r="AY144" s="23"/>
      <c r="AZ144" s="23"/>
      <c r="BA144" s="23"/>
      <c r="BB144" s="11"/>
      <c r="BC144" s="23"/>
      <c r="BD144" s="23"/>
      <c r="BE144" s="23"/>
      <c r="BF144" s="11"/>
      <c r="BG144" s="23"/>
      <c r="BH144" s="23"/>
      <c r="BI144" s="23"/>
      <c r="BJ144" s="11"/>
      <c r="BK144" s="23"/>
      <c r="BL144" s="23"/>
      <c r="BM144" s="23"/>
      <c r="BN144" s="11"/>
      <c r="BO144" s="23"/>
      <c r="BP144" s="23"/>
      <c r="BQ144" s="23"/>
      <c r="BR144" s="11"/>
      <c r="BS144" s="23"/>
      <c r="BT144" s="23"/>
      <c r="BU144" s="23"/>
      <c r="BV144" s="11"/>
      <c r="BW144" s="23"/>
      <c r="BX144" s="23"/>
      <c r="BY144" s="23"/>
      <c r="BZ144" s="11"/>
      <c r="CA144" s="3"/>
      <c r="CB144" s="3"/>
      <c r="CC144" s="3"/>
      <c r="CD144" s="3"/>
      <c r="CE144" s="3"/>
      <c r="CF144" s="3"/>
      <c r="CG144" s="3"/>
      <c r="CH144" s="3"/>
      <c r="CI144" s="3"/>
      <c r="CJ144" s="3"/>
      <c r="CK144" s="3"/>
      <c r="CL144" s="3"/>
      <c r="CM144" s="3"/>
      <c r="CN144" s="3"/>
      <c r="CO144" s="3"/>
      <c r="CP144" s="3"/>
      <c r="CQ144" s="3"/>
      <c r="CR144" s="3"/>
      <c r="CS144" s="3"/>
      <c r="CT144" s="3"/>
    </row>
    <row r="145" spans="1:98" x14ac:dyDescent="0.2">
      <c r="A145" s="109"/>
      <c r="B145" s="144"/>
      <c r="C145" s="23"/>
      <c r="D145" s="23"/>
      <c r="E145" s="23"/>
      <c r="F145" s="11"/>
      <c r="G145" s="23"/>
      <c r="H145" s="23"/>
      <c r="I145" s="23"/>
      <c r="J145" s="11"/>
      <c r="K145" s="23"/>
      <c r="L145" s="23"/>
      <c r="M145" s="23"/>
      <c r="N145" s="11"/>
      <c r="O145" s="23"/>
      <c r="P145" s="23"/>
      <c r="Q145" s="23"/>
      <c r="R145" s="11"/>
      <c r="S145" s="23"/>
      <c r="T145" s="23"/>
      <c r="U145" s="23"/>
      <c r="V145" s="11"/>
      <c r="W145" s="23"/>
      <c r="X145" s="23"/>
      <c r="Y145" s="23"/>
      <c r="Z145" s="11"/>
      <c r="AA145" s="23"/>
      <c r="AB145" s="23"/>
      <c r="AC145" s="23"/>
      <c r="AD145" s="11"/>
      <c r="AE145" s="23"/>
      <c r="AF145" s="23"/>
      <c r="AG145" s="23"/>
      <c r="AH145" s="11"/>
      <c r="AI145" s="23"/>
      <c r="AJ145" s="23"/>
      <c r="AK145" s="23"/>
      <c r="AL145" s="11"/>
      <c r="AM145" s="23"/>
      <c r="AN145" s="23"/>
      <c r="AO145" s="23"/>
      <c r="AP145" s="11"/>
      <c r="AQ145" s="23"/>
      <c r="AR145" s="23"/>
      <c r="AS145" s="23"/>
      <c r="AT145" s="11"/>
      <c r="AU145" s="23"/>
      <c r="AV145" s="23"/>
      <c r="AW145" s="23"/>
      <c r="AX145" s="11"/>
      <c r="AY145" s="23"/>
      <c r="AZ145" s="23"/>
      <c r="BA145" s="23"/>
      <c r="BB145" s="11"/>
      <c r="BC145" s="23"/>
      <c r="BD145" s="23"/>
      <c r="BE145" s="23"/>
      <c r="BF145" s="11"/>
      <c r="BG145" s="23"/>
      <c r="BH145" s="23"/>
      <c r="BI145" s="23"/>
      <c r="BJ145" s="11"/>
      <c r="BK145" s="23"/>
      <c r="BL145" s="23"/>
      <c r="BM145" s="23"/>
      <c r="BN145" s="11"/>
      <c r="BO145" s="23"/>
      <c r="BP145" s="23"/>
      <c r="BQ145" s="23"/>
      <c r="BR145" s="11"/>
      <c r="BS145" s="23"/>
      <c r="BT145" s="23"/>
      <c r="BU145" s="23"/>
      <c r="BV145" s="11"/>
      <c r="BW145" s="23"/>
      <c r="BX145" s="23"/>
      <c r="BY145" s="23"/>
      <c r="BZ145" s="11"/>
      <c r="CA145" s="3"/>
      <c r="CB145" s="3"/>
      <c r="CC145" s="3"/>
      <c r="CD145" s="3"/>
      <c r="CE145" s="3"/>
      <c r="CF145" s="3"/>
      <c r="CG145" s="3"/>
      <c r="CH145" s="3"/>
      <c r="CI145" s="3"/>
      <c r="CJ145" s="3"/>
      <c r="CK145" s="3"/>
      <c r="CL145" s="3"/>
      <c r="CM145" s="3"/>
      <c r="CN145" s="3"/>
      <c r="CO145" s="3"/>
      <c r="CP145" s="3"/>
      <c r="CQ145" s="3"/>
      <c r="CR145" s="3"/>
      <c r="CS145" s="3"/>
      <c r="CT145" s="3"/>
    </row>
    <row r="146" spans="1:98" x14ac:dyDescent="0.2">
      <c r="A146" s="109"/>
      <c r="B146" s="144"/>
      <c r="C146" s="23"/>
      <c r="D146" s="23"/>
      <c r="E146" s="23"/>
      <c r="F146" s="11"/>
      <c r="G146" s="23"/>
      <c r="H146" s="23"/>
      <c r="I146" s="23"/>
      <c r="J146" s="11"/>
      <c r="K146" s="23"/>
      <c r="L146" s="23"/>
      <c r="M146" s="23"/>
      <c r="N146" s="11"/>
      <c r="O146" s="23"/>
      <c r="P146" s="23"/>
      <c r="Q146" s="23"/>
      <c r="R146" s="11"/>
      <c r="S146" s="23"/>
      <c r="T146" s="23"/>
      <c r="U146" s="23"/>
      <c r="V146" s="11"/>
      <c r="W146" s="23"/>
      <c r="X146" s="23"/>
      <c r="Y146" s="23"/>
      <c r="Z146" s="11"/>
      <c r="AA146" s="23"/>
      <c r="AB146" s="23"/>
      <c r="AC146" s="23"/>
      <c r="AD146" s="11"/>
      <c r="AE146" s="23"/>
      <c r="AF146" s="23"/>
      <c r="AG146" s="23"/>
      <c r="AH146" s="11"/>
      <c r="AI146" s="23"/>
      <c r="AJ146" s="23"/>
      <c r="AK146" s="23"/>
      <c r="AL146" s="11"/>
      <c r="AM146" s="23"/>
      <c r="AN146" s="23"/>
      <c r="AO146" s="23"/>
      <c r="AP146" s="11"/>
      <c r="AQ146" s="23"/>
      <c r="AR146" s="23"/>
      <c r="AS146" s="23"/>
      <c r="AT146" s="11"/>
      <c r="AU146" s="23"/>
      <c r="AV146" s="23"/>
      <c r="AW146" s="23"/>
      <c r="AX146" s="11"/>
      <c r="AY146" s="23"/>
      <c r="AZ146" s="23"/>
      <c r="BA146" s="23"/>
      <c r="BB146" s="11"/>
      <c r="BC146" s="23"/>
      <c r="BD146" s="23"/>
      <c r="BE146" s="23"/>
      <c r="BF146" s="11"/>
      <c r="BG146" s="23"/>
      <c r="BH146" s="23"/>
      <c r="BI146" s="23"/>
      <c r="BJ146" s="11"/>
      <c r="BK146" s="23"/>
      <c r="BL146" s="23"/>
      <c r="BM146" s="23"/>
      <c r="BN146" s="11"/>
      <c r="BO146" s="23"/>
      <c r="BP146" s="23"/>
      <c r="BQ146" s="23"/>
      <c r="BR146" s="11"/>
      <c r="BS146" s="23"/>
      <c r="BT146" s="23"/>
      <c r="BU146" s="23"/>
      <c r="BV146" s="11"/>
      <c r="BW146" s="23"/>
      <c r="BX146" s="23"/>
      <c r="BY146" s="23"/>
      <c r="BZ146" s="11"/>
      <c r="CA146" s="3"/>
      <c r="CB146" s="3"/>
      <c r="CC146" s="3"/>
      <c r="CD146" s="3"/>
      <c r="CE146" s="3"/>
      <c r="CF146" s="3"/>
      <c r="CG146" s="3"/>
      <c r="CH146" s="3"/>
      <c r="CI146" s="3"/>
      <c r="CJ146" s="3"/>
      <c r="CK146" s="3"/>
      <c r="CL146" s="3"/>
      <c r="CM146" s="3"/>
      <c r="CN146" s="3"/>
      <c r="CO146" s="3"/>
      <c r="CP146" s="3"/>
      <c r="CQ146" s="3"/>
      <c r="CR146" s="3"/>
      <c r="CS146" s="3"/>
      <c r="CT146" s="3"/>
    </row>
    <row r="147" spans="1:98" x14ac:dyDescent="0.2">
      <c r="A147" s="109"/>
      <c r="B147" s="144"/>
      <c r="C147" s="23"/>
      <c r="D147" s="23"/>
      <c r="E147" s="23"/>
      <c r="F147" s="11"/>
      <c r="G147" s="23"/>
      <c r="H147" s="23"/>
      <c r="I147" s="23"/>
      <c r="J147" s="11"/>
      <c r="K147" s="23"/>
      <c r="L147" s="23"/>
      <c r="M147" s="23"/>
      <c r="N147" s="11"/>
      <c r="O147" s="23"/>
      <c r="P147" s="23"/>
      <c r="Q147" s="23"/>
      <c r="R147" s="11"/>
      <c r="S147" s="23"/>
      <c r="T147" s="23"/>
      <c r="U147" s="23"/>
      <c r="V147" s="11"/>
      <c r="W147" s="23"/>
      <c r="X147" s="23"/>
      <c r="Y147" s="23"/>
      <c r="Z147" s="11"/>
      <c r="AA147" s="23"/>
      <c r="AB147" s="23"/>
      <c r="AC147" s="23"/>
      <c r="AD147" s="11"/>
      <c r="AE147" s="23"/>
      <c r="AF147" s="23"/>
      <c r="AG147" s="23"/>
      <c r="AH147" s="11"/>
      <c r="AI147" s="23"/>
      <c r="AJ147" s="23"/>
      <c r="AK147" s="23"/>
      <c r="AL147" s="11"/>
      <c r="AM147" s="23"/>
      <c r="AN147" s="23"/>
      <c r="AO147" s="23"/>
      <c r="AP147" s="11"/>
      <c r="AQ147" s="23"/>
      <c r="AR147" s="23"/>
      <c r="AS147" s="23"/>
      <c r="AT147" s="11"/>
      <c r="AU147" s="23"/>
      <c r="AV147" s="23"/>
      <c r="AW147" s="23"/>
      <c r="AX147" s="11"/>
      <c r="AY147" s="23"/>
      <c r="AZ147" s="23"/>
      <c r="BA147" s="23"/>
      <c r="BB147" s="11"/>
      <c r="BC147" s="23"/>
      <c r="BD147" s="23"/>
      <c r="BE147" s="23"/>
      <c r="BF147" s="11"/>
      <c r="BG147" s="23"/>
      <c r="BH147" s="23"/>
      <c r="BI147" s="23"/>
      <c r="BJ147" s="11"/>
      <c r="BK147" s="23"/>
      <c r="BL147" s="23"/>
      <c r="BM147" s="23"/>
      <c r="BN147" s="11"/>
      <c r="BO147" s="23"/>
      <c r="BP147" s="23"/>
      <c r="BQ147" s="23"/>
      <c r="BR147" s="11"/>
      <c r="BS147" s="23"/>
      <c r="BT147" s="23"/>
      <c r="BU147" s="23"/>
      <c r="BV147" s="11"/>
      <c r="BW147" s="23"/>
      <c r="BX147" s="23"/>
      <c r="BY147" s="23"/>
      <c r="BZ147" s="11"/>
      <c r="CA147" s="3"/>
      <c r="CB147" s="3"/>
      <c r="CC147" s="3"/>
      <c r="CD147" s="3"/>
      <c r="CE147" s="3"/>
      <c r="CF147" s="3"/>
      <c r="CG147" s="3"/>
      <c r="CH147" s="3"/>
      <c r="CI147" s="3"/>
      <c r="CJ147" s="3"/>
      <c r="CK147" s="3"/>
      <c r="CL147" s="3"/>
      <c r="CM147" s="3"/>
      <c r="CN147" s="3"/>
      <c r="CO147" s="3"/>
      <c r="CP147" s="3"/>
      <c r="CQ147" s="3"/>
      <c r="CR147" s="3"/>
      <c r="CS147" s="3"/>
      <c r="CT147" s="3"/>
    </row>
    <row r="148" spans="1:98" x14ac:dyDescent="0.2">
      <c r="A148" s="109"/>
      <c r="B148" s="144"/>
      <c r="C148" s="23"/>
      <c r="D148" s="23"/>
      <c r="E148" s="23"/>
      <c r="F148" s="11"/>
      <c r="G148" s="23"/>
      <c r="H148" s="23"/>
      <c r="I148" s="23"/>
      <c r="J148" s="11"/>
      <c r="K148" s="23"/>
      <c r="L148" s="23"/>
      <c r="M148" s="23"/>
      <c r="N148" s="11"/>
      <c r="O148" s="23"/>
      <c r="P148" s="23"/>
      <c r="Q148" s="23"/>
      <c r="R148" s="11"/>
      <c r="S148" s="23"/>
      <c r="T148" s="23"/>
      <c r="U148" s="23"/>
      <c r="V148" s="11"/>
      <c r="W148" s="23"/>
      <c r="X148" s="23"/>
      <c r="Y148" s="23"/>
      <c r="Z148" s="11"/>
      <c r="AA148" s="23"/>
      <c r="AB148" s="23"/>
      <c r="AC148" s="23"/>
      <c r="AD148" s="11"/>
      <c r="AE148" s="23"/>
      <c r="AF148" s="23"/>
      <c r="AG148" s="23"/>
      <c r="AH148" s="11"/>
      <c r="AI148" s="23"/>
      <c r="AJ148" s="23"/>
      <c r="AK148" s="23"/>
      <c r="AL148" s="11"/>
      <c r="AM148" s="23"/>
      <c r="AN148" s="23"/>
      <c r="AO148" s="23"/>
      <c r="AP148" s="11"/>
      <c r="AQ148" s="23"/>
      <c r="AR148" s="23"/>
      <c r="AS148" s="23"/>
      <c r="AT148" s="11"/>
      <c r="AU148" s="23"/>
      <c r="AV148" s="23"/>
      <c r="AW148" s="23"/>
      <c r="AX148" s="11"/>
      <c r="AY148" s="23"/>
      <c r="AZ148" s="23"/>
      <c r="BA148" s="23"/>
      <c r="BB148" s="11"/>
      <c r="BC148" s="23"/>
      <c r="BD148" s="23"/>
      <c r="BE148" s="23"/>
      <c r="BF148" s="11"/>
      <c r="BG148" s="23"/>
      <c r="BH148" s="23"/>
      <c r="BI148" s="23"/>
      <c r="BJ148" s="11"/>
      <c r="BK148" s="23"/>
      <c r="BL148" s="23"/>
      <c r="BM148" s="23"/>
      <c r="BN148" s="11"/>
      <c r="BO148" s="23"/>
      <c r="BP148" s="23"/>
      <c r="BQ148" s="23"/>
      <c r="BR148" s="11"/>
      <c r="BS148" s="23"/>
      <c r="BT148" s="23"/>
      <c r="BU148" s="23"/>
      <c r="BV148" s="11"/>
      <c r="BW148" s="23"/>
      <c r="BX148" s="23"/>
      <c r="BY148" s="23"/>
      <c r="BZ148" s="11"/>
      <c r="CA148" s="3"/>
      <c r="CB148" s="3"/>
      <c r="CC148" s="3"/>
      <c r="CD148" s="3"/>
      <c r="CE148" s="3"/>
      <c r="CF148" s="3"/>
      <c r="CG148" s="3"/>
      <c r="CH148" s="3"/>
      <c r="CI148" s="3"/>
      <c r="CJ148" s="3"/>
      <c r="CK148" s="3"/>
      <c r="CL148" s="3"/>
      <c r="CM148" s="3"/>
      <c r="CN148" s="3"/>
      <c r="CO148" s="3"/>
      <c r="CP148" s="3"/>
      <c r="CQ148" s="3"/>
      <c r="CR148" s="3"/>
      <c r="CS148" s="3"/>
      <c r="CT148" s="3"/>
    </row>
    <row r="149" spans="1:98" x14ac:dyDescent="0.2">
      <c r="A149" s="109"/>
      <c r="B149" s="144"/>
      <c r="C149" s="23"/>
      <c r="D149" s="23"/>
      <c r="E149" s="23"/>
      <c r="F149" s="11"/>
      <c r="G149" s="23"/>
      <c r="H149" s="23"/>
      <c r="I149" s="23"/>
      <c r="J149" s="11"/>
      <c r="K149" s="23"/>
      <c r="L149" s="23"/>
      <c r="M149" s="23"/>
      <c r="N149" s="11"/>
      <c r="O149" s="23"/>
      <c r="P149" s="23"/>
      <c r="Q149" s="23"/>
      <c r="R149" s="11"/>
      <c r="S149" s="23"/>
      <c r="T149" s="23"/>
      <c r="U149" s="23"/>
      <c r="V149" s="11"/>
      <c r="W149" s="23"/>
      <c r="X149" s="23"/>
      <c r="Y149" s="23"/>
      <c r="Z149" s="11"/>
      <c r="AA149" s="23"/>
      <c r="AB149" s="23"/>
      <c r="AC149" s="23"/>
      <c r="AD149" s="11"/>
      <c r="AE149" s="23"/>
      <c r="AF149" s="23"/>
      <c r="AG149" s="23"/>
      <c r="AH149" s="11"/>
      <c r="AI149" s="23"/>
      <c r="AJ149" s="23"/>
      <c r="AK149" s="23"/>
      <c r="AL149" s="11"/>
      <c r="AM149" s="23"/>
      <c r="AN149" s="23"/>
      <c r="AO149" s="23"/>
      <c r="AP149" s="11"/>
      <c r="AQ149" s="23"/>
      <c r="AR149" s="23"/>
      <c r="AS149" s="23"/>
      <c r="AT149" s="11"/>
      <c r="AU149" s="23"/>
      <c r="AV149" s="23"/>
      <c r="AW149" s="23"/>
      <c r="AX149" s="11"/>
      <c r="AY149" s="23"/>
      <c r="AZ149" s="23"/>
      <c r="BA149" s="23"/>
      <c r="BB149" s="11"/>
      <c r="BC149" s="23"/>
      <c r="BD149" s="23"/>
      <c r="BE149" s="23"/>
      <c r="BF149" s="11"/>
      <c r="BG149" s="23"/>
      <c r="BH149" s="23"/>
      <c r="BI149" s="23"/>
      <c r="BJ149" s="11"/>
      <c r="BK149" s="23"/>
      <c r="BL149" s="23"/>
      <c r="BM149" s="23"/>
      <c r="BN149" s="11"/>
      <c r="BO149" s="23"/>
      <c r="BP149" s="23"/>
      <c r="BQ149" s="23"/>
      <c r="BR149" s="11"/>
      <c r="BS149" s="23"/>
      <c r="BT149" s="23"/>
      <c r="BU149" s="23"/>
      <c r="BV149" s="11"/>
      <c r="BW149" s="23"/>
      <c r="BX149" s="23"/>
      <c r="BY149" s="23"/>
      <c r="BZ149" s="11"/>
      <c r="CA149" s="3"/>
      <c r="CB149" s="3"/>
      <c r="CC149" s="3"/>
      <c r="CD149" s="3"/>
      <c r="CE149" s="3"/>
      <c r="CF149" s="3"/>
      <c r="CG149" s="3"/>
      <c r="CH149" s="3"/>
      <c r="CI149" s="3"/>
      <c r="CJ149" s="3"/>
      <c r="CK149" s="3"/>
      <c r="CL149" s="3"/>
      <c r="CM149" s="3"/>
      <c r="CN149" s="3"/>
      <c r="CO149" s="3"/>
      <c r="CP149" s="3"/>
      <c r="CQ149" s="3"/>
      <c r="CR149" s="3"/>
      <c r="CS149" s="3"/>
      <c r="CT149" s="3"/>
    </row>
    <row r="150" spans="1:98" x14ac:dyDescent="0.2">
      <c r="A150" s="109"/>
      <c r="B150" s="144"/>
      <c r="C150" s="23"/>
      <c r="D150" s="23"/>
      <c r="E150" s="23"/>
      <c r="F150" s="11"/>
      <c r="G150" s="23"/>
      <c r="H150" s="23"/>
      <c r="I150" s="23"/>
      <c r="J150" s="11"/>
      <c r="K150" s="23"/>
      <c r="L150" s="23"/>
      <c r="M150" s="23"/>
      <c r="N150" s="11"/>
      <c r="O150" s="23"/>
      <c r="P150" s="23"/>
      <c r="Q150" s="23"/>
      <c r="R150" s="11"/>
      <c r="S150" s="23"/>
      <c r="T150" s="23"/>
      <c r="U150" s="23"/>
      <c r="V150" s="11"/>
      <c r="W150" s="23"/>
      <c r="X150" s="23"/>
      <c r="Y150" s="23"/>
      <c r="Z150" s="11"/>
      <c r="AA150" s="23"/>
      <c r="AB150" s="23"/>
      <c r="AC150" s="23"/>
      <c r="AD150" s="11"/>
      <c r="AE150" s="23"/>
      <c r="AF150" s="23"/>
      <c r="AG150" s="23"/>
      <c r="AH150" s="11"/>
      <c r="AI150" s="23"/>
      <c r="AJ150" s="23"/>
      <c r="AK150" s="23"/>
      <c r="AL150" s="11"/>
      <c r="AM150" s="23"/>
      <c r="AN150" s="23"/>
      <c r="AO150" s="23"/>
      <c r="AP150" s="11"/>
      <c r="AQ150" s="23"/>
      <c r="AR150" s="23"/>
      <c r="AS150" s="23"/>
      <c r="AT150" s="11"/>
      <c r="AU150" s="23"/>
      <c r="AV150" s="23"/>
      <c r="AW150" s="23"/>
      <c r="AX150" s="11"/>
      <c r="AY150" s="23"/>
      <c r="AZ150" s="23"/>
      <c r="BA150" s="23"/>
      <c r="BB150" s="11"/>
      <c r="BC150" s="23"/>
      <c r="BD150" s="23"/>
      <c r="BE150" s="23"/>
      <c r="BF150" s="11"/>
      <c r="BG150" s="23"/>
      <c r="BH150" s="23"/>
      <c r="BI150" s="23"/>
      <c r="BJ150" s="11"/>
      <c r="BK150" s="23"/>
      <c r="BL150" s="23"/>
      <c r="BM150" s="23"/>
      <c r="BN150" s="11"/>
      <c r="BO150" s="23"/>
      <c r="BP150" s="23"/>
      <c r="BQ150" s="23"/>
      <c r="BR150" s="11"/>
      <c r="BS150" s="23"/>
      <c r="BT150" s="23"/>
      <c r="BU150" s="23"/>
      <c r="BV150" s="11"/>
      <c r="BW150" s="23"/>
      <c r="BX150" s="23"/>
      <c r="BY150" s="23"/>
      <c r="BZ150" s="11"/>
      <c r="CA150" s="3"/>
      <c r="CB150" s="3"/>
      <c r="CC150" s="3"/>
      <c r="CD150" s="3"/>
      <c r="CE150" s="3"/>
      <c r="CF150" s="3"/>
      <c r="CG150" s="3"/>
      <c r="CH150" s="3"/>
      <c r="CI150" s="3"/>
      <c r="CJ150" s="3"/>
      <c r="CK150" s="3"/>
      <c r="CL150" s="3"/>
      <c r="CM150" s="3"/>
      <c r="CN150" s="3"/>
      <c r="CO150" s="3"/>
      <c r="CP150" s="3"/>
      <c r="CQ150" s="3"/>
      <c r="CR150" s="3"/>
      <c r="CS150" s="3"/>
      <c r="CT150" s="3"/>
    </row>
    <row r="151" spans="1:98" x14ac:dyDescent="0.2">
      <c r="A151" s="109"/>
      <c r="B151" s="144"/>
      <c r="C151" s="23"/>
      <c r="D151" s="23"/>
      <c r="E151" s="23"/>
      <c r="F151" s="11"/>
      <c r="G151" s="23"/>
      <c r="H151" s="23"/>
      <c r="I151" s="23"/>
      <c r="J151" s="11"/>
      <c r="K151" s="23"/>
      <c r="L151" s="23"/>
      <c r="M151" s="23"/>
      <c r="N151" s="11"/>
      <c r="O151" s="23"/>
      <c r="P151" s="23"/>
      <c r="Q151" s="23"/>
      <c r="R151" s="11"/>
      <c r="S151" s="23"/>
      <c r="T151" s="23"/>
      <c r="U151" s="23"/>
      <c r="V151" s="11"/>
      <c r="W151" s="23"/>
      <c r="X151" s="23"/>
      <c r="Y151" s="23"/>
      <c r="Z151" s="11"/>
      <c r="AA151" s="23"/>
      <c r="AB151" s="23"/>
      <c r="AC151" s="23"/>
      <c r="AD151" s="11"/>
      <c r="AE151" s="23"/>
      <c r="AF151" s="23"/>
      <c r="AG151" s="23"/>
      <c r="AH151" s="11"/>
      <c r="AI151" s="23"/>
      <c r="AJ151" s="23"/>
      <c r="AK151" s="23"/>
      <c r="AL151" s="11"/>
      <c r="AM151" s="23"/>
      <c r="AN151" s="23"/>
      <c r="AO151" s="23"/>
      <c r="AP151" s="11"/>
      <c r="AQ151" s="23"/>
      <c r="AR151" s="23"/>
      <c r="AS151" s="23"/>
      <c r="AT151" s="11"/>
      <c r="AU151" s="23"/>
      <c r="AV151" s="23"/>
      <c r="AW151" s="23"/>
      <c r="AX151" s="11"/>
      <c r="AY151" s="23"/>
      <c r="AZ151" s="23"/>
      <c r="BA151" s="23"/>
      <c r="BB151" s="11"/>
      <c r="BC151" s="23"/>
      <c r="BD151" s="23"/>
      <c r="BE151" s="23"/>
      <c r="BF151" s="11"/>
      <c r="BG151" s="23"/>
      <c r="BH151" s="23"/>
      <c r="BI151" s="23"/>
      <c r="BJ151" s="11"/>
      <c r="BK151" s="23"/>
      <c r="BL151" s="23"/>
      <c r="BM151" s="23"/>
      <c r="BN151" s="11"/>
      <c r="BO151" s="23"/>
      <c r="BP151" s="23"/>
      <c r="BQ151" s="23"/>
      <c r="BR151" s="11"/>
      <c r="BS151" s="23"/>
      <c r="BT151" s="23"/>
      <c r="BU151" s="23"/>
      <c r="BV151" s="11"/>
      <c r="BW151" s="23"/>
      <c r="BX151" s="23"/>
      <c r="BY151" s="23"/>
      <c r="BZ151" s="11"/>
      <c r="CA151" s="3"/>
      <c r="CB151" s="3"/>
      <c r="CC151" s="3"/>
      <c r="CD151" s="3"/>
      <c r="CE151" s="3"/>
      <c r="CF151" s="3"/>
      <c r="CG151" s="3"/>
      <c r="CH151" s="3"/>
      <c r="CI151" s="3"/>
      <c r="CJ151" s="3"/>
      <c r="CK151" s="3"/>
      <c r="CL151" s="3"/>
      <c r="CM151" s="3"/>
      <c r="CN151" s="3"/>
      <c r="CO151" s="3"/>
      <c r="CP151" s="3"/>
      <c r="CQ151" s="3"/>
      <c r="CR151" s="3"/>
      <c r="CS151" s="3"/>
      <c r="CT151" s="3"/>
    </row>
    <row r="152" spans="1:98" x14ac:dyDescent="0.2">
      <c r="A152" s="109"/>
      <c r="B152" s="144"/>
      <c r="C152" s="23"/>
      <c r="D152" s="23"/>
      <c r="E152" s="23"/>
      <c r="F152" s="11"/>
      <c r="G152" s="23"/>
      <c r="H152" s="23"/>
      <c r="I152" s="23"/>
      <c r="J152" s="11"/>
      <c r="K152" s="23"/>
      <c r="L152" s="23"/>
      <c r="M152" s="23"/>
      <c r="N152" s="11"/>
      <c r="O152" s="23"/>
      <c r="P152" s="23"/>
      <c r="Q152" s="23"/>
      <c r="R152" s="11"/>
      <c r="S152" s="23"/>
      <c r="T152" s="23"/>
      <c r="U152" s="23"/>
      <c r="V152" s="11"/>
      <c r="W152" s="23"/>
      <c r="X152" s="23"/>
      <c r="Y152" s="23"/>
      <c r="Z152" s="11"/>
      <c r="AA152" s="23"/>
      <c r="AB152" s="23"/>
      <c r="AC152" s="23"/>
      <c r="AD152" s="11"/>
      <c r="AE152" s="23"/>
      <c r="AF152" s="23"/>
      <c r="AG152" s="23"/>
      <c r="AH152" s="11"/>
      <c r="AI152" s="23"/>
      <c r="AJ152" s="23"/>
      <c r="AK152" s="23"/>
      <c r="AL152" s="11"/>
      <c r="AM152" s="23"/>
      <c r="AN152" s="23"/>
      <c r="AO152" s="23"/>
      <c r="AP152" s="11"/>
      <c r="AQ152" s="23"/>
      <c r="AR152" s="23"/>
      <c r="AS152" s="23"/>
      <c r="AT152" s="11"/>
      <c r="AU152" s="23"/>
      <c r="AV152" s="23"/>
      <c r="AW152" s="23"/>
      <c r="AX152" s="11"/>
      <c r="AY152" s="23"/>
      <c r="AZ152" s="23"/>
      <c r="BA152" s="23"/>
      <c r="BB152" s="11"/>
      <c r="BC152" s="23"/>
      <c r="BD152" s="23"/>
      <c r="BE152" s="23"/>
      <c r="BF152" s="11"/>
      <c r="BG152" s="23"/>
      <c r="BH152" s="23"/>
      <c r="BI152" s="23"/>
      <c r="BJ152" s="11"/>
      <c r="BK152" s="23"/>
      <c r="BL152" s="23"/>
      <c r="BM152" s="23"/>
      <c r="BN152" s="11"/>
      <c r="BO152" s="23"/>
      <c r="BP152" s="23"/>
      <c r="BQ152" s="23"/>
      <c r="BR152" s="11"/>
      <c r="BS152" s="23"/>
      <c r="BT152" s="23"/>
      <c r="BU152" s="23"/>
      <c r="BV152" s="11"/>
      <c r="BW152" s="23"/>
      <c r="BX152" s="23"/>
      <c r="BY152" s="23"/>
      <c r="BZ152" s="11"/>
      <c r="CA152" s="3"/>
      <c r="CB152" s="3"/>
      <c r="CC152" s="3"/>
      <c r="CD152" s="3"/>
      <c r="CE152" s="3"/>
      <c r="CF152" s="3"/>
      <c r="CG152" s="3"/>
      <c r="CH152" s="3"/>
      <c r="CI152" s="3"/>
      <c r="CJ152" s="3"/>
      <c r="CK152" s="3"/>
      <c r="CL152" s="3"/>
      <c r="CM152" s="3"/>
      <c r="CN152" s="3"/>
      <c r="CO152" s="3"/>
      <c r="CP152" s="3"/>
      <c r="CQ152" s="3"/>
      <c r="CR152" s="3"/>
      <c r="CS152" s="3"/>
      <c r="CT152" s="3"/>
    </row>
    <row r="153" spans="1:98" x14ac:dyDescent="0.2">
      <c r="A153" s="109"/>
      <c r="B153" s="144"/>
      <c r="C153" s="23"/>
      <c r="D153" s="23"/>
      <c r="E153" s="23"/>
      <c r="F153" s="11"/>
      <c r="G153" s="23"/>
      <c r="H153" s="23"/>
      <c r="I153" s="23"/>
      <c r="J153" s="11"/>
      <c r="K153" s="23"/>
      <c r="L153" s="23"/>
      <c r="M153" s="23"/>
      <c r="N153" s="11"/>
      <c r="O153" s="23"/>
      <c r="P153" s="23"/>
      <c r="Q153" s="23"/>
      <c r="R153" s="11"/>
      <c r="S153" s="23"/>
      <c r="T153" s="23"/>
      <c r="U153" s="23"/>
      <c r="V153" s="11"/>
      <c r="W153" s="23"/>
      <c r="X153" s="23"/>
      <c r="Y153" s="23"/>
      <c r="Z153" s="11"/>
      <c r="AA153" s="23"/>
      <c r="AB153" s="23"/>
      <c r="AC153" s="23"/>
      <c r="AD153" s="11"/>
      <c r="AE153" s="23"/>
      <c r="AF153" s="23"/>
      <c r="AG153" s="23"/>
      <c r="AH153" s="11"/>
      <c r="AI153" s="23"/>
      <c r="AJ153" s="23"/>
      <c r="AK153" s="23"/>
      <c r="AL153" s="11"/>
      <c r="AM153" s="23"/>
      <c r="AN153" s="23"/>
      <c r="AO153" s="23"/>
      <c r="AP153" s="11"/>
      <c r="AQ153" s="23"/>
      <c r="AR153" s="23"/>
      <c r="AS153" s="23"/>
      <c r="AT153" s="11"/>
      <c r="AU153" s="23"/>
      <c r="AV153" s="23"/>
      <c r="AW153" s="23"/>
      <c r="AX153" s="11"/>
      <c r="AY153" s="23"/>
      <c r="AZ153" s="23"/>
      <c r="BA153" s="23"/>
      <c r="BB153" s="11"/>
      <c r="BC153" s="23"/>
      <c r="BD153" s="23"/>
      <c r="BE153" s="23"/>
      <c r="BF153" s="11"/>
      <c r="BG153" s="23"/>
      <c r="BH153" s="23"/>
      <c r="BI153" s="23"/>
      <c r="BJ153" s="11"/>
      <c r="BK153" s="23"/>
      <c r="BL153" s="23"/>
      <c r="BM153" s="23"/>
      <c r="BN153" s="11"/>
      <c r="BO153" s="23"/>
      <c r="BP153" s="23"/>
      <c r="BQ153" s="23"/>
      <c r="BR153" s="11"/>
      <c r="BS153" s="23"/>
      <c r="BT153" s="23"/>
      <c r="BU153" s="23"/>
      <c r="BV153" s="11"/>
      <c r="BW153" s="23"/>
      <c r="BX153" s="23"/>
      <c r="BY153" s="23"/>
      <c r="BZ153" s="11"/>
      <c r="CA153" s="3"/>
      <c r="CB153" s="3"/>
      <c r="CC153" s="3"/>
      <c r="CD153" s="3"/>
      <c r="CE153" s="3"/>
      <c r="CF153" s="3"/>
      <c r="CG153" s="3"/>
      <c r="CH153" s="3"/>
      <c r="CI153" s="3"/>
      <c r="CJ153" s="3"/>
      <c r="CK153" s="3"/>
      <c r="CL153" s="3"/>
      <c r="CM153" s="3"/>
      <c r="CN153" s="3"/>
      <c r="CO153" s="3"/>
      <c r="CP153" s="3"/>
      <c r="CQ153" s="3"/>
      <c r="CR153" s="3"/>
      <c r="CS153" s="3"/>
      <c r="CT153" s="3"/>
    </row>
    <row r="154" spans="1:98" x14ac:dyDescent="0.2">
      <c r="A154" s="109"/>
      <c r="B154" s="144"/>
      <c r="C154" s="23"/>
      <c r="D154" s="23"/>
      <c r="E154" s="23"/>
      <c r="F154" s="11"/>
      <c r="G154" s="23"/>
      <c r="H154" s="23"/>
      <c r="I154" s="23"/>
      <c r="J154" s="11"/>
      <c r="K154" s="23"/>
      <c r="L154" s="23"/>
      <c r="M154" s="23"/>
      <c r="N154" s="11"/>
      <c r="O154" s="23"/>
      <c r="P154" s="23"/>
      <c r="Q154" s="23"/>
      <c r="R154" s="11"/>
      <c r="S154" s="23"/>
      <c r="T154" s="23"/>
      <c r="U154" s="23"/>
      <c r="V154" s="11"/>
      <c r="W154" s="23"/>
      <c r="X154" s="23"/>
      <c r="Y154" s="23"/>
      <c r="Z154" s="11"/>
      <c r="AA154" s="23"/>
      <c r="AB154" s="23"/>
      <c r="AC154" s="23"/>
      <c r="AD154" s="11"/>
      <c r="AE154" s="23"/>
      <c r="AF154" s="23"/>
      <c r="AG154" s="23"/>
      <c r="AH154" s="11"/>
      <c r="AI154" s="23"/>
      <c r="AJ154" s="23"/>
      <c r="AK154" s="23"/>
      <c r="AL154" s="11"/>
      <c r="AM154" s="23"/>
      <c r="AN154" s="23"/>
      <c r="AO154" s="23"/>
      <c r="AP154" s="11"/>
      <c r="AQ154" s="23"/>
      <c r="AR154" s="23"/>
      <c r="AS154" s="23"/>
      <c r="AT154" s="11"/>
      <c r="AU154" s="23"/>
      <c r="AV154" s="23"/>
      <c r="AW154" s="23"/>
      <c r="AX154" s="11"/>
      <c r="AY154" s="23"/>
      <c r="AZ154" s="23"/>
      <c r="BA154" s="23"/>
      <c r="BB154" s="11"/>
      <c r="BC154" s="23"/>
      <c r="BD154" s="23"/>
      <c r="BE154" s="23"/>
      <c r="BF154" s="11"/>
      <c r="BG154" s="23"/>
      <c r="BH154" s="23"/>
      <c r="BI154" s="23"/>
      <c r="BJ154" s="11"/>
      <c r="BK154" s="23"/>
      <c r="BL154" s="23"/>
      <c r="BM154" s="23"/>
      <c r="BN154" s="11"/>
      <c r="BO154" s="23"/>
      <c r="BP154" s="23"/>
      <c r="BQ154" s="23"/>
      <c r="BR154" s="11"/>
      <c r="BS154" s="23"/>
      <c r="BT154" s="23"/>
      <c r="BU154" s="23"/>
      <c r="BV154" s="11"/>
      <c r="BW154" s="23"/>
      <c r="BX154" s="23"/>
      <c r="BY154" s="23"/>
      <c r="BZ154" s="11"/>
      <c r="CA154" s="3"/>
      <c r="CB154" s="3"/>
      <c r="CC154" s="3"/>
      <c r="CD154" s="3"/>
      <c r="CE154" s="3"/>
      <c r="CF154" s="3"/>
      <c r="CG154" s="3"/>
      <c r="CH154" s="3"/>
      <c r="CI154" s="3"/>
      <c r="CJ154" s="3"/>
      <c r="CK154" s="3"/>
      <c r="CL154" s="3"/>
      <c r="CM154" s="3"/>
      <c r="CN154" s="3"/>
      <c r="CO154" s="3"/>
      <c r="CP154" s="3"/>
      <c r="CQ154" s="3"/>
      <c r="CR154" s="3"/>
      <c r="CS154" s="3"/>
      <c r="CT154" s="3"/>
    </row>
    <row r="155" spans="1:98" x14ac:dyDescent="0.2">
      <c r="A155" s="109"/>
      <c r="B155" s="144"/>
      <c r="C155" s="23"/>
      <c r="D155" s="23"/>
      <c r="E155" s="23"/>
      <c r="F155" s="11"/>
      <c r="G155" s="23"/>
      <c r="H155" s="23"/>
      <c r="I155" s="23"/>
      <c r="J155" s="11"/>
      <c r="K155" s="23"/>
      <c r="L155" s="23"/>
      <c r="M155" s="23"/>
      <c r="N155" s="11"/>
      <c r="O155" s="23"/>
      <c r="P155" s="23"/>
      <c r="Q155" s="23"/>
      <c r="R155" s="11"/>
      <c r="S155" s="23"/>
      <c r="T155" s="23"/>
      <c r="U155" s="23"/>
      <c r="V155" s="11"/>
      <c r="W155" s="23"/>
      <c r="X155" s="23"/>
      <c r="Y155" s="23"/>
      <c r="Z155" s="11"/>
      <c r="AA155" s="23"/>
      <c r="AB155" s="23"/>
      <c r="AC155" s="23"/>
      <c r="AD155" s="11"/>
      <c r="AE155" s="23"/>
      <c r="AF155" s="23"/>
      <c r="AG155" s="23"/>
      <c r="AH155" s="11"/>
      <c r="AI155" s="23"/>
      <c r="AJ155" s="23"/>
      <c r="AK155" s="23"/>
      <c r="AL155" s="11"/>
      <c r="AM155" s="23"/>
      <c r="AN155" s="23"/>
      <c r="AO155" s="23"/>
      <c r="AP155" s="11"/>
      <c r="AQ155" s="23"/>
      <c r="AR155" s="23"/>
      <c r="AS155" s="23"/>
      <c r="AT155" s="11"/>
      <c r="AU155" s="23"/>
      <c r="AV155" s="23"/>
      <c r="AW155" s="23"/>
      <c r="AX155" s="11"/>
      <c r="AY155" s="23"/>
      <c r="AZ155" s="23"/>
      <c r="BA155" s="23"/>
      <c r="BB155" s="11"/>
      <c r="BC155" s="23"/>
      <c r="BD155" s="23"/>
      <c r="BE155" s="23"/>
      <c r="BF155" s="11"/>
      <c r="BG155" s="23"/>
      <c r="BH155" s="23"/>
      <c r="BI155" s="23"/>
      <c r="BJ155" s="11"/>
      <c r="BK155" s="23"/>
      <c r="BL155" s="23"/>
      <c r="BM155" s="23"/>
      <c r="BN155" s="11"/>
      <c r="BO155" s="23"/>
      <c r="BP155" s="23"/>
      <c r="BQ155" s="23"/>
      <c r="BR155" s="11"/>
      <c r="BS155" s="23"/>
      <c r="BT155" s="23"/>
      <c r="BU155" s="23"/>
      <c r="BV155" s="11"/>
      <c r="BW155" s="23"/>
      <c r="BX155" s="23"/>
      <c r="BY155" s="23"/>
      <c r="BZ155" s="11"/>
      <c r="CA155" s="3"/>
      <c r="CB155" s="3"/>
      <c r="CC155" s="3"/>
      <c r="CD155" s="3"/>
      <c r="CE155" s="3"/>
      <c r="CF155" s="3"/>
      <c r="CG155" s="3"/>
      <c r="CH155" s="3"/>
      <c r="CI155" s="3"/>
      <c r="CJ155" s="3"/>
      <c r="CK155" s="3"/>
      <c r="CL155" s="3"/>
      <c r="CM155" s="3"/>
      <c r="CN155" s="3"/>
      <c r="CO155" s="3"/>
      <c r="CP155" s="3"/>
      <c r="CQ155" s="3"/>
      <c r="CR155" s="3"/>
      <c r="CS155" s="3"/>
      <c r="CT155" s="3"/>
    </row>
    <row r="156" spans="1:98" x14ac:dyDescent="0.2">
      <c r="A156" s="109"/>
      <c r="B156" s="144"/>
      <c r="C156" s="23"/>
      <c r="D156" s="23"/>
      <c r="E156" s="23"/>
      <c r="F156" s="11"/>
      <c r="G156" s="23"/>
      <c r="H156" s="23"/>
      <c r="I156" s="23"/>
      <c r="J156" s="11"/>
      <c r="K156" s="23"/>
      <c r="L156" s="23"/>
      <c r="M156" s="23"/>
      <c r="N156" s="11"/>
      <c r="O156" s="23"/>
      <c r="P156" s="23"/>
      <c r="Q156" s="23"/>
      <c r="R156" s="11"/>
      <c r="S156" s="23"/>
      <c r="T156" s="23"/>
      <c r="U156" s="23"/>
      <c r="V156" s="11"/>
      <c r="W156" s="23"/>
      <c r="X156" s="23"/>
      <c r="Y156" s="23"/>
      <c r="Z156" s="11"/>
      <c r="AA156" s="23"/>
      <c r="AB156" s="23"/>
      <c r="AC156" s="23"/>
      <c r="AD156" s="11"/>
      <c r="AE156" s="23"/>
      <c r="AF156" s="23"/>
      <c r="AG156" s="23"/>
      <c r="AH156" s="11"/>
      <c r="AI156" s="23"/>
      <c r="AJ156" s="23"/>
      <c r="AK156" s="23"/>
      <c r="AL156" s="11"/>
      <c r="AM156" s="23"/>
      <c r="AN156" s="23"/>
      <c r="AO156" s="23"/>
      <c r="AP156" s="11"/>
      <c r="AQ156" s="23"/>
      <c r="AR156" s="23"/>
      <c r="AS156" s="23"/>
      <c r="AT156" s="11"/>
      <c r="AU156" s="23"/>
      <c r="AV156" s="23"/>
      <c r="AW156" s="23"/>
      <c r="AX156" s="11"/>
      <c r="AY156" s="23"/>
      <c r="AZ156" s="23"/>
      <c r="BA156" s="23"/>
      <c r="BB156" s="11"/>
      <c r="BC156" s="23"/>
      <c r="BD156" s="23"/>
      <c r="BE156" s="23"/>
      <c r="BF156" s="11"/>
      <c r="BG156" s="23"/>
      <c r="BH156" s="23"/>
      <c r="BI156" s="23"/>
      <c r="BJ156" s="11"/>
      <c r="BK156" s="23"/>
      <c r="BL156" s="23"/>
      <c r="BM156" s="23"/>
      <c r="BN156" s="11"/>
      <c r="BO156" s="23"/>
      <c r="BP156" s="23"/>
      <c r="BQ156" s="23"/>
      <c r="BR156" s="11"/>
      <c r="BS156" s="23"/>
      <c r="BT156" s="23"/>
      <c r="BU156" s="23"/>
      <c r="BV156" s="11"/>
      <c r="BW156" s="23"/>
      <c r="BX156" s="23"/>
      <c r="BY156" s="23"/>
      <c r="BZ156" s="11"/>
      <c r="CA156" s="3"/>
      <c r="CB156" s="3"/>
      <c r="CC156" s="3"/>
      <c r="CD156" s="3"/>
      <c r="CE156" s="3"/>
      <c r="CF156" s="3"/>
      <c r="CG156" s="3"/>
      <c r="CH156" s="3"/>
      <c r="CI156" s="3"/>
      <c r="CJ156" s="3"/>
      <c r="CK156" s="3"/>
      <c r="CL156" s="3"/>
      <c r="CM156" s="3"/>
      <c r="CN156" s="3"/>
      <c r="CO156" s="3"/>
      <c r="CP156" s="3"/>
      <c r="CQ156" s="3"/>
      <c r="CR156" s="3"/>
      <c r="CS156" s="3"/>
      <c r="CT156" s="3"/>
    </row>
    <row r="157" spans="1:98" x14ac:dyDescent="0.2">
      <c r="A157" s="109"/>
      <c r="B157" s="144"/>
      <c r="C157" s="23"/>
      <c r="D157" s="23"/>
      <c r="E157" s="23"/>
      <c r="F157" s="11"/>
      <c r="G157" s="23"/>
      <c r="H157" s="23"/>
      <c r="I157" s="23"/>
      <c r="J157" s="11"/>
      <c r="K157" s="23"/>
      <c r="L157" s="23"/>
      <c r="M157" s="23"/>
      <c r="N157" s="11"/>
      <c r="O157" s="23"/>
      <c r="P157" s="23"/>
      <c r="Q157" s="23"/>
      <c r="R157" s="11"/>
      <c r="S157" s="23"/>
      <c r="T157" s="23"/>
      <c r="U157" s="23"/>
      <c r="V157" s="11"/>
      <c r="W157" s="23"/>
      <c r="X157" s="23"/>
      <c r="Y157" s="23"/>
      <c r="Z157" s="11"/>
      <c r="AA157" s="23"/>
      <c r="AB157" s="23"/>
      <c r="AC157" s="23"/>
      <c r="AD157" s="11"/>
      <c r="AE157" s="23"/>
      <c r="AF157" s="23"/>
      <c r="AG157" s="23"/>
      <c r="AH157" s="11"/>
      <c r="AI157" s="23"/>
      <c r="AJ157" s="23"/>
      <c r="AK157" s="23"/>
      <c r="AL157" s="11"/>
      <c r="AM157" s="23"/>
      <c r="AN157" s="23"/>
      <c r="AO157" s="23"/>
      <c r="AP157" s="11"/>
      <c r="AQ157" s="23"/>
      <c r="AR157" s="23"/>
      <c r="AS157" s="23"/>
      <c r="AT157" s="11"/>
      <c r="AU157" s="23"/>
      <c r="AV157" s="23"/>
      <c r="AW157" s="23"/>
      <c r="AX157" s="11"/>
      <c r="AY157" s="23"/>
      <c r="AZ157" s="23"/>
      <c r="BA157" s="23"/>
      <c r="BB157" s="11"/>
      <c r="BC157" s="23"/>
      <c r="BD157" s="23"/>
      <c r="BE157" s="23"/>
      <c r="BF157" s="11"/>
      <c r="BG157" s="23"/>
      <c r="BH157" s="23"/>
      <c r="BI157" s="23"/>
      <c r="BJ157" s="11"/>
      <c r="BK157" s="23"/>
      <c r="BL157" s="23"/>
      <c r="BM157" s="23"/>
      <c r="BN157" s="11"/>
      <c r="BO157" s="23"/>
      <c r="BP157" s="23"/>
      <c r="BQ157" s="23"/>
      <c r="BR157" s="11"/>
      <c r="BS157" s="23"/>
      <c r="BT157" s="23"/>
      <c r="BU157" s="23"/>
      <c r="BV157" s="11"/>
      <c r="BW157" s="23"/>
      <c r="BX157" s="23"/>
      <c r="BY157" s="23"/>
      <c r="BZ157" s="11"/>
      <c r="CA157" s="3"/>
      <c r="CB157" s="3"/>
      <c r="CC157" s="3"/>
      <c r="CD157" s="3"/>
      <c r="CE157" s="3"/>
      <c r="CF157" s="3"/>
      <c r="CG157" s="3"/>
      <c r="CH157" s="3"/>
      <c r="CI157" s="3"/>
      <c r="CJ157" s="3"/>
      <c r="CK157" s="3"/>
      <c r="CL157" s="3"/>
      <c r="CM157" s="3"/>
      <c r="CN157" s="3"/>
      <c r="CO157" s="3"/>
      <c r="CP157" s="3"/>
      <c r="CQ157" s="3"/>
      <c r="CR157" s="3"/>
      <c r="CS157" s="3"/>
      <c r="CT157" s="3"/>
    </row>
    <row r="158" spans="1:98" x14ac:dyDescent="0.2">
      <c r="A158" s="109"/>
      <c r="B158" s="144"/>
      <c r="C158" s="23"/>
      <c r="D158" s="23"/>
      <c r="E158" s="23"/>
      <c r="F158" s="11"/>
      <c r="G158" s="23"/>
      <c r="H158" s="23"/>
      <c r="I158" s="23"/>
      <c r="J158" s="11"/>
      <c r="K158" s="23"/>
      <c r="L158" s="23"/>
      <c r="M158" s="23"/>
      <c r="N158" s="11"/>
      <c r="O158" s="23"/>
      <c r="P158" s="23"/>
      <c r="Q158" s="23"/>
      <c r="R158" s="11"/>
      <c r="S158" s="23"/>
      <c r="T158" s="23"/>
      <c r="U158" s="23"/>
      <c r="V158" s="11"/>
      <c r="W158" s="23"/>
      <c r="X158" s="23"/>
      <c r="Y158" s="23"/>
      <c r="Z158" s="11"/>
      <c r="AA158" s="23"/>
      <c r="AB158" s="23"/>
      <c r="AC158" s="23"/>
      <c r="AD158" s="11"/>
      <c r="AE158" s="23"/>
      <c r="AF158" s="23"/>
      <c r="AG158" s="23"/>
      <c r="AH158" s="11"/>
      <c r="AI158" s="23"/>
      <c r="AJ158" s="23"/>
      <c r="AK158" s="23"/>
      <c r="AL158" s="11"/>
      <c r="AM158" s="23"/>
      <c r="AN158" s="23"/>
      <c r="AO158" s="23"/>
      <c r="AP158" s="11"/>
      <c r="AQ158" s="23"/>
      <c r="AR158" s="23"/>
      <c r="AS158" s="23"/>
      <c r="AT158" s="11"/>
      <c r="AU158" s="23"/>
      <c r="AV158" s="23"/>
      <c r="AW158" s="23"/>
      <c r="AX158" s="11"/>
      <c r="AY158" s="23"/>
      <c r="AZ158" s="23"/>
      <c r="BA158" s="23"/>
      <c r="BB158" s="11"/>
      <c r="BC158" s="23"/>
      <c r="BD158" s="23"/>
      <c r="BE158" s="23"/>
      <c r="BF158" s="11"/>
      <c r="BG158" s="23"/>
      <c r="BH158" s="23"/>
      <c r="BI158" s="23"/>
      <c r="BJ158" s="11"/>
      <c r="BK158" s="23"/>
      <c r="BL158" s="23"/>
      <c r="BM158" s="23"/>
      <c r="BN158" s="11"/>
      <c r="BO158" s="23"/>
      <c r="BP158" s="23"/>
      <c r="BQ158" s="23"/>
      <c r="BR158" s="11"/>
      <c r="BS158" s="23"/>
      <c r="BT158" s="23"/>
      <c r="BU158" s="23"/>
      <c r="BV158" s="11"/>
      <c r="BW158" s="23"/>
      <c r="BX158" s="23"/>
      <c r="BY158" s="23"/>
      <c r="BZ158" s="11"/>
      <c r="CA158" s="3"/>
      <c r="CB158" s="3"/>
      <c r="CC158" s="3"/>
      <c r="CD158" s="3"/>
      <c r="CE158" s="3"/>
      <c r="CF158" s="3"/>
      <c r="CG158" s="3"/>
      <c r="CH158" s="3"/>
      <c r="CI158" s="3"/>
      <c r="CJ158" s="3"/>
      <c r="CK158" s="3"/>
      <c r="CL158" s="3"/>
      <c r="CM158" s="3"/>
      <c r="CN158" s="3"/>
      <c r="CO158" s="3"/>
      <c r="CP158" s="3"/>
      <c r="CQ158" s="3"/>
      <c r="CR158" s="3"/>
      <c r="CS158" s="3"/>
      <c r="CT158" s="3"/>
    </row>
    <row r="159" spans="1:98" x14ac:dyDescent="0.2">
      <c r="A159" s="109"/>
      <c r="B159" s="144"/>
      <c r="C159" s="23"/>
      <c r="D159" s="23"/>
      <c r="E159" s="23"/>
      <c r="F159" s="11"/>
      <c r="G159" s="23"/>
      <c r="H159" s="23"/>
      <c r="I159" s="23"/>
      <c r="J159" s="11"/>
      <c r="K159" s="23"/>
      <c r="L159" s="23"/>
      <c r="M159" s="23"/>
      <c r="N159" s="11"/>
      <c r="O159" s="23"/>
      <c r="P159" s="23"/>
      <c r="Q159" s="23"/>
      <c r="R159" s="11"/>
      <c r="S159" s="23"/>
      <c r="T159" s="23"/>
      <c r="U159" s="23"/>
      <c r="V159" s="11"/>
      <c r="W159" s="23"/>
      <c r="X159" s="23"/>
      <c r="Y159" s="23"/>
      <c r="Z159" s="11"/>
      <c r="AA159" s="23"/>
      <c r="AB159" s="23"/>
      <c r="AC159" s="23"/>
      <c r="AD159" s="11"/>
      <c r="AE159" s="23"/>
      <c r="AF159" s="23"/>
      <c r="AG159" s="23"/>
      <c r="AH159" s="11"/>
      <c r="AI159" s="23"/>
      <c r="AJ159" s="23"/>
      <c r="AK159" s="23"/>
      <c r="AL159" s="11"/>
      <c r="AM159" s="23"/>
      <c r="AN159" s="23"/>
      <c r="AO159" s="23"/>
      <c r="AP159" s="11"/>
      <c r="AQ159" s="23"/>
      <c r="AR159" s="23"/>
      <c r="AS159" s="23"/>
      <c r="AT159" s="11"/>
      <c r="AU159" s="23"/>
      <c r="AV159" s="23"/>
      <c r="AW159" s="23"/>
      <c r="AX159" s="11"/>
      <c r="AY159" s="23"/>
      <c r="AZ159" s="23"/>
      <c r="BA159" s="23"/>
      <c r="BB159" s="11"/>
      <c r="BC159" s="23"/>
      <c r="BD159" s="23"/>
      <c r="BE159" s="23"/>
      <c r="BF159" s="11"/>
      <c r="BG159" s="23"/>
      <c r="BH159" s="23"/>
      <c r="BI159" s="23"/>
      <c r="BJ159" s="11"/>
      <c r="BK159" s="23"/>
      <c r="BL159" s="23"/>
      <c r="BM159" s="23"/>
      <c r="BN159" s="11"/>
      <c r="BO159" s="23"/>
      <c r="BP159" s="23"/>
      <c r="BQ159" s="23"/>
      <c r="BR159" s="11"/>
      <c r="BS159" s="23"/>
      <c r="BT159" s="23"/>
      <c r="BU159" s="23"/>
      <c r="BV159" s="11"/>
      <c r="BW159" s="23"/>
      <c r="BX159" s="23"/>
      <c r="BY159" s="23"/>
      <c r="BZ159" s="11"/>
      <c r="CA159" s="3"/>
      <c r="CB159" s="3"/>
      <c r="CC159" s="3"/>
      <c r="CD159" s="3"/>
      <c r="CE159" s="3"/>
      <c r="CF159" s="3"/>
      <c r="CG159" s="3"/>
      <c r="CH159" s="3"/>
      <c r="CI159" s="3"/>
      <c r="CJ159" s="3"/>
      <c r="CK159" s="3"/>
      <c r="CL159" s="3"/>
      <c r="CM159" s="3"/>
      <c r="CN159" s="3"/>
      <c r="CO159" s="3"/>
      <c r="CP159" s="3"/>
      <c r="CQ159" s="3"/>
      <c r="CR159" s="3"/>
      <c r="CS159" s="3"/>
      <c r="CT159" s="3"/>
    </row>
    <row r="160" spans="1:98" x14ac:dyDescent="0.2">
      <c r="A160" s="109"/>
      <c r="B160" s="144"/>
      <c r="C160" s="23"/>
      <c r="D160" s="23"/>
      <c r="E160" s="23"/>
      <c r="F160" s="11"/>
      <c r="G160" s="23"/>
      <c r="H160" s="23"/>
      <c r="I160" s="23"/>
      <c r="J160" s="11"/>
      <c r="K160" s="23"/>
      <c r="L160" s="23"/>
      <c r="M160" s="23"/>
      <c r="N160" s="11"/>
      <c r="O160" s="23"/>
      <c r="P160" s="23"/>
      <c r="Q160" s="23"/>
      <c r="R160" s="11"/>
      <c r="S160" s="23"/>
      <c r="T160" s="23"/>
      <c r="U160" s="23"/>
      <c r="V160" s="11"/>
      <c r="W160" s="23"/>
      <c r="X160" s="23"/>
      <c r="Y160" s="23"/>
      <c r="Z160" s="11"/>
      <c r="AA160" s="23"/>
      <c r="AB160" s="23"/>
      <c r="AC160" s="23"/>
      <c r="AD160" s="11"/>
      <c r="AE160" s="23"/>
      <c r="AF160" s="23"/>
      <c r="AG160" s="23"/>
      <c r="AH160" s="11"/>
      <c r="AI160" s="23"/>
      <c r="AJ160" s="23"/>
      <c r="AK160" s="23"/>
      <c r="AL160" s="11"/>
      <c r="AM160" s="23"/>
      <c r="AN160" s="23"/>
      <c r="AO160" s="23"/>
      <c r="AP160" s="11"/>
      <c r="AQ160" s="23"/>
      <c r="AR160" s="23"/>
      <c r="AS160" s="23"/>
      <c r="AT160" s="11"/>
      <c r="AU160" s="23"/>
      <c r="AV160" s="23"/>
      <c r="AW160" s="23"/>
      <c r="AX160" s="11"/>
      <c r="AY160" s="23"/>
      <c r="AZ160" s="23"/>
      <c r="BA160" s="23"/>
      <c r="BB160" s="11"/>
      <c r="BC160" s="23"/>
      <c r="BD160" s="23"/>
      <c r="BE160" s="23"/>
      <c r="BF160" s="11"/>
      <c r="BG160" s="23"/>
      <c r="BH160" s="23"/>
      <c r="BI160" s="23"/>
      <c r="BJ160" s="11"/>
      <c r="BK160" s="23"/>
      <c r="BL160" s="23"/>
      <c r="BM160" s="23"/>
      <c r="BN160" s="11"/>
      <c r="BO160" s="23"/>
      <c r="BP160" s="23"/>
      <c r="BQ160" s="23"/>
      <c r="BR160" s="11"/>
      <c r="BS160" s="23"/>
      <c r="BT160" s="23"/>
      <c r="BU160" s="23"/>
      <c r="BV160" s="11"/>
      <c r="BW160" s="23"/>
      <c r="BX160" s="23"/>
      <c r="BY160" s="23"/>
      <c r="BZ160" s="11"/>
      <c r="CA160" s="3"/>
      <c r="CB160" s="3"/>
      <c r="CC160" s="3"/>
      <c r="CD160" s="3"/>
      <c r="CE160" s="3"/>
      <c r="CF160" s="3"/>
      <c r="CG160" s="3"/>
      <c r="CH160" s="3"/>
      <c r="CI160" s="3"/>
      <c r="CJ160" s="3"/>
      <c r="CK160" s="3"/>
      <c r="CL160" s="3"/>
      <c r="CM160" s="3"/>
      <c r="CN160" s="3"/>
      <c r="CO160" s="3"/>
      <c r="CP160" s="3"/>
      <c r="CQ160" s="3"/>
      <c r="CR160" s="3"/>
      <c r="CS160" s="3"/>
      <c r="CT160" s="3"/>
    </row>
    <row r="161" spans="1:98" x14ac:dyDescent="0.2">
      <c r="A161" s="109"/>
      <c r="B161" s="144"/>
      <c r="C161" s="23"/>
      <c r="D161" s="23"/>
      <c r="E161" s="23"/>
      <c r="F161" s="11"/>
      <c r="G161" s="23"/>
      <c r="H161" s="23"/>
      <c r="I161" s="23"/>
      <c r="J161" s="11"/>
      <c r="K161" s="23"/>
      <c r="L161" s="23"/>
      <c r="M161" s="23"/>
      <c r="N161" s="11"/>
      <c r="O161" s="23"/>
      <c r="P161" s="23"/>
      <c r="Q161" s="23"/>
      <c r="R161" s="11"/>
      <c r="S161" s="23"/>
      <c r="T161" s="23"/>
      <c r="U161" s="23"/>
      <c r="V161" s="11"/>
      <c r="W161" s="23"/>
      <c r="X161" s="23"/>
      <c r="Y161" s="23"/>
      <c r="Z161" s="11"/>
      <c r="AA161" s="23"/>
      <c r="AB161" s="23"/>
      <c r="AC161" s="23"/>
      <c r="AD161" s="11"/>
      <c r="AE161" s="23"/>
      <c r="AF161" s="23"/>
      <c r="AG161" s="23"/>
      <c r="AH161" s="11"/>
      <c r="AI161" s="23"/>
      <c r="AJ161" s="23"/>
      <c r="AK161" s="23"/>
      <c r="AL161" s="11"/>
      <c r="AM161" s="23"/>
      <c r="AN161" s="23"/>
      <c r="AO161" s="23"/>
      <c r="AP161" s="11"/>
      <c r="AQ161" s="23"/>
      <c r="AR161" s="23"/>
      <c r="AS161" s="23"/>
      <c r="AT161" s="11"/>
      <c r="AU161" s="23"/>
      <c r="AV161" s="23"/>
      <c r="AW161" s="23"/>
      <c r="AX161" s="11"/>
      <c r="AY161" s="23"/>
      <c r="AZ161" s="23"/>
      <c r="BA161" s="23"/>
      <c r="BB161" s="11"/>
      <c r="BC161" s="23"/>
      <c r="BD161" s="23"/>
      <c r="BE161" s="23"/>
      <c r="BF161" s="11"/>
      <c r="BG161" s="23"/>
      <c r="BH161" s="23"/>
      <c r="BI161" s="23"/>
      <c r="BJ161" s="11"/>
      <c r="BK161" s="23"/>
      <c r="BL161" s="23"/>
      <c r="BM161" s="23"/>
      <c r="BN161" s="11"/>
      <c r="BO161" s="23"/>
      <c r="BP161" s="23"/>
      <c r="BQ161" s="23"/>
      <c r="BR161" s="11"/>
      <c r="BS161" s="23"/>
      <c r="BT161" s="23"/>
      <c r="BU161" s="23"/>
      <c r="BV161" s="11"/>
      <c r="BW161" s="23"/>
      <c r="BX161" s="23"/>
      <c r="BY161" s="23"/>
      <c r="BZ161" s="11"/>
      <c r="CA161" s="3"/>
      <c r="CB161" s="3"/>
      <c r="CC161" s="3"/>
      <c r="CD161" s="3"/>
      <c r="CE161" s="3"/>
      <c r="CF161" s="3"/>
      <c r="CG161" s="3"/>
      <c r="CH161" s="3"/>
      <c r="CI161" s="3"/>
      <c r="CJ161" s="3"/>
      <c r="CK161" s="3"/>
      <c r="CL161" s="3"/>
      <c r="CM161" s="3"/>
      <c r="CN161" s="3"/>
      <c r="CO161" s="3"/>
      <c r="CP161" s="3"/>
      <c r="CQ161" s="3"/>
      <c r="CR161" s="3"/>
      <c r="CS161" s="3"/>
      <c r="CT161" s="3"/>
    </row>
    <row r="162" spans="1:98" x14ac:dyDescent="0.2">
      <c r="A162" s="109"/>
      <c r="B162" s="144"/>
      <c r="C162" s="23"/>
      <c r="D162" s="23"/>
      <c r="E162" s="23"/>
      <c r="F162" s="11"/>
      <c r="G162" s="23"/>
      <c r="H162" s="23"/>
      <c r="I162" s="23"/>
      <c r="J162" s="11"/>
      <c r="K162" s="23"/>
      <c r="L162" s="23"/>
      <c r="M162" s="23"/>
      <c r="N162" s="11"/>
      <c r="O162" s="23"/>
      <c r="P162" s="23"/>
      <c r="Q162" s="23"/>
      <c r="R162" s="11"/>
      <c r="S162" s="23"/>
      <c r="T162" s="23"/>
      <c r="U162" s="23"/>
      <c r="V162" s="11"/>
      <c r="W162" s="23"/>
      <c r="X162" s="23"/>
      <c r="Y162" s="23"/>
      <c r="Z162" s="11"/>
      <c r="AA162" s="23"/>
      <c r="AB162" s="23"/>
      <c r="AC162" s="23"/>
      <c r="AD162" s="11"/>
      <c r="AE162" s="23"/>
      <c r="AF162" s="23"/>
      <c r="AG162" s="23"/>
      <c r="AH162" s="11"/>
      <c r="AI162" s="23"/>
      <c r="AJ162" s="23"/>
      <c r="AK162" s="23"/>
      <c r="AL162" s="11"/>
      <c r="AM162" s="23"/>
      <c r="AN162" s="23"/>
      <c r="AO162" s="23"/>
      <c r="AP162" s="11"/>
      <c r="AQ162" s="23"/>
      <c r="AR162" s="23"/>
      <c r="AS162" s="23"/>
      <c r="AT162" s="11"/>
      <c r="AU162" s="23"/>
      <c r="AV162" s="23"/>
      <c r="AW162" s="23"/>
      <c r="AX162" s="11"/>
      <c r="AY162" s="23"/>
      <c r="AZ162" s="23"/>
      <c r="BA162" s="23"/>
      <c r="BB162" s="11"/>
      <c r="BC162" s="23"/>
      <c r="BD162" s="23"/>
      <c r="BE162" s="23"/>
      <c r="BF162" s="11"/>
      <c r="BG162" s="23"/>
      <c r="BH162" s="23"/>
      <c r="BI162" s="23"/>
      <c r="BJ162" s="11"/>
      <c r="BK162" s="23"/>
      <c r="BL162" s="23"/>
      <c r="BM162" s="23"/>
      <c r="BN162" s="11"/>
      <c r="BO162" s="23"/>
      <c r="BP162" s="23"/>
      <c r="BQ162" s="23"/>
      <c r="BR162" s="11"/>
      <c r="BS162" s="23"/>
      <c r="BT162" s="23"/>
      <c r="BU162" s="23"/>
      <c r="BV162" s="11"/>
      <c r="BW162" s="23"/>
      <c r="BX162" s="23"/>
      <c r="BY162" s="23"/>
      <c r="BZ162" s="11"/>
      <c r="CA162" s="3"/>
      <c r="CB162" s="3"/>
      <c r="CC162" s="3"/>
      <c r="CD162" s="3"/>
      <c r="CE162" s="3"/>
      <c r="CF162" s="3"/>
      <c r="CG162" s="3"/>
      <c r="CH162" s="3"/>
      <c r="CI162" s="3"/>
      <c r="CJ162" s="3"/>
      <c r="CK162" s="3"/>
      <c r="CL162" s="3"/>
      <c r="CM162" s="3"/>
      <c r="CN162" s="3"/>
      <c r="CO162" s="3"/>
      <c r="CP162" s="3"/>
      <c r="CQ162" s="3"/>
      <c r="CR162" s="3"/>
      <c r="CS162" s="3"/>
      <c r="CT162" s="3"/>
    </row>
    <row r="163" spans="1:98" x14ac:dyDescent="0.2">
      <c r="A163" s="109"/>
      <c r="B163" s="144"/>
      <c r="C163" s="23"/>
      <c r="D163" s="23"/>
      <c r="E163" s="23"/>
      <c r="F163" s="11"/>
      <c r="G163" s="23"/>
      <c r="H163" s="23"/>
      <c r="I163" s="23"/>
      <c r="J163" s="11"/>
      <c r="K163" s="23"/>
      <c r="L163" s="23"/>
      <c r="M163" s="23"/>
      <c r="N163" s="11"/>
      <c r="O163" s="23"/>
      <c r="P163" s="23"/>
      <c r="Q163" s="23"/>
      <c r="R163" s="11"/>
      <c r="S163" s="23"/>
      <c r="T163" s="23"/>
      <c r="U163" s="23"/>
      <c r="V163" s="11"/>
      <c r="W163" s="23"/>
      <c r="X163" s="23"/>
      <c r="Y163" s="23"/>
      <c r="Z163" s="11"/>
      <c r="AA163" s="23"/>
      <c r="AB163" s="23"/>
      <c r="AC163" s="23"/>
      <c r="AD163" s="11"/>
      <c r="AE163" s="23"/>
      <c r="AF163" s="23"/>
      <c r="AG163" s="23"/>
      <c r="AH163" s="11"/>
      <c r="AI163" s="23"/>
      <c r="AJ163" s="23"/>
      <c r="AK163" s="23"/>
      <c r="AL163" s="11"/>
      <c r="AM163" s="23"/>
      <c r="AN163" s="23"/>
      <c r="AO163" s="23"/>
      <c r="AP163" s="11"/>
      <c r="AQ163" s="23"/>
      <c r="AR163" s="23"/>
      <c r="AS163" s="23"/>
      <c r="AT163" s="11"/>
      <c r="AU163" s="23"/>
      <c r="AV163" s="23"/>
      <c r="AW163" s="23"/>
      <c r="AX163" s="11"/>
      <c r="AY163" s="23"/>
      <c r="AZ163" s="23"/>
      <c r="BA163" s="23"/>
      <c r="BB163" s="11"/>
      <c r="BC163" s="23"/>
      <c r="BD163" s="23"/>
      <c r="BE163" s="23"/>
      <c r="BF163" s="11"/>
      <c r="BG163" s="23"/>
      <c r="BH163" s="23"/>
      <c r="BI163" s="23"/>
      <c r="BJ163" s="11"/>
      <c r="BK163" s="23"/>
      <c r="BL163" s="23"/>
      <c r="BM163" s="23"/>
      <c r="BN163" s="11"/>
      <c r="BO163" s="23"/>
      <c r="BP163" s="23"/>
      <c r="BQ163" s="23"/>
      <c r="BR163" s="11"/>
      <c r="BS163" s="23"/>
      <c r="BT163" s="23"/>
      <c r="BU163" s="23"/>
      <c r="BV163" s="11"/>
      <c r="BW163" s="23"/>
      <c r="BX163" s="23"/>
      <c r="BY163" s="23"/>
      <c r="BZ163" s="11"/>
      <c r="CA163" s="3"/>
      <c r="CB163" s="3"/>
      <c r="CC163" s="3"/>
      <c r="CD163" s="3"/>
      <c r="CE163" s="3"/>
      <c r="CF163" s="3"/>
      <c r="CG163" s="3"/>
      <c r="CH163" s="3"/>
      <c r="CI163" s="3"/>
      <c r="CJ163" s="3"/>
      <c r="CK163" s="3"/>
      <c r="CL163" s="3"/>
      <c r="CM163" s="3"/>
      <c r="CN163" s="3"/>
      <c r="CO163" s="3"/>
      <c r="CP163" s="3"/>
      <c r="CQ163" s="3"/>
      <c r="CR163" s="3"/>
      <c r="CS163" s="3"/>
      <c r="CT163" s="3"/>
    </row>
    <row r="164" spans="1:98" x14ac:dyDescent="0.2">
      <c r="A164" s="109"/>
      <c r="B164" s="144"/>
      <c r="C164" s="23"/>
      <c r="D164" s="23"/>
      <c r="E164" s="23"/>
      <c r="F164" s="11"/>
      <c r="G164" s="23"/>
      <c r="H164" s="23"/>
      <c r="I164" s="23"/>
      <c r="J164" s="11"/>
      <c r="K164" s="23"/>
      <c r="L164" s="23"/>
      <c r="M164" s="23"/>
      <c r="N164" s="11"/>
      <c r="O164" s="23"/>
      <c r="P164" s="23"/>
      <c r="Q164" s="23"/>
      <c r="R164" s="11"/>
      <c r="S164" s="23"/>
      <c r="T164" s="23"/>
      <c r="U164" s="23"/>
      <c r="V164" s="11"/>
      <c r="W164" s="23"/>
      <c r="X164" s="23"/>
      <c r="Y164" s="23"/>
      <c r="Z164" s="11"/>
      <c r="AA164" s="23"/>
      <c r="AB164" s="23"/>
      <c r="AC164" s="23"/>
      <c r="AD164" s="11"/>
      <c r="AE164" s="23"/>
      <c r="AF164" s="23"/>
      <c r="AG164" s="23"/>
      <c r="AH164" s="11"/>
      <c r="AI164" s="23"/>
      <c r="AJ164" s="23"/>
      <c r="AK164" s="23"/>
      <c r="AL164" s="11"/>
      <c r="AM164" s="23"/>
      <c r="AN164" s="23"/>
      <c r="AO164" s="23"/>
      <c r="AP164" s="11"/>
      <c r="AQ164" s="23"/>
      <c r="AR164" s="23"/>
      <c r="AS164" s="23"/>
      <c r="AT164" s="11"/>
      <c r="AU164" s="23"/>
      <c r="AV164" s="23"/>
      <c r="AW164" s="23"/>
      <c r="AX164" s="11"/>
      <c r="AY164" s="23"/>
      <c r="AZ164" s="23"/>
      <c r="BA164" s="23"/>
      <c r="BB164" s="11"/>
      <c r="BC164" s="23"/>
      <c r="BD164" s="23"/>
      <c r="BE164" s="23"/>
      <c r="BF164" s="11"/>
      <c r="BG164" s="23"/>
      <c r="BH164" s="23"/>
      <c r="BI164" s="23"/>
      <c r="BJ164" s="11"/>
      <c r="BK164" s="23"/>
      <c r="BL164" s="23"/>
      <c r="BM164" s="23"/>
      <c r="BN164" s="11"/>
      <c r="BO164" s="23"/>
      <c r="BP164" s="23"/>
      <c r="BQ164" s="23"/>
      <c r="BR164" s="11"/>
      <c r="BS164" s="23"/>
      <c r="BT164" s="23"/>
      <c r="BU164" s="23"/>
      <c r="BV164" s="11"/>
      <c r="BW164" s="23"/>
      <c r="BX164" s="23"/>
      <c r="BY164" s="23"/>
      <c r="BZ164" s="11"/>
      <c r="CA164" s="3"/>
      <c r="CB164" s="3"/>
      <c r="CC164" s="3"/>
      <c r="CD164" s="3"/>
      <c r="CE164" s="3"/>
      <c r="CF164" s="3"/>
      <c r="CG164" s="3"/>
      <c r="CH164" s="3"/>
      <c r="CI164" s="3"/>
      <c r="CJ164" s="3"/>
      <c r="CK164" s="3"/>
      <c r="CL164" s="3"/>
      <c r="CM164" s="3"/>
      <c r="CN164" s="3"/>
      <c r="CO164" s="3"/>
      <c r="CP164" s="3"/>
      <c r="CQ164" s="3"/>
      <c r="CR164" s="3"/>
      <c r="CS164" s="3"/>
      <c r="CT164" s="3"/>
    </row>
    <row r="165" spans="1:98" x14ac:dyDescent="0.2">
      <c r="A165" s="109"/>
      <c r="B165" s="144"/>
      <c r="C165" s="23"/>
      <c r="D165" s="23"/>
      <c r="E165" s="23"/>
      <c r="F165" s="11"/>
      <c r="G165" s="23"/>
      <c r="H165" s="23"/>
      <c r="I165" s="23"/>
      <c r="J165" s="11"/>
      <c r="K165" s="23"/>
      <c r="L165" s="23"/>
      <c r="M165" s="23"/>
      <c r="N165" s="11"/>
      <c r="O165" s="23"/>
      <c r="P165" s="23"/>
      <c r="Q165" s="23"/>
      <c r="R165" s="11"/>
      <c r="S165" s="23"/>
      <c r="T165" s="23"/>
      <c r="U165" s="23"/>
      <c r="V165" s="11"/>
      <c r="W165" s="23"/>
      <c r="X165" s="23"/>
      <c r="Y165" s="23"/>
      <c r="Z165" s="11"/>
      <c r="AA165" s="23"/>
      <c r="AB165" s="23"/>
      <c r="AC165" s="23"/>
      <c r="AD165" s="11"/>
      <c r="AE165" s="23"/>
      <c r="AF165" s="23"/>
      <c r="AG165" s="23"/>
      <c r="AH165" s="11"/>
      <c r="AI165" s="23"/>
      <c r="AJ165" s="23"/>
      <c r="AK165" s="23"/>
      <c r="AL165" s="11"/>
      <c r="AM165" s="23"/>
      <c r="AN165" s="23"/>
      <c r="AO165" s="23"/>
      <c r="AP165" s="11"/>
      <c r="AQ165" s="23"/>
      <c r="AR165" s="23"/>
      <c r="AS165" s="23"/>
      <c r="AT165" s="11"/>
      <c r="AU165" s="23"/>
      <c r="AV165" s="23"/>
      <c r="AW165" s="23"/>
      <c r="AX165" s="11"/>
      <c r="AY165" s="23"/>
      <c r="AZ165" s="23"/>
      <c r="BA165" s="23"/>
      <c r="BB165" s="11"/>
      <c r="BC165" s="23"/>
      <c r="BD165" s="23"/>
      <c r="BE165" s="23"/>
      <c r="BF165" s="11"/>
      <c r="BG165" s="23"/>
      <c r="BH165" s="23"/>
      <c r="BI165" s="23"/>
      <c r="BJ165" s="11"/>
      <c r="BK165" s="23"/>
      <c r="BL165" s="23"/>
      <c r="BM165" s="23"/>
      <c r="BN165" s="11"/>
      <c r="BO165" s="23"/>
      <c r="BP165" s="23"/>
      <c r="BQ165" s="23"/>
      <c r="BR165" s="11"/>
      <c r="BS165" s="23"/>
      <c r="BT165" s="23"/>
      <c r="BU165" s="23"/>
      <c r="BV165" s="11"/>
      <c r="BW165" s="23"/>
      <c r="BX165" s="23"/>
      <c r="BY165" s="23"/>
      <c r="BZ165" s="11"/>
      <c r="CA165" s="3"/>
      <c r="CB165" s="3"/>
      <c r="CC165" s="3"/>
      <c r="CD165" s="3"/>
      <c r="CE165" s="3"/>
      <c r="CF165" s="3"/>
      <c r="CG165" s="3"/>
      <c r="CH165" s="3"/>
      <c r="CI165" s="3"/>
      <c r="CJ165" s="3"/>
      <c r="CK165" s="3"/>
      <c r="CL165" s="3"/>
      <c r="CM165" s="3"/>
      <c r="CN165" s="3"/>
      <c r="CO165" s="3"/>
      <c r="CP165" s="3"/>
      <c r="CQ165" s="3"/>
      <c r="CR165" s="3"/>
      <c r="CS165" s="3"/>
      <c r="CT165" s="3"/>
    </row>
    <row r="166" spans="1:98" x14ac:dyDescent="0.2">
      <c r="A166" s="109"/>
      <c r="B166" s="144"/>
      <c r="C166" s="23"/>
      <c r="D166" s="23"/>
      <c r="E166" s="23"/>
      <c r="F166" s="11"/>
      <c r="G166" s="23"/>
      <c r="H166" s="23"/>
      <c r="I166" s="23"/>
      <c r="J166" s="11"/>
      <c r="K166" s="23"/>
      <c r="L166" s="23"/>
      <c r="M166" s="23"/>
      <c r="N166" s="11"/>
      <c r="O166" s="23"/>
      <c r="P166" s="23"/>
      <c r="Q166" s="23"/>
      <c r="R166" s="11"/>
      <c r="S166" s="23"/>
      <c r="T166" s="23"/>
      <c r="U166" s="23"/>
      <c r="V166" s="11"/>
      <c r="W166" s="23"/>
      <c r="X166" s="23"/>
      <c r="Y166" s="23"/>
      <c r="Z166" s="11"/>
      <c r="AA166" s="23"/>
      <c r="AB166" s="23"/>
      <c r="AC166" s="23"/>
      <c r="AD166" s="11"/>
      <c r="AE166" s="23"/>
      <c r="AF166" s="23"/>
      <c r="AG166" s="23"/>
      <c r="AH166" s="11"/>
      <c r="AI166" s="23"/>
      <c r="AJ166" s="23"/>
      <c r="AK166" s="23"/>
      <c r="AL166" s="11"/>
      <c r="AM166" s="23"/>
      <c r="AN166" s="23"/>
      <c r="AO166" s="23"/>
      <c r="AP166" s="11"/>
      <c r="AQ166" s="23"/>
      <c r="AR166" s="23"/>
      <c r="AS166" s="23"/>
      <c r="AT166" s="11"/>
      <c r="AU166" s="23"/>
      <c r="AV166" s="23"/>
      <c r="AW166" s="23"/>
      <c r="AX166" s="11"/>
      <c r="AY166" s="23"/>
      <c r="AZ166" s="23"/>
      <c r="BA166" s="23"/>
      <c r="BB166" s="11"/>
      <c r="BC166" s="23"/>
      <c r="BD166" s="23"/>
      <c r="BE166" s="23"/>
      <c r="BF166" s="11"/>
      <c r="BG166" s="23"/>
      <c r="BH166" s="23"/>
      <c r="BI166" s="23"/>
      <c r="BJ166" s="11"/>
      <c r="BK166" s="23"/>
      <c r="BL166" s="23"/>
      <c r="BM166" s="23"/>
      <c r="BN166" s="11"/>
      <c r="BO166" s="23"/>
      <c r="BP166" s="23"/>
      <c r="BQ166" s="23"/>
      <c r="BR166" s="11"/>
      <c r="BS166" s="23"/>
      <c r="BT166" s="23"/>
      <c r="BU166" s="23"/>
      <c r="BV166" s="11"/>
      <c r="BW166" s="23"/>
      <c r="BX166" s="23"/>
      <c r="BY166" s="23"/>
      <c r="BZ166" s="11"/>
      <c r="CA166" s="3"/>
      <c r="CB166" s="3"/>
      <c r="CC166" s="3"/>
      <c r="CD166" s="3"/>
      <c r="CE166" s="3"/>
      <c r="CF166" s="3"/>
      <c r="CG166" s="3"/>
      <c r="CH166" s="3"/>
      <c r="CI166" s="3"/>
      <c r="CJ166" s="3"/>
      <c r="CK166" s="3"/>
      <c r="CL166" s="3"/>
      <c r="CM166" s="3"/>
      <c r="CN166" s="3"/>
      <c r="CO166" s="3"/>
      <c r="CP166" s="3"/>
      <c r="CQ166" s="3"/>
      <c r="CR166" s="3"/>
      <c r="CS166" s="3"/>
      <c r="CT166" s="3"/>
    </row>
    <row r="167" spans="1:98" x14ac:dyDescent="0.2">
      <c r="A167" s="109"/>
      <c r="B167" s="144"/>
      <c r="C167" s="23"/>
      <c r="D167" s="23"/>
      <c r="E167" s="23"/>
      <c r="F167" s="11"/>
      <c r="G167" s="23"/>
      <c r="H167" s="23"/>
      <c r="I167" s="23"/>
      <c r="J167" s="11"/>
      <c r="K167" s="23"/>
      <c r="L167" s="23"/>
      <c r="M167" s="23"/>
      <c r="N167" s="11"/>
      <c r="O167" s="23"/>
      <c r="P167" s="23"/>
      <c r="Q167" s="23"/>
      <c r="R167" s="11"/>
      <c r="S167" s="23"/>
      <c r="T167" s="23"/>
      <c r="U167" s="23"/>
      <c r="V167" s="11"/>
      <c r="W167" s="23"/>
      <c r="X167" s="23"/>
      <c r="Y167" s="23"/>
      <c r="Z167" s="11"/>
      <c r="AA167" s="23"/>
      <c r="AB167" s="23"/>
      <c r="AC167" s="23"/>
      <c r="AD167" s="11"/>
      <c r="AE167" s="23"/>
      <c r="AF167" s="23"/>
      <c r="AG167" s="23"/>
      <c r="AH167" s="11"/>
      <c r="AI167" s="23"/>
      <c r="AJ167" s="23"/>
      <c r="AK167" s="23"/>
      <c r="AL167" s="11"/>
      <c r="AM167" s="23"/>
      <c r="AN167" s="23"/>
      <c r="AO167" s="23"/>
      <c r="AP167" s="11"/>
      <c r="AQ167" s="23"/>
      <c r="AR167" s="23"/>
      <c r="AS167" s="23"/>
      <c r="AT167" s="11"/>
      <c r="AU167" s="23"/>
      <c r="AV167" s="23"/>
      <c r="AW167" s="23"/>
      <c r="AX167" s="11"/>
      <c r="AY167" s="23"/>
      <c r="AZ167" s="23"/>
      <c r="BA167" s="23"/>
      <c r="BB167" s="11"/>
      <c r="BC167" s="23"/>
      <c r="BD167" s="23"/>
      <c r="BE167" s="23"/>
      <c r="BF167" s="11"/>
      <c r="BG167" s="23"/>
      <c r="BH167" s="23"/>
      <c r="BI167" s="23"/>
      <c r="BJ167" s="11"/>
      <c r="BK167" s="23"/>
      <c r="BL167" s="23"/>
      <c r="BM167" s="23"/>
      <c r="BN167" s="11"/>
      <c r="BO167" s="23"/>
      <c r="BP167" s="23"/>
      <c r="BQ167" s="23"/>
      <c r="BR167" s="11"/>
      <c r="BS167" s="23"/>
      <c r="BT167" s="23"/>
      <c r="BU167" s="23"/>
      <c r="BV167" s="11"/>
      <c r="BW167" s="23"/>
      <c r="BX167" s="23"/>
      <c r="BY167" s="23"/>
      <c r="BZ167" s="11"/>
      <c r="CA167" s="3"/>
      <c r="CB167" s="3"/>
      <c r="CC167" s="3"/>
      <c r="CD167" s="3"/>
      <c r="CE167" s="3"/>
      <c r="CF167" s="3"/>
      <c r="CG167" s="3"/>
      <c r="CH167" s="3"/>
      <c r="CI167" s="3"/>
      <c r="CJ167" s="3"/>
      <c r="CK167" s="3"/>
      <c r="CL167" s="3"/>
      <c r="CM167" s="3"/>
      <c r="CN167" s="3"/>
      <c r="CO167" s="3"/>
      <c r="CP167" s="3"/>
      <c r="CQ167" s="3"/>
      <c r="CR167" s="3"/>
      <c r="CS167" s="3"/>
      <c r="CT167" s="3"/>
    </row>
    <row r="168" spans="1:98" x14ac:dyDescent="0.2">
      <c r="A168" s="109"/>
      <c r="B168" s="144"/>
      <c r="C168" s="23"/>
      <c r="D168" s="23"/>
      <c r="E168" s="23"/>
      <c r="F168" s="11"/>
      <c r="G168" s="23"/>
      <c r="H168" s="23"/>
      <c r="I168" s="23"/>
      <c r="J168" s="11"/>
      <c r="K168" s="23"/>
      <c r="L168" s="23"/>
      <c r="M168" s="23"/>
      <c r="N168" s="11"/>
      <c r="O168" s="23"/>
      <c r="P168" s="23"/>
      <c r="Q168" s="23"/>
      <c r="R168" s="11"/>
      <c r="S168" s="23"/>
      <c r="T168" s="23"/>
      <c r="U168" s="23"/>
      <c r="V168" s="11"/>
      <c r="W168" s="23"/>
      <c r="X168" s="23"/>
      <c r="Y168" s="23"/>
      <c r="Z168" s="11"/>
      <c r="AA168" s="23"/>
      <c r="AB168" s="23"/>
      <c r="AC168" s="23"/>
      <c r="AD168" s="11"/>
      <c r="AE168" s="23"/>
      <c r="AF168" s="23"/>
      <c r="AG168" s="23"/>
      <c r="AH168" s="11"/>
      <c r="AI168" s="23"/>
      <c r="AJ168" s="23"/>
      <c r="AK168" s="23"/>
      <c r="AL168" s="11"/>
      <c r="AM168" s="23"/>
      <c r="AN168" s="23"/>
      <c r="AO168" s="23"/>
      <c r="AP168" s="11"/>
      <c r="AQ168" s="23"/>
      <c r="AR168" s="23"/>
      <c r="AS168" s="23"/>
      <c r="AT168" s="11"/>
      <c r="AU168" s="23"/>
      <c r="AV168" s="23"/>
      <c r="AW168" s="23"/>
      <c r="AX168" s="11"/>
      <c r="AY168" s="23"/>
      <c r="AZ168" s="23"/>
      <c r="BA168" s="23"/>
      <c r="BB168" s="11"/>
      <c r="BC168" s="23"/>
      <c r="BD168" s="23"/>
      <c r="BE168" s="23"/>
      <c r="BF168" s="11"/>
      <c r="BG168" s="23"/>
      <c r="BH168" s="23"/>
      <c r="BI168" s="23"/>
      <c r="BJ168" s="11"/>
      <c r="BK168" s="23"/>
      <c r="BL168" s="23"/>
      <c r="BM168" s="23"/>
      <c r="BN168" s="11"/>
      <c r="BO168" s="23"/>
      <c r="BP168" s="23"/>
      <c r="BQ168" s="23"/>
      <c r="BR168" s="11"/>
      <c r="BS168" s="23"/>
      <c r="BT168" s="23"/>
      <c r="BU168" s="23"/>
      <c r="BV168" s="11"/>
      <c r="BW168" s="23"/>
      <c r="BX168" s="23"/>
      <c r="BY168" s="23"/>
      <c r="BZ168" s="11"/>
      <c r="CA168" s="3"/>
      <c r="CB168" s="3"/>
      <c r="CC168" s="3"/>
      <c r="CD168" s="3"/>
      <c r="CE168" s="3"/>
      <c r="CF168" s="3"/>
      <c r="CG168" s="3"/>
      <c r="CH168" s="3"/>
      <c r="CI168" s="3"/>
      <c r="CJ168" s="3"/>
      <c r="CK168" s="3"/>
      <c r="CL168" s="3"/>
      <c r="CM168" s="3"/>
      <c r="CN168" s="3"/>
      <c r="CO168" s="3"/>
      <c r="CP168" s="3"/>
      <c r="CQ168" s="3"/>
      <c r="CR168" s="3"/>
      <c r="CS168" s="3"/>
      <c r="CT168" s="3"/>
    </row>
    <row r="169" spans="1:98" x14ac:dyDescent="0.2">
      <c r="A169" s="109"/>
      <c r="B169" s="144"/>
      <c r="C169" s="23"/>
      <c r="D169" s="23"/>
      <c r="E169" s="23"/>
      <c r="F169" s="11"/>
      <c r="G169" s="23"/>
      <c r="H169" s="23"/>
      <c r="I169" s="23"/>
      <c r="J169" s="11"/>
      <c r="K169" s="23"/>
      <c r="L169" s="23"/>
      <c r="M169" s="23"/>
      <c r="N169" s="11"/>
      <c r="O169" s="23"/>
      <c r="P169" s="23"/>
      <c r="Q169" s="23"/>
      <c r="R169" s="11"/>
      <c r="S169" s="23"/>
      <c r="T169" s="23"/>
      <c r="U169" s="23"/>
      <c r="V169" s="11"/>
      <c r="W169" s="23"/>
      <c r="X169" s="23"/>
      <c r="Y169" s="23"/>
      <c r="Z169" s="11"/>
      <c r="AA169" s="23"/>
      <c r="AB169" s="23"/>
      <c r="AC169" s="23"/>
      <c r="AD169" s="11"/>
      <c r="AE169" s="23"/>
      <c r="AF169" s="23"/>
      <c r="AG169" s="23"/>
      <c r="AH169" s="11"/>
      <c r="AI169" s="23"/>
      <c r="AJ169" s="23"/>
      <c r="AK169" s="23"/>
      <c r="AL169" s="11"/>
      <c r="AM169" s="23"/>
      <c r="AN169" s="23"/>
      <c r="AO169" s="23"/>
      <c r="AP169" s="11"/>
      <c r="AQ169" s="23"/>
      <c r="AR169" s="23"/>
      <c r="AS169" s="23"/>
      <c r="AT169" s="11"/>
      <c r="AU169" s="23"/>
      <c r="AV169" s="23"/>
      <c r="AW169" s="23"/>
      <c r="AX169" s="11"/>
      <c r="AY169" s="23"/>
      <c r="AZ169" s="23"/>
      <c r="BA169" s="23"/>
      <c r="BB169" s="11"/>
      <c r="BC169" s="23"/>
      <c r="BD169" s="23"/>
      <c r="BE169" s="23"/>
      <c r="BF169" s="11"/>
      <c r="BG169" s="23"/>
      <c r="BH169" s="23"/>
      <c r="BI169" s="23"/>
      <c r="BJ169" s="11"/>
      <c r="BK169" s="23"/>
      <c r="BL169" s="23"/>
      <c r="BM169" s="23"/>
      <c r="BN169" s="11"/>
      <c r="BO169" s="23"/>
      <c r="BP169" s="23"/>
      <c r="BQ169" s="23"/>
      <c r="BR169" s="11"/>
      <c r="BS169" s="23"/>
      <c r="BT169" s="23"/>
      <c r="BU169" s="23"/>
      <c r="BV169" s="11"/>
      <c r="BW169" s="23"/>
      <c r="BX169" s="23"/>
      <c r="BY169" s="23"/>
      <c r="BZ169" s="11"/>
      <c r="CA169" s="3"/>
      <c r="CB169" s="3"/>
      <c r="CC169" s="3"/>
      <c r="CD169" s="3"/>
      <c r="CE169" s="3"/>
      <c r="CF169" s="3"/>
      <c r="CG169" s="3"/>
      <c r="CH169" s="3"/>
      <c r="CI169" s="3"/>
      <c r="CJ169" s="3"/>
      <c r="CK169" s="3"/>
      <c r="CL169" s="3"/>
      <c r="CM169" s="3"/>
      <c r="CN169" s="3"/>
      <c r="CO169" s="3"/>
      <c r="CP169" s="3"/>
      <c r="CQ169" s="3"/>
      <c r="CR169" s="3"/>
      <c r="CS169" s="3"/>
      <c r="CT169" s="3"/>
    </row>
    <row r="170" spans="1:98" x14ac:dyDescent="0.2">
      <c r="A170" s="109"/>
      <c r="B170" s="144"/>
      <c r="C170" s="23"/>
      <c r="D170" s="23"/>
      <c r="E170" s="23"/>
      <c r="F170" s="11"/>
      <c r="G170" s="23"/>
      <c r="H170" s="23"/>
      <c r="I170" s="23"/>
      <c r="J170" s="11"/>
      <c r="K170" s="23"/>
      <c r="L170" s="23"/>
      <c r="M170" s="23"/>
      <c r="N170" s="11"/>
      <c r="O170" s="23"/>
      <c r="P170" s="23"/>
      <c r="Q170" s="23"/>
      <c r="R170" s="11"/>
      <c r="S170" s="23"/>
      <c r="T170" s="23"/>
      <c r="U170" s="23"/>
      <c r="V170" s="11"/>
      <c r="W170" s="23"/>
      <c r="X170" s="23"/>
      <c r="Y170" s="23"/>
      <c r="Z170" s="11"/>
      <c r="AA170" s="23"/>
      <c r="AB170" s="23"/>
      <c r="AC170" s="23"/>
      <c r="AD170" s="11"/>
      <c r="AE170" s="23"/>
      <c r="AF170" s="23"/>
      <c r="AG170" s="23"/>
      <c r="AH170" s="11"/>
      <c r="AI170" s="23"/>
      <c r="AJ170" s="23"/>
      <c r="AK170" s="23"/>
      <c r="AL170" s="11"/>
      <c r="AM170" s="23"/>
      <c r="AN170" s="23"/>
      <c r="AO170" s="23"/>
      <c r="AP170" s="11"/>
      <c r="AQ170" s="23"/>
      <c r="AR170" s="23"/>
      <c r="AS170" s="23"/>
      <c r="AT170" s="11"/>
      <c r="AU170" s="23"/>
      <c r="AV170" s="23"/>
      <c r="AW170" s="23"/>
      <c r="AX170" s="11"/>
      <c r="AY170" s="23"/>
      <c r="AZ170" s="23"/>
      <c r="BA170" s="23"/>
      <c r="BB170" s="11"/>
      <c r="BC170" s="23"/>
      <c r="BD170" s="23"/>
      <c r="BE170" s="23"/>
      <c r="BF170" s="11"/>
      <c r="BG170" s="23"/>
      <c r="BH170" s="23"/>
      <c r="BI170" s="23"/>
      <c r="BJ170" s="11"/>
      <c r="BK170" s="23"/>
      <c r="BL170" s="23"/>
      <c r="BM170" s="23"/>
      <c r="BN170" s="11"/>
      <c r="BO170" s="23"/>
      <c r="BP170" s="23"/>
      <c r="BQ170" s="23"/>
      <c r="BR170" s="11"/>
      <c r="BS170" s="23"/>
      <c r="BT170" s="23"/>
      <c r="BU170" s="23"/>
      <c r="BV170" s="11"/>
      <c r="BW170" s="23"/>
      <c r="BX170" s="23"/>
      <c r="BY170" s="23"/>
      <c r="BZ170" s="11"/>
      <c r="CA170" s="3"/>
      <c r="CB170" s="3"/>
      <c r="CC170" s="3"/>
      <c r="CD170" s="3"/>
      <c r="CE170" s="3"/>
      <c r="CF170" s="3"/>
      <c r="CG170" s="3"/>
      <c r="CH170" s="3"/>
      <c r="CI170" s="3"/>
      <c r="CJ170" s="3"/>
      <c r="CK170" s="3"/>
      <c r="CL170" s="3"/>
      <c r="CM170" s="3"/>
      <c r="CN170" s="3"/>
      <c r="CO170" s="3"/>
      <c r="CP170" s="3"/>
      <c r="CQ170" s="3"/>
      <c r="CR170" s="3"/>
      <c r="CS170" s="3"/>
      <c r="CT170" s="3"/>
    </row>
    <row r="171" spans="1:98" x14ac:dyDescent="0.2">
      <c r="A171" s="109"/>
      <c r="B171" s="144"/>
      <c r="C171" s="23"/>
      <c r="D171" s="23"/>
      <c r="E171" s="23"/>
      <c r="F171" s="11"/>
      <c r="G171" s="23"/>
      <c r="H171" s="23"/>
      <c r="I171" s="23"/>
      <c r="J171" s="11"/>
      <c r="K171" s="23"/>
      <c r="L171" s="23"/>
      <c r="M171" s="23"/>
      <c r="N171" s="11"/>
      <c r="O171" s="23"/>
      <c r="P171" s="23"/>
      <c r="Q171" s="23"/>
      <c r="R171" s="11"/>
      <c r="S171" s="23"/>
      <c r="T171" s="23"/>
      <c r="U171" s="23"/>
      <c r="V171" s="11"/>
      <c r="W171" s="23"/>
      <c r="X171" s="23"/>
      <c r="Y171" s="23"/>
      <c r="Z171" s="11"/>
      <c r="AA171" s="23"/>
      <c r="AB171" s="23"/>
      <c r="AC171" s="23"/>
      <c r="AD171" s="11"/>
      <c r="AE171" s="23"/>
      <c r="AF171" s="23"/>
      <c r="AG171" s="23"/>
      <c r="AH171" s="11"/>
      <c r="AI171" s="23"/>
      <c r="AJ171" s="23"/>
      <c r="AK171" s="23"/>
      <c r="AL171" s="11"/>
      <c r="AM171" s="23"/>
      <c r="AN171" s="23"/>
      <c r="AO171" s="23"/>
      <c r="AP171" s="11"/>
      <c r="AQ171" s="23"/>
      <c r="AR171" s="23"/>
      <c r="AS171" s="23"/>
      <c r="AT171" s="11"/>
      <c r="AU171" s="23"/>
      <c r="AV171" s="23"/>
      <c r="AW171" s="23"/>
      <c r="AX171" s="11"/>
      <c r="AY171" s="23"/>
      <c r="AZ171" s="23"/>
      <c r="BA171" s="23"/>
      <c r="BB171" s="11"/>
      <c r="BC171" s="23"/>
      <c r="BD171" s="23"/>
      <c r="BE171" s="23"/>
      <c r="BF171" s="11"/>
      <c r="BG171" s="23"/>
      <c r="BH171" s="23"/>
      <c r="BI171" s="23"/>
      <c r="BJ171" s="11"/>
      <c r="BK171" s="23"/>
      <c r="BL171" s="23"/>
      <c r="BM171" s="23"/>
      <c r="BN171" s="11"/>
      <c r="BO171" s="23"/>
      <c r="BP171" s="23"/>
      <c r="BQ171" s="23"/>
      <c r="BR171" s="11"/>
      <c r="BS171" s="23"/>
      <c r="BT171" s="23"/>
      <c r="BU171" s="23"/>
      <c r="BV171" s="11"/>
      <c r="BW171" s="23"/>
      <c r="BX171" s="23"/>
      <c r="BY171" s="23"/>
      <c r="BZ171" s="11"/>
      <c r="CA171" s="3"/>
      <c r="CB171" s="3"/>
      <c r="CC171" s="3"/>
      <c r="CD171" s="3"/>
      <c r="CE171" s="3"/>
      <c r="CF171" s="3"/>
      <c r="CG171" s="3"/>
      <c r="CH171" s="3"/>
      <c r="CI171" s="3"/>
      <c r="CJ171" s="3"/>
      <c r="CK171" s="3"/>
      <c r="CL171" s="3"/>
      <c r="CM171" s="3"/>
      <c r="CN171" s="3"/>
      <c r="CO171" s="3"/>
      <c r="CP171" s="3"/>
      <c r="CQ171" s="3"/>
      <c r="CR171" s="3"/>
      <c r="CS171" s="3"/>
      <c r="CT171" s="3"/>
    </row>
    <row r="172" spans="1:98" x14ac:dyDescent="0.2">
      <c r="A172" s="109"/>
      <c r="B172" s="144"/>
      <c r="C172" s="23"/>
      <c r="D172" s="23"/>
      <c r="E172" s="23"/>
      <c r="F172" s="11"/>
      <c r="G172" s="23"/>
      <c r="H172" s="23"/>
      <c r="I172" s="23"/>
      <c r="J172" s="11"/>
      <c r="K172" s="23"/>
      <c r="L172" s="23"/>
      <c r="M172" s="23"/>
      <c r="N172" s="11"/>
      <c r="O172" s="23"/>
      <c r="P172" s="23"/>
      <c r="Q172" s="23"/>
      <c r="R172" s="11"/>
      <c r="S172" s="23"/>
      <c r="T172" s="23"/>
      <c r="U172" s="23"/>
      <c r="V172" s="11"/>
      <c r="W172" s="23"/>
      <c r="X172" s="23"/>
      <c r="Y172" s="23"/>
      <c r="Z172" s="11"/>
      <c r="AA172" s="23"/>
      <c r="AB172" s="23"/>
      <c r="AC172" s="23"/>
      <c r="AD172" s="11"/>
      <c r="AE172" s="23"/>
      <c r="AF172" s="23"/>
      <c r="AG172" s="23"/>
      <c r="AH172" s="11"/>
      <c r="AI172" s="23"/>
      <c r="AJ172" s="23"/>
      <c r="AK172" s="23"/>
      <c r="AL172" s="11"/>
      <c r="AM172" s="23"/>
      <c r="AN172" s="23"/>
      <c r="AO172" s="23"/>
      <c r="AP172" s="11"/>
      <c r="AQ172" s="23"/>
      <c r="AR172" s="23"/>
      <c r="AS172" s="23"/>
      <c r="AT172" s="11"/>
      <c r="AU172" s="23"/>
      <c r="AV172" s="23"/>
      <c r="AW172" s="23"/>
      <c r="AX172" s="11"/>
      <c r="AY172" s="23"/>
      <c r="AZ172" s="23"/>
      <c r="BA172" s="23"/>
      <c r="BB172" s="11"/>
      <c r="BC172" s="23"/>
      <c r="BD172" s="23"/>
      <c r="BE172" s="23"/>
      <c r="BF172" s="11"/>
      <c r="BG172" s="23"/>
      <c r="BH172" s="23"/>
      <c r="BI172" s="23"/>
      <c r="BJ172" s="11"/>
      <c r="BK172" s="23"/>
      <c r="BL172" s="23"/>
      <c r="BM172" s="23"/>
      <c r="BN172" s="11"/>
      <c r="BO172" s="23"/>
      <c r="BP172" s="23"/>
      <c r="BQ172" s="23"/>
      <c r="BR172" s="11"/>
      <c r="BS172" s="23"/>
      <c r="BT172" s="23"/>
      <c r="BU172" s="23"/>
      <c r="BV172" s="11"/>
      <c r="BW172" s="23"/>
      <c r="BX172" s="23"/>
      <c r="BY172" s="23"/>
      <c r="BZ172" s="11"/>
      <c r="CA172" s="3"/>
      <c r="CB172" s="3"/>
      <c r="CC172" s="3"/>
      <c r="CD172" s="3"/>
      <c r="CE172" s="3"/>
      <c r="CF172" s="3"/>
      <c r="CG172" s="3"/>
      <c r="CH172" s="3"/>
      <c r="CI172" s="3"/>
      <c r="CJ172" s="3"/>
      <c r="CK172" s="3"/>
      <c r="CL172" s="3"/>
      <c r="CM172" s="3"/>
      <c r="CN172" s="3"/>
      <c r="CO172" s="3"/>
      <c r="CP172" s="3"/>
      <c r="CQ172" s="3"/>
      <c r="CR172" s="3"/>
      <c r="CS172" s="3"/>
      <c r="CT172" s="3"/>
    </row>
    <row r="173" spans="1:98" x14ac:dyDescent="0.2">
      <c r="A173" s="109"/>
      <c r="B173" s="144"/>
      <c r="C173" s="23"/>
      <c r="D173" s="23"/>
      <c r="E173" s="23"/>
      <c r="F173" s="11"/>
      <c r="G173" s="23"/>
      <c r="H173" s="23"/>
      <c r="I173" s="23"/>
      <c r="J173" s="11"/>
      <c r="K173" s="23"/>
      <c r="L173" s="23"/>
      <c r="M173" s="23"/>
      <c r="N173" s="11"/>
      <c r="O173" s="23"/>
      <c r="P173" s="23"/>
      <c r="Q173" s="23"/>
      <c r="R173" s="11"/>
      <c r="S173" s="23"/>
      <c r="T173" s="23"/>
      <c r="U173" s="23"/>
      <c r="V173" s="11"/>
      <c r="W173" s="23"/>
      <c r="X173" s="23"/>
      <c r="Y173" s="23"/>
      <c r="Z173" s="11"/>
      <c r="AA173" s="23"/>
      <c r="AB173" s="23"/>
      <c r="AC173" s="23"/>
      <c r="AD173" s="11"/>
      <c r="AE173" s="23"/>
      <c r="AF173" s="23"/>
      <c r="AG173" s="23"/>
      <c r="AH173" s="11"/>
      <c r="AI173" s="23"/>
      <c r="AJ173" s="23"/>
      <c r="AK173" s="23"/>
      <c r="AL173" s="11"/>
      <c r="AM173" s="23"/>
      <c r="AN173" s="23"/>
      <c r="AO173" s="23"/>
      <c r="AP173" s="11"/>
      <c r="AQ173" s="23"/>
      <c r="AR173" s="23"/>
      <c r="AS173" s="23"/>
      <c r="AT173" s="11"/>
      <c r="AU173" s="23"/>
      <c r="AV173" s="23"/>
      <c r="AW173" s="23"/>
      <c r="AX173" s="11"/>
      <c r="AY173" s="23"/>
      <c r="AZ173" s="23"/>
      <c r="BA173" s="23"/>
      <c r="BB173" s="11"/>
      <c r="BC173" s="23"/>
      <c r="BD173" s="23"/>
      <c r="BE173" s="23"/>
      <c r="BF173" s="11"/>
      <c r="BG173" s="23"/>
      <c r="BH173" s="23"/>
      <c r="BI173" s="23"/>
      <c r="BJ173" s="11"/>
      <c r="BK173" s="23"/>
      <c r="BL173" s="23"/>
      <c r="BM173" s="23"/>
      <c r="BN173" s="11"/>
      <c r="BO173" s="23"/>
      <c r="BP173" s="23"/>
      <c r="BQ173" s="23"/>
      <c r="BR173" s="11"/>
      <c r="BS173" s="23"/>
      <c r="BT173" s="23"/>
      <c r="BU173" s="23"/>
      <c r="BV173" s="11"/>
      <c r="BW173" s="23"/>
      <c r="BX173" s="23"/>
      <c r="BY173" s="23"/>
      <c r="BZ173" s="11"/>
      <c r="CA173" s="3"/>
      <c r="CB173" s="3"/>
      <c r="CC173" s="3"/>
      <c r="CD173" s="3"/>
      <c r="CE173" s="3"/>
      <c r="CF173" s="3"/>
      <c r="CG173" s="3"/>
      <c r="CH173" s="3"/>
      <c r="CI173" s="3"/>
      <c r="CJ173" s="3"/>
      <c r="CK173" s="3"/>
      <c r="CL173" s="3"/>
      <c r="CM173" s="3"/>
      <c r="CN173" s="3"/>
      <c r="CO173" s="3"/>
      <c r="CP173" s="3"/>
      <c r="CQ173" s="3"/>
      <c r="CR173" s="3"/>
      <c r="CS173" s="3"/>
      <c r="CT173" s="3"/>
    </row>
    <row r="174" spans="1:98" x14ac:dyDescent="0.2">
      <c r="A174" s="109"/>
      <c r="B174" s="144"/>
      <c r="C174" s="23"/>
      <c r="D174" s="23"/>
      <c r="E174" s="23"/>
      <c r="F174" s="11"/>
      <c r="G174" s="23"/>
      <c r="H174" s="23"/>
      <c r="I174" s="23"/>
      <c r="J174" s="11"/>
      <c r="K174" s="23"/>
      <c r="L174" s="23"/>
      <c r="M174" s="23"/>
      <c r="N174" s="11"/>
      <c r="O174" s="23"/>
      <c r="P174" s="23"/>
      <c r="Q174" s="23"/>
      <c r="R174" s="11"/>
      <c r="S174" s="23"/>
      <c r="T174" s="23"/>
      <c r="U174" s="23"/>
      <c r="V174" s="11"/>
      <c r="W174" s="23"/>
      <c r="X174" s="23"/>
      <c r="Y174" s="23"/>
      <c r="Z174" s="11"/>
      <c r="AA174" s="23"/>
      <c r="AB174" s="23"/>
      <c r="AC174" s="23"/>
      <c r="AD174" s="11"/>
      <c r="AE174" s="23"/>
      <c r="AF174" s="23"/>
      <c r="AG174" s="23"/>
      <c r="AH174" s="11"/>
      <c r="AI174" s="23"/>
      <c r="AJ174" s="23"/>
      <c r="AK174" s="23"/>
      <c r="AL174" s="11"/>
      <c r="AM174" s="23"/>
      <c r="AN174" s="23"/>
      <c r="AO174" s="23"/>
      <c r="AP174" s="11"/>
      <c r="AQ174" s="23"/>
      <c r="AR174" s="23"/>
      <c r="AS174" s="23"/>
      <c r="AT174" s="11"/>
      <c r="AU174" s="23"/>
      <c r="AV174" s="23"/>
      <c r="AW174" s="23"/>
      <c r="AX174" s="11"/>
      <c r="AY174" s="23"/>
      <c r="AZ174" s="23"/>
      <c r="BA174" s="23"/>
      <c r="BB174" s="11"/>
      <c r="BC174" s="23"/>
      <c r="BD174" s="23"/>
      <c r="BE174" s="23"/>
      <c r="BF174" s="11"/>
      <c r="BG174" s="23"/>
      <c r="BH174" s="23"/>
      <c r="BI174" s="23"/>
      <c r="BJ174" s="11"/>
      <c r="BK174" s="23"/>
      <c r="BL174" s="23"/>
      <c r="BM174" s="23"/>
      <c r="BN174" s="11"/>
      <c r="BO174" s="23"/>
      <c r="BP174" s="23"/>
      <c r="BQ174" s="23"/>
      <c r="BR174" s="11"/>
      <c r="BS174" s="23"/>
      <c r="BT174" s="23"/>
      <c r="BU174" s="23"/>
      <c r="BV174" s="11"/>
      <c r="BW174" s="23"/>
      <c r="BX174" s="23"/>
      <c r="BY174" s="23"/>
      <c r="BZ174" s="11"/>
      <c r="CA174" s="3"/>
      <c r="CB174" s="3"/>
      <c r="CC174" s="3"/>
      <c r="CD174" s="3"/>
      <c r="CE174" s="3"/>
      <c r="CF174" s="3"/>
      <c r="CG174" s="3"/>
      <c r="CH174" s="3"/>
      <c r="CI174" s="3"/>
      <c r="CJ174" s="3"/>
      <c r="CK174" s="3"/>
      <c r="CL174" s="3"/>
      <c r="CM174" s="3"/>
      <c r="CN174" s="3"/>
      <c r="CO174" s="3"/>
      <c r="CP174" s="3"/>
      <c r="CQ174" s="3"/>
      <c r="CR174" s="3"/>
      <c r="CS174" s="3"/>
      <c r="CT174" s="3"/>
    </row>
    <row r="175" spans="1:98" x14ac:dyDescent="0.2">
      <c r="A175" s="109"/>
      <c r="B175" s="144"/>
      <c r="C175" s="23"/>
      <c r="D175" s="23"/>
      <c r="E175" s="23"/>
      <c r="F175" s="11"/>
      <c r="G175" s="23"/>
      <c r="H175" s="23"/>
      <c r="I175" s="23"/>
      <c r="J175" s="11"/>
      <c r="K175" s="23"/>
      <c r="L175" s="23"/>
      <c r="M175" s="23"/>
      <c r="N175" s="11"/>
      <c r="O175" s="23"/>
      <c r="P175" s="23"/>
      <c r="Q175" s="23"/>
      <c r="R175" s="11"/>
      <c r="S175" s="23"/>
      <c r="T175" s="23"/>
      <c r="U175" s="23"/>
      <c r="V175" s="11"/>
      <c r="W175" s="23"/>
      <c r="X175" s="23"/>
      <c r="Y175" s="23"/>
      <c r="Z175" s="11"/>
      <c r="AA175" s="23"/>
      <c r="AB175" s="23"/>
      <c r="AC175" s="23"/>
      <c r="AD175" s="11"/>
      <c r="AE175" s="23"/>
      <c r="AF175" s="23"/>
      <c r="AG175" s="23"/>
      <c r="AH175" s="11"/>
      <c r="AI175" s="23"/>
      <c r="AJ175" s="23"/>
      <c r="AK175" s="23"/>
      <c r="AL175" s="11"/>
      <c r="AM175" s="23"/>
      <c r="AN175" s="23"/>
      <c r="AO175" s="23"/>
      <c r="AP175" s="11"/>
      <c r="AQ175" s="23"/>
      <c r="AR175" s="23"/>
      <c r="AS175" s="23"/>
      <c r="AT175" s="11"/>
      <c r="AU175" s="23"/>
      <c r="AV175" s="23"/>
      <c r="AW175" s="23"/>
      <c r="AX175" s="11"/>
      <c r="AY175" s="23"/>
      <c r="AZ175" s="23"/>
      <c r="BA175" s="23"/>
      <c r="BB175" s="11"/>
      <c r="BC175" s="23"/>
      <c r="BD175" s="23"/>
      <c r="BE175" s="23"/>
      <c r="BF175" s="11"/>
      <c r="BG175" s="23"/>
      <c r="BH175" s="23"/>
      <c r="BI175" s="23"/>
      <c r="BJ175" s="11"/>
      <c r="BK175" s="23"/>
      <c r="BL175" s="23"/>
      <c r="BM175" s="23"/>
      <c r="BN175" s="11"/>
      <c r="BO175" s="23"/>
      <c r="BP175" s="23"/>
      <c r="BQ175" s="23"/>
      <c r="BR175" s="11"/>
      <c r="BS175" s="23"/>
      <c r="BT175" s="23"/>
      <c r="BU175" s="23"/>
      <c r="BV175" s="11"/>
      <c r="BW175" s="23"/>
      <c r="BX175" s="23"/>
      <c r="BY175" s="23"/>
      <c r="BZ175" s="11"/>
      <c r="CA175" s="3"/>
      <c r="CB175" s="3"/>
      <c r="CC175" s="3"/>
      <c r="CD175" s="3"/>
      <c r="CE175" s="3"/>
      <c r="CF175" s="3"/>
      <c r="CG175" s="3"/>
      <c r="CH175" s="3"/>
      <c r="CI175" s="3"/>
      <c r="CJ175" s="3"/>
      <c r="CK175" s="3"/>
      <c r="CL175" s="3"/>
      <c r="CM175" s="3"/>
      <c r="CN175" s="3"/>
      <c r="CO175" s="3"/>
      <c r="CP175" s="3"/>
      <c r="CQ175" s="3"/>
      <c r="CR175" s="3"/>
      <c r="CS175" s="3"/>
      <c r="CT175" s="3"/>
    </row>
    <row r="176" spans="1:98" x14ac:dyDescent="0.2">
      <c r="A176" s="109"/>
      <c r="B176" s="144"/>
      <c r="C176" s="23"/>
      <c r="D176" s="23"/>
      <c r="E176" s="23"/>
      <c r="F176" s="11"/>
      <c r="G176" s="23"/>
      <c r="H176" s="23"/>
      <c r="I176" s="23"/>
      <c r="J176" s="11"/>
      <c r="K176" s="23"/>
      <c r="L176" s="23"/>
      <c r="M176" s="23"/>
      <c r="N176" s="11"/>
      <c r="O176" s="23"/>
      <c r="P176" s="23"/>
      <c r="Q176" s="23"/>
      <c r="R176" s="11"/>
      <c r="S176" s="23"/>
      <c r="T176" s="23"/>
      <c r="U176" s="23"/>
      <c r="V176" s="11"/>
      <c r="W176" s="23"/>
      <c r="X176" s="23"/>
      <c r="Y176" s="23"/>
      <c r="Z176" s="11"/>
      <c r="AA176" s="23"/>
      <c r="AB176" s="23"/>
      <c r="AC176" s="23"/>
      <c r="AD176" s="11"/>
      <c r="AE176" s="23"/>
      <c r="AF176" s="23"/>
      <c r="AG176" s="23"/>
      <c r="AH176" s="11"/>
      <c r="AI176" s="23"/>
      <c r="AJ176" s="23"/>
      <c r="AK176" s="23"/>
      <c r="AL176" s="11"/>
      <c r="AM176" s="23"/>
      <c r="AN176" s="23"/>
      <c r="AO176" s="23"/>
      <c r="AP176" s="11"/>
      <c r="AQ176" s="23"/>
      <c r="AR176" s="23"/>
      <c r="AS176" s="23"/>
      <c r="AT176" s="11"/>
      <c r="AU176" s="23"/>
      <c r="AV176" s="23"/>
      <c r="AW176" s="23"/>
      <c r="AX176" s="11"/>
      <c r="AY176" s="23"/>
      <c r="AZ176" s="23"/>
      <c r="BA176" s="23"/>
      <c r="BB176" s="11"/>
      <c r="BC176" s="23"/>
      <c r="BD176" s="23"/>
      <c r="BE176" s="23"/>
      <c r="BF176" s="11"/>
      <c r="BG176" s="23"/>
      <c r="BH176" s="23"/>
      <c r="BI176" s="23"/>
      <c r="BJ176" s="11"/>
      <c r="BK176" s="23"/>
      <c r="BL176" s="23"/>
      <c r="BM176" s="23"/>
      <c r="BN176" s="11"/>
      <c r="BO176" s="23"/>
      <c r="BP176" s="23"/>
      <c r="BQ176" s="23"/>
      <c r="BR176" s="11"/>
      <c r="BS176" s="23"/>
      <c r="BT176" s="23"/>
      <c r="BU176" s="23"/>
      <c r="BV176" s="11"/>
      <c r="BW176" s="23"/>
      <c r="BX176" s="23"/>
      <c r="BY176" s="23"/>
      <c r="BZ176" s="11"/>
      <c r="CA176" s="3"/>
      <c r="CB176" s="3"/>
      <c r="CC176" s="3"/>
      <c r="CD176" s="3"/>
      <c r="CE176" s="3"/>
      <c r="CF176" s="3"/>
      <c r="CG176" s="3"/>
      <c r="CH176" s="3"/>
      <c r="CI176" s="3"/>
      <c r="CJ176" s="3"/>
      <c r="CK176" s="3"/>
      <c r="CL176" s="3"/>
      <c r="CM176" s="3"/>
      <c r="CN176" s="3"/>
      <c r="CO176" s="3"/>
      <c r="CP176" s="3"/>
      <c r="CQ176" s="3"/>
      <c r="CR176" s="3"/>
      <c r="CS176" s="3"/>
      <c r="CT176" s="3"/>
    </row>
    <row r="177" spans="1:98" x14ac:dyDescent="0.2">
      <c r="A177" s="109"/>
      <c r="B177" s="144"/>
      <c r="C177" s="23"/>
      <c r="D177" s="23"/>
      <c r="E177" s="23"/>
      <c r="F177" s="11"/>
      <c r="G177" s="23"/>
      <c r="H177" s="23"/>
      <c r="I177" s="23"/>
      <c r="J177" s="11"/>
      <c r="K177" s="23"/>
      <c r="L177" s="23"/>
      <c r="M177" s="23"/>
      <c r="N177" s="11"/>
      <c r="O177" s="23"/>
      <c r="P177" s="23"/>
      <c r="Q177" s="23"/>
      <c r="R177" s="11"/>
      <c r="S177" s="23"/>
      <c r="T177" s="23"/>
      <c r="U177" s="23"/>
      <c r="V177" s="11"/>
      <c r="W177" s="23"/>
      <c r="X177" s="23"/>
      <c r="Y177" s="23"/>
      <c r="Z177" s="11"/>
      <c r="AA177" s="23"/>
      <c r="AB177" s="23"/>
      <c r="AC177" s="23"/>
      <c r="AD177" s="11"/>
      <c r="AE177" s="23"/>
      <c r="AF177" s="23"/>
      <c r="AG177" s="23"/>
      <c r="AH177" s="11"/>
      <c r="AI177" s="23"/>
      <c r="AJ177" s="23"/>
      <c r="AK177" s="23"/>
      <c r="AL177" s="11"/>
      <c r="AM177" s="23"/>
      <c r="AN177" s="23"/>
      <c r="AO177" s="23"/>
      <c r="AP177" s="11"/>
      <c r="AQ177" s="23"/>
      <c r="AR177" s="23"/>
      <c r="AS177" s="23"/>
      <c r="AT177" s="11"/>
      <c r="AU177" s="23"/>
      <c r="AV177" s="23"/>
      <c r="AW177" s="23"/>
      <c r="AX177" s="11"/>
      <c r="AY177" s="23"/>
      <c r="AZ177" s="23"/>
      <c r="BA177" s="23"/>
      <c r="BB177" s="11"/>
      <c r="BC177" s="23"/>
      <c r="BD177" s="23"/>
      <c r="BE177" s="23"/>
      <c r="BF177" s="11"/>
      <c r="BG177" s="23"/>
      <c r="BH177" s="23"/>
      <c r="BI177" s="23"/>
      <c r="BJ177" s="11"/>
      <c r="BK177" s="23"/>
      <c r="BL177" s="23"/>
      <c r="BM177" s="23"/>
      <c r="BN177" s="11"/>
      <c r="BO177" s="23"/>
      <c r="BP177" s="23"/>
      <c r="BQ177" s="23"/>
      <c r="BR177" s="11"/>
      <c r="BS177" s="23"/>
      <c r="BT177" s="23"/>
      <c r="BU177" s="23"/>
      <c r="BV177" s="11"/>
      <c r="BW177" s="23"/>
      <c r="BX177" s="23"/>
      <c r="BY177" s="23"/>
      <c r="BZ177" s="11"/>
      <c r="CA177" s="3"/>
      <c r="CB177" s="3"/>
      <c r="CC177" s="3"/>
      <c r="CD177" s="3"/>
      <c r="CE177" s="3"/>
      <c r="CF177" s="3"/>
      <c r="CG177" s="3"/>
      <c r="CH177" s="3"/>
      <c r="CI177" s="3"/>
      <c r="CJ177" s="3"/>
      <c r="CK177" s="3"/>
      <c r="CL177" s="3"/>
      <c r="CM177" s="3"/>
      <c r="CN177" s="3"/>
      <c r="CO177" s="3"/>
      <c r="CP177" s="3"/>
      <c r="CQ177" s="3"/>
      <c r="CR177" s="3"/>
      <c r="CS177" s="3"/>
      <c r="CT177" s="3"/>
    </row>
    <row r="178" spans="1:98" x14ac:dyDescent="0.2">
      <c r="A178" s="109"/>
      <c r="B178" s="144"/>
      <c r="C178" s="23"/>
      <c r="D178" s="23"/>
      <c r="E178" s="23"/>
      <c r="F178" s="11"/>
      <c r="G178" s="23"/>
      <c r="H178" s="23"/>
      <c r="I178" s="23"/>
      <c r="J178" s="11"/>
      <c r="K178" s="23"/>
      <c r="L178" s="23"/>
      <c r="M178" s="23"/>
      <c r="N178" s="11"/>
      <c r="O178" s="23"/>
      <c r="P178" s="23"/>
      <c r="Q178" s="23"/>
      <c r="R178" s="11"/>
      <c r="S178" s="23"/>
      <c r="T178" s="23"/>
      <c r="U178" s="23"/>
      <c r="V178" s="11"/>
      <c r="W178" s="23"/>
      <c r="X178" s="23"/>
      <c r="Y178" s="23"/>
      <c r="Z178" s="11"/>
      <c r="AA178" s="23"/>
      <c r="AB178" s="23"/>
      <c r="AC178" s="23"/>
      <c r="AD178" s="11"/>
      <c r="AE178" s="23"/>
      <c r="AF178" s="23"/>
      <c r="AG178" s="23"/>
      <c r="AH178" s="11"/>
      <c r="AI178" s="23"/>
      <c r="AJ178" s="23"/>
      <c r="AK178" s="23"/>
      <c r="AL178" s="11"/>
      <c r="AM178" s="23"/>
      <c r="AN178" s="23"/>
      <c r="AO178" s="23"/>
      <c r="AP178" s="11"/>
      <c r="AQ178" s="23"/>
      <c r="AR178" s="23"/>
      <c r="AS178" s="23"/>
      <c r="AT178" s="11"/>
      <c r="AU178" s="23"/>
      <c r="AV178" s="23"/>
      <c r="AW178" s="23"/>
      <c r="AX178" s="11"/>
      <c r="AY178" s="23"/>
      <c r="AZ178" s="23"/>
      <c r="BA178" s="23"/>
      <c r="BB178" s="11"/>
      <c r="BC178" s="23"/>
      <c r="BD178" s="23"/>
      <c r="BE178" s="23"/>
      <c r="BF178" s="11"/>
      <c r="BG178" s="23"/>
      <c r="BH178" s="23"/>
      <c r="BI178" s="23"/>
      <c r="BJ178" s="11"/>
      <c r="BK178" s="23"/>
      <c r="BL178" s="23"/>
      <c r="BM178" s="23"/>
      <c r="BN178" s="11"/>
      <c r="BO178" s="23"/>
      <c r="BP178" s="23"/>
      <c r="BQ178" s="23"/>
      <c r="BR178" s="11"/>
      <c r="BS178" s="23"/>
      <c r="BT178" s="23"/>
      <c r="BU178" s="23"/>
      <c r="BV178" s="11"/>
      <c r="BW178" s="23"/>
      <c r="BX178" s="23"/>
      <c r="BY178" s="23"/>
      <c r="BZ178" s="11"/>
      <c r="CA178" s="3"/>
      <c r="CB178" s="3"/>
      <c r="CC178" s="3"/>
      <c r="CD178" s="3"/>
      <c r="CE178" s="3"/>
      <c r="CF178" s="3"/>
      <c r="CG178" s="3"/>
      <c r="CH178" s="3"/>
      <c r="CI178" s="3"/>
      <c r="CJ178" s="3"/>
      <c r="CK178" s="3"/>
      <c r="CL178" s="3"/>
      <c r="CM178" s="3"/>
      <c r="CN178" s="3"/>
      <c r="CO178" s="3"/>
      <c r="CP178" s="3"/>
      <c r="CQ178" s="3"/>
      <c r="CR178" s="3"/>
      <c r="CS178" s="3"/>
      <c r="CT178" s="3"/>
    </row>
    <row r="179" spans="1:98" x14ac:dyDescent="0.2">
      <c r="A179" s="109"/>
      <c r="B179" s="144"/>
      <c r="C179" s="23"/>
      <c r="D179" s="23"/>
      <c r="E179" s="23"/>
      <c r="F179" s="11"/>
      <c r="G179" s="23"/>
      <c r="H179" s="23"/>
      <c r="I179" s="23"/>
      <c r="J179" s="11"/>
      <c r="K179" s="23"/>
      <c r="L179" s="23"/>
      <c r="M179" s="23"/>
      <c r="N179" s="11"/>
      <c r="O179" s="23"/>
      <c r="P179" s="23"/>
      <c r="Q179" s="23"/>
      <c r="R179" s="11"/>
      <c r="S179" s="23"/>
      <c r="T179" s="23"/>
      <c r="U179" s="23"/>
      <c r="V179" s="11"/>
      <c r="W179" s="23"/>
      <c r="X179" s="23"/>
      <c r="Y179" s="23"/>
      <c r="Z179" s="11"/>
      <c r="AA179" s="23"/>
      <c r="AB179" s="23"/>
      <c r="AC179" s="23"/>
      <c r="AD179" s="11"/>
      <c r="AE179" s="23"/>
      <c r="AF179" s="23"/>
      <c r="AG179" s="23"/>
      <c r="AH179" s="11"/>
      <c r="AI179" s="23"/>
      <c r="AJ179" s="23"/>
      <c r="AK179" s="23"/>
      <c r="AL179" s="11"/>
      <c r="AM179" s="23"/>
      <c r="AN179" s="23"/>
      <c r="AO179" s="23"/>
      <c r="AP179" s="11"/>
      <c r="AQ179" s="23"/>
      <c r="AR179" s="23"/>
      <c r="AS179" s="23"/>
      <c r="AT179" s="11"/>
      <c r="AU179" s="23"/>
      <c r="AV179" s="23"/>
      <c r="AW179" s="23"/>
      <c r="AX179" s="11"/>
      <c r="AY179" s="23"/>
      <c r="AZ179" s="23"/>
      <c r="BA179" s="23"/>
      <c r="BB179" s="11"/>
      <c r="BC179" s="23"/>
      <c r="BD179" s="23"/>
      <c r="BE179" s="23"/>
      <c r="BF179" s="11"/>
      <c r="BG179" s="23"/>
      <c r="BH179" s="23"/>
      <c r="BI179" s="23"/>
      <c r="BJ179" s="11"/>
      <c r="BK179" s="23"/>
      <c r="BL179" s="23"/>
      <c r="BM179" s="23"/>
      <c r="BN179" s="11"/>
      <c r="BO179" s="23"/>
      <c r="BP179" s="23"/>
      <c r="BQ179" s="23"/>
      <c r="BR179" s="11"/>
      <c r="BS179" s="23"/>
      <c r="BT179" s="23"/>
      <c r="BU179" s="23"/>
      <c r="BV179" s="11"/>
      <c r="BW179" s="23"/>
      <c r="BX179" s="23"/>
      <c r="BY179" s="23"/>
      <c r="BZ179" s="11"/>
      <c r="CA179" s="3"/>
      <c r="CB179" s="3"/>
      <c r="CC179" s="3"/>
      <c r="CD179" s="3"/>
      <c r="CE179" s="3"/>
      <c r="CF179" s="3"/>
      <c r="CG179" s="3"/>
      <c r="CH179" s="3"/>
      <c r="CI179" s="3"/>
      <c r="CJ179" s="3"/>
      <c r="CK179" s="3"/>
      <c r="CL179" s="3"/>
      <c r="CM179" s="3"/>
      <c r="CN179" s="3"/>
      <c r="CO179" s="3"/>
      <c r="CP179" s="3"/>
      <c r="CQ179" s="3"/>
      <c r="CR179" s="3"/>
      <c r="CS179" s="3"/>
      <c r="CT179" s="3"/>
    </row>
    <row r="180" spans="1:98" x14ac:dyDescent="0.2">
      <c r="A180" s="109"/>
      <c r="B180" s="145"/>
      <c r="C180" s="25"/>
      <c r="D180" s="25"/>
      <c r="E180" s="25"/>
      <c r="F180" s="13"/>
      <c r="G180" s="25"/>
      <c r="H180" s="25"/>
      <c r="I180" s="25"/>
      <c r="J180" s="13"/>
      <c r="K180" s="25"/>
      <c r="L180" s="25"/>
      <c r="M180" s="25"/>
      <c r="N180" s="13"/>
      <c r="O180" s="25"/>
      <c r="P180" s="25"/>
      <c r="Q180" s="25"/>
      <c r="R180" s="13"/>
      <c r="S180" s="25"/>
      <c r="T180" s="25"/>
      <c r="U180" s="25"/>
      <c r="V180" s="13"/>
      <c r="W180" s="25"/>
      <c r="X180" s="25"/>
      <c r="Y180" s="25"/>
      <c r="Z180" s="13"/>
      <c r="AA180" s="25"/>
      <c r="AB180" s="25"/>
      <c r="AC180" s="25"/>
      <c r="AD180" s="13"/>
      <c r="AE180" s="25"/>
      <c r="AF180" s="25"/>
      <c r="AG180" s="25"/>
      <c r="AH180" s="13"/>
      <c r="AI180" s="25"/>
      <c r="AJ180" s="25"/>
      <c r="AK180" s="25"/>
      <c r="AL180" s="13"/>
      <c r="AM180" s="25"/>
      <c r="AN180" s="25"/>
      <c r="AO180" s="25"/>
      <c r="AP180" s="13"/>
      <c r="AQ180" s="25"/>
      <c r="AR180" s="25"/>
      <c r="AS180" s="25"/>
      <c r="AT180" s="13"/>
      <c r="AU180" s="25"/>
      <c r="AV180" s="25"/>
      <c r="AW180" s="25"/>
      <c r="AX180" s="13"/>
      <c r="AY180" s="17"/>
      <c r="AZ180" s="25"/>
      <c r="BA180" s="25"/>
      <c r="BB180" s="13"/>
      <c r="BC180" s="25"/>
      <c r="BD180" s="25"/>
      <c r="BE180" s="25"/>
      <c r="BF180" s="13"/>
      <c r="BG180" s="25"/>
      <c r="BH180" s="25"/>
      <c r="BI180" s="25"/>
      <c r="BJ180" s="13"/>
      <c r="BK180" s="25"/>
      <c r="BL180" s="25"/>
      <c r="BM180" s="25"/>
      <c r="BN180" s="13"/>
      <c r="BO180" s="25"/>
      <c r="BP180" s="25"/>
      <c r="BQ180" s="25"/>
      <c r="BR180" s="13"/>
      <c r="BS180" s="25"/>
      <c r="BT180" s="25"/>
      <c r="BU180" s="25"/>
      <c r="BV180" s="13"/>
      <c r="BW180" s="25"/>
      <c r="BX180" s="25"/>
      <c r="BY180" s="25"/>
      <c r="BZ180" s="13"/>
      <c r="CA180" s="3"/>
      <c r="CB180" s="3"/>
      <c r="CC180" s="3"/>
      <c r="CD180" s="3"/>
      <c r="CE180" s="3"/>
      <c r="CF180" s="3"/>
      <c r="CG180" s="3"/>
      <c r="CH180" s="3"/>
      <c r="CI180" s="3"/>
      <c r="CJ180" s="3"/>
      <c r="CK180" s="3"/>
      <c r="CL180" s="3"/>
      <c r="CM180" s="3"/>
      <c r="CN180" s="3"/>
      <c r="CO180" s="3"/>
      <c r="CP180" s="3"/>
      <c r="CQ180" s="3"/>
      <c r="CR180" s="3"/>
      <c r="CS180" s="3"/>
      <c r="CT180" s="3"/>
    </row>
    <row r="181" spans="1:98" x14ac:dyDescent="0.2">
      <c r="C181" s="1">
        <f>D27</f>
        <v>0</v>
      </c>
      <c r="D181" s="1">
        <v>0</v>
      </c>
      <c r="G181" s="1">
        <f>H27</f>
        <v>0</v>
      </c>
      <c r="H181" s="1">
        <v>0</v>
      </c>
      <c r="K181" s="1">
        <f>L27</f>
        <v>0</v>
      </c>
      <c r="L181" s="1">
        <v>0</v>
      </c>
      <c r="O181" s="1">
        <f>P27</f>
        <v>0</v>
      </c>
      <c r="P181" s="1">
        <v>0</v>
      </c>
      <c r="S181" s="1">
        <f>T27</f>
        <v>0</v>
      </c>
      <c r="T181" s="1">
        <v>0</v>
      </c>
      <c r="W181" s="1">
        <f>X27</f>
        <v>0</v>
      </c>
      <c r="X181" s="1">
        <v>0</v>
      </c>
      <c r="AA181" s="1">
        <f>AB27</f>
        <v>0</v>
      </c>
      <c r="AB181" s="1">
        <v>0</v>
      </c>
      <c r="AE181" s="1">
        <f>AF27</f>
        <v>0</v>
      </c>
      <c r="AF181" s="1">
        <v>0</v>
      </c>
      <c r="AI181" s="1">
        <f>AJ27</f>
        <v>0</v>
      </c>
      <c r="AJ181" s="1">
        <v>0</v>
      </c>
      <c r="AM181" s="1">
        <f>AN27</f>
        <v>0</v>
      </c>
      <c r="AN181" s="1">
        <v>0</v>
      </c>
      <c r="AQ181" s="1">
        <f>AR27</f>
        <v>0</v>
      </c>
      <c r="AR181" s="1">
        <v>0</v>
      </c>
      <c r="AU181" s="1">
        <f>AV27</f>
        <v>0</v>
      </c>
      <c r="AV181" s="1">
        <v>0</v>
      </c>
    </row>
    <row r="182" spans="1:98" x14ac:dyDescent="0.2">
      <c r="C182" s="1">
        <f>C27</f>
        <v>0</v>
      </c>
      <c r="D182" s="1">
        <v>0</v>
      </c>
      <c r="G182" s="1">
        <f>G27</f>
        <v>0</v>
      </c>
      <c r="H182" s="1">
        <v>0</v>
      </c>
      <c r="K182" s="1">
        <f>K27</f>
        <v>0</v>
      </c>
      <c r="L182" s="1">
        <v>0</v>
      </c>
      <c r="O182" s="1">
        <f>O27</f>
        <v>0</v>
      </c>
      <c r="P182" s="1">
        <v>0</v>
      </c>
      <c r="S182" s="1">
        <f>S27</f>
        <v>0</v>
      </c>
      <c r="T182" s="1">
        <v>0</v>
      </c>
      <c r="W182" s="1">
        <f>W27</f>
        <v>0</v>
      </c>
      <c r="X182" s="1">
        <v>0</v>
      </c>
      <c r="AA182" s="1">
        <f>AA27</f>
        <v>0</v>
      </c>
      <c r="AB182" s="1">
        <v>0</v>
      </c>
      <c r="AE182" s="1">
        <f>AE27</f>
        <v>0</v>
      </c>
      <c r="AF182" s="1">
        <v>0</v>
      </c>
      <c r="AI182" s="1">
        <f>AI27</f>
        <v>0</v>
      </c>
      <c r="AJ182" s="1">
        <v>0</v>
      </c>
      <c r="AM182" s="1">
        <f>AM27</f>
        <v>0</v>
      </c>
      <c r="AN182" s="1">
        <v>0</v>
      </c>
      <c r="AQ182" s="1">
        <f>AQ27</f>
        <v>0</v>
      </c>
      <c r="AR182" s="1">
        <v>0</v>
      </c>
      <c r="AU182" s="1">
        <f>AU27</f>
        <v>0</v>
      </c>
      <c r="AV182" s="1">
        <v>0</v>
      </c>
    </row>
  </sheetData>
  <phoneticPr fontId="0" type="noConversion"/>
  <pageMargins left="0.75" right="0.75" top="1" bottom="1" header="0.5" footer="0.5"/>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61"/>
  <sheetViews>
    <sheetView workbookViewId="0"/>
  </sheetViews>
  <sheetFormatPr defaultColWidth="9.140625" defaultRowHeight="12.75" x14ac:dyDescent="0.2"/>
  <cols>
    <col min="1" max="1" width="15.7109375" style="2" customWidth="1"/>
    <col min="2" max="2" width="27" style="2" customWidth="1"/>
    <col min="3" max="16384" width="9.140625" style="2"/>
  </cols>
  <sheetData>
    <row r="1" spans="1:27" x14ac:dyDescent="0.2">
      <c r="A1" s="196">
        <f ca="1">NOW()</f>
        <v>44631.687362268516</v>
      </c>
      <c r="B1" s="1"/>
      <c r="C1" s="1"/>
      <c r="D1" s="1"/>
      <c r="E1" s="1"/>
      <c r="F1" s="1"/>
      <c r="G1" s="1"/>
      <c r="H1" s="1"/>
      <c r="I1" s="1"/>
      <c r="J1" s="1"/>
      <c r="K1" s="1"/>
      <c r="L1" s="1"/>
      <c r="M1" s="1"/>
      <c r="N1" s="1"/>
    </row>
    <row r="2" spans="1:27" ht="15.75" x14ac:dyDescent="0.25">
      <c r="A2" s="1"/>
      <c r="B2" s="1"/>
      <c r="C2" s="1"/>
      <c r="D2" s="147"/>
      <c r="E2" s="148" t="s">
        <v>20</v>
      </c>
      <c r="F2" s="149"/>
      <c r="G2" s="149"/>
      <c r="H2" s="149"/>
      <c r="I2" s="149"/>
      <c r="J2" s="149"/>
      <c r="K2" s="149"/>
      <c r="L2" s="150"/>
      <c r="M2" s="1"/>
      <c r="N2" s="1"/>
    </row>
    <row r="3" spans="1:27" x14ac:dyDescent="0.2">
      <c r="A3" s="1"/>
      <c r="B3" s="1" t="b">
        <v>1</v>
      </c>
      <c r="C3" s="1"/>
      <c r="D3" s="145"/>
      <c r="E3" s="151" t="s">
        <v>21</v>
      </c>
      <c r="F3" s="152" t="s">
        <v>92</v>
      </c>
      <c r="G3" s="153"/>
      <c r="H3" s="153"/>
      <c r="I3" s="153"/>
      <c r="J3" s="153"/>
      <c r="K3" s="153"/>
      <c r="L3" s="154"/>
      <c r="M3" s="1"/>
      <c r="N3" s="1"/>
    </row>
    <row r="4" spans="1:27" x14ac:dyDescent="0.2">
      <c r="A4" s="1"/>
      <c r="B4" s="1" t="b">
        <v>0</v>
      </c>
      <c r="C4" s="1"/>
      <c r="D4" s="1"/>
      <c r="E4" s="1"/>
      <c r="F4" s="1"/>
      <c r="G4" s="1"/>
      <c r="H4" s="1"/>
      <c r="I4" s="1"/>
      <c r="J4" s="1"/>
      <c r="K4" s="1"/>
      <c r="L4" s="1"/>
      <c r="M4" s="1"/>
      <c r="N4" s="1"/>
    </row>
    <row r="5" spans="1:27" x14ac:dyDescent="0.2">
      <c r="A5" s="1"/>
      <c r="B5" s="3" t="b">
        <v>0</v>
      </c>
      <c r="C5" s="3"/>
      <c r="D5" s="3"/>
      <c r="E5" s="3"/>
      <c r="F5" s="3"/>
      <c r="G5" s="3"/>
      <c r="H5" s="3"/>
      <c r="I5" s="3"/>
      <c r="J5" s="3"/>
      <c r="K5" s="3"/>
      <c r="L5" s="3"/>
      <c r="M5" s="3"/>
      <c r="N5" s="3"/>
      <c r="O5" s="4"/>
      <c r="P5" s="4"/>
      <c r="Q5" s="4"/>
      <c r="R5" s="4"/>
      <c r="S5" s="4"/>
      <c r="T5" s="4"/>
      <c r="U5" s="4"/>
      <c r="V5" s="4"/>
      <c r="W5" s="4"/>
      <c r="X5" s="4"/>
      <c r="Y5" s="4"/>
      <c r="Z5" s="4"/>
      <c r="AA5" s="4"/>
    </row>
    <row r="6" spans="1:27" s="4" customFormat="1" x14ac:dyDescent="0.2">
      <c r="A6" s="3"/>
      <c r="B6" s="3" t="b">
        <v>1</v>
      </c>
      <c r="C6" s="3"/>
      <c r="D6" s="3"/>
      <c r="E6" s="3"/>
      <c r="F6" s="3"/>
      <c r="G6" s="3"/>
      <c r="H6" s="3"/>
      <c r="I6" s="3"/>
      <c r="J6" s="3"/>
      <c r="K6" s="3"/>
      <c r="L6" s="3"/>
      <c r="M6" s="3"/>
      <c r="N6" s="3"/>
    </row>
    <row r="7" spans="1:27" ht="13.5" thickBot="1" x14ac:dyDescent="0.25">
      <c r="A7" s="3"/>
      <c r="B7" s="3"/>
      <c r="C7" s="306" t="s">
        <v>227</v>
      </c>
      <c r="D7" s="307"/>
      <c r="E7" s="307"/>
      <c r="F7" s="308"/>
      <c r="G7" s="307"/>
      <c r="H7" s="307"/>
      <c r="I7" s="3"/>
      <c r="J7" s="3"/>
      <c r="K7" s="3"/>
      <c r="L7" s="3"/>
      <c r="M7" s="3"/>
      <c r="N7" s="3"/>
      <c r="O7" s="4"/>
      <c r="P7" s="4"/>
      <c r="Q7" s="4"/>
      <c r="R7" s="4"/>
      <c r="S7" s="4"/>
      <c r="T7" s="4"/>
      <c r="U7" s="4"/>
      <c r="V7" s="4"/>
      <c r="W7" s="4"/>
      <c r="X7" s="4"/>
      <c r="Y7" s="4"/>
      <c r="Z7" s="4"/>
      <c r="AA7" s="4"/>
    </row>
    <row r="8" spans="1:27" x14ac:dyDescent="0.2">
      <c r="A8" s="71" t="s">
        <v>22</v>
      </c>
      <c r="B8" s="33" t="s">
        <v>0</v>
      </c>
      <c r="C8" s="316">
        <v>1</v>
      </c>
      <c r="D8" s="28">
        <v>2</v>
      </c>
      <c r="E8" s="28">
        <v>3</v>
      </c>
      <c r="F8" s="28">
        <v>4</v>
      </c>
      <c r="G8" s="28">
        <v>5</v>
      </c>
      <c r="H8" s="28">
        <v>6</v>
      </c>
      <c r="I8" s="28">
        <v>7</v>
      </c>
      <c r="J8" s="28">
        <v>8</v>
      </c>
      <c r="K8" s="28">
        <v>9</v>
      </c>
      <c r="L8" s="28">
        <v>10</v>
      </c>
      <c r="M8" s="28">
        <v>11</v>
      </c>
      <c r="N8" s="28">
        <v>12</v>
      </c>
      <c r="O8" s="28">
        <v>13</v>
      </c>
      <c r="P8" s="28">
        <v>14</v>
      </c>
      <c r="Q8" s="28">
        <v>15</v>
      </c>
      <c r="R8" s="28">
        <v>16</v>
      </c>
      <c r="S8" s="28">
        <v>17</v>
      </c>
      <c r="T8" s="28">
        <v>18</v>
      </c>
      <c r="U8" s="28">
        <v>19</v>
      </c>
      <c r="V8" s="28">
        <v>20</v>
      </c>
      <c r="W8" s="28">
        <v>21</v>
      </c>
      <c r="X8" s="28">
        <v>22</v>
      </c>
      <c r="Y8" s="28">
        <v>23</v>
      </c>
      <c r="Z8" s="28">
        <v>24</v>
      </c>
      <c r="AA8" s="28">
        <v>25</v>
      </c>
    </row>
    <row r="9" spans="1:27" x14ac:dyDescent="0.2">
      <c r="A9" s="72" t="s">
        <v>23</v>
      </c>
      <c r="B9" s="34" t="s">
        <v>178</v>
      </c>
      <c r="C9" s="30" t="str">
        <f>IF(+RWDI_FACTORS!H12="","",+RWDI_FACTORS!H12)</f>
        <v>Water</v>
      </c>
      <c r="D9" s="30" t="str">
        <f>IF(+RWDI_FACTORS!I12="","",+RWDI_FACTORS!I12)</f>
        <v>OPEN</v>
      </c>
      <c r="E9" s="30" t="str">
        <f>IF(+RWDI_FACTORS!J12="","",+RWDI_FACTORS!J12)</f>
        <v>open/sub</v>
      </c>
      <c r="F9" s="30" t="str">
        <f>IF(+RWDI_FACTORS!K12="","",+RWDI_FACTORS!K12)</f>
        <v>suburban</v>
      </c>
      <c r="G9" s="30" t="str">
        <f>IF(+RWDI_FACTORS!L12="","",+RWDI_FACTORS!L12)</f>
        <v>urban</v>
      </c>
      <c r="H9" s="30" t="str">
        <f>IF(+RWDI_FACTORS!M12="","",+RWDI_FACTORS!M12)</f>
        <v>10-30</v>
      </c>
      <c r="I9" s="30" t="str">
        <f>IF(+RWDI_FACTORS!N12="","",+RWDI_FACTORS!N12)</f>
        <v>40-60</v>
      </c>
      <c r="J9" s="30" t="str">
        <f>IF(+RWDI_FACTORS!O12="","",+RWDI_FACTORS!O12)</f>
        <v>70-90</v>
      </c>
      <c r="K9" s="30" t="str">
        <f>IF(+RWDI_FACTORS!P12="","",+RWDI_FACTORS!P12)</f>
        <v>100-120</v>
      </c>
      <c r="L9" s="30" t="str">
        <f>IF(+RWDI_FACTORS!Q12="","",+RWDI_FACTORS!Q12)</f>
        <v>130-150</v>
      </c>
      <c r="M9" s="30" t="str">
        <f>IF(+RWDI_FACTORS!R12="","",+RWDI_FACTORS!R12)</f>
        <v>160-180.</v>
      </c>
      <c r="N9" s="30" t="str">
        <f>IF(+RWDI_FACTORS!S12="","",+RWDI_FACTORS!S12)</f>
        <v>190-210</v>
      </c>
      <c r="O9" s="30" t="str">
        <f>IF(+RWDI_FACTORS!T12="","",+RWDI_FACTORS!T12)</f>
        <v>220-240</v>
      </c>
      <c r="P9" s="30" t="str">
        <f>IF(+RWDI_FACTORS!U12="","",+RWDI_FACTORS!U12)</f>
        <v>250-270</v>
      </c>
      <c r="Q9" s="30" t="str">
        <f>IF(+RWDI_FACTORS!V12="","",+RWDI_FACTORS!V12)</f>
        <v>280-300</v>
      </c>
      <c r="R9" s="30" t="str">
        <f>IF(+RWDI_FACTORS!W12="","",+RWDI_FACTORS!W12)</f>
        <v>310-330</v>
      </c>
      <c r="S9" s="30" t="str">
        <f>IF(+RWDI_FACTORS!X12="","",+RWDI_FACTORS!X12)</f>
        <v>340-360</v>
      </c>
      <c r="T9" s="30" t="str">
        <f>IF(+RWDI_FACTORS!Y12="","",+RWDI_FACTORS!Y12)</f>
        <v/>
      </c>
      <c r="U9" s="30" t="str">
        <f>IF(+RWDI_FACTORS!Z12="","",+RWDI_FACTORS!Z12)</f>
        <v/>
      </c>
      <c r="V9" s="30" t="str">
        <f>IF(+RWDI_FACTORS!AA12="","",+RWDI_FACTORS!AA12)</f>
        <v/>
      </c>
      <c r="W9" s="30" t="str">
        <f>IF(+RWDI_FACTORS!AB12="","",+RWDI_FACTORS!AB12)</f>
        <v/>
      </c>
      <c r="X9" s="30" t="str">
        <f>IF(+RWDI_FACTORS!AC12="","",+RWDI_FACTORS!AC12)</f>
        <v/>
      </c>
      <c r="Y9" s="30" t="str">
        <f>IF(+RWDI_FACTORS!AD12="","",+RWDI_FACTORS!AD12)</f>
        <v/>
      </c>
      <c r="Z9" s="30" t="str">
        <f>IF(+RWDI_FACTORS!AE12="","",+RWDI_FACTORS!AE12)</f>
        <v/>
      </c>
      <c r="AA9" s="30" t="str">
        <f>IF(+RWDI_FACTORS!AF12="","",+RWDI_FACTORS!AF12)</f>
        <v/>
      </c>
    </row>
    <row r="10" spans="1:27" ht="13.5" thickBot="1" x14ac:dyDescent="0.25">
      <c r="A10" s="73" t="s">
        <v>24</v>
      </c>
      <c r="B10" s="40" t="s">
        <v>1</v>
      </c>
      <c r="C10" s="317" t="s">
        <v>25</v>
      </c>
      <c r="D10" s="32">
        <v>1</v>
      </c>
      <c r="E10" s="32" t="s">
        <v>26</v>
      </c>
      <c r="F10" s="372">
        <f>RWDI_FACTORS!AC13</f>
        <v>17</v>
      </c>
      <c r="G10" s="35"/>
      <c r="H10" s="35"/>
      <c r="I10" s="35"/>
      <c r="J10" s="35"/>
      <c r="K10" s="35"/>
      <c r="L10" s="35"/>
      <c r="M10" s="35"/>
      <c r="N10" s="35"/>
      <c r="O10" s="35"/>
      <c r="P10" s="35"/>
      <c r="Q10" s="35"/>
      <c r="R10" s="35"/>
      <c r="S10" s="35"/>
      <c r="T10" s="35"/>
      <c r="U10" s="35"/>
      <c r="V10" s="35"/>
      <c r="W10" s="35"/>
      <c r="X10" s="35"/>
      <c r="Y10" s="35"/>
      <c r="Z10" s="35"/>
      <c r="AA10" s="29"/>
    </row>
    <row r="11" spans="1:27" x14ac:dyDescent="0.2">
      <c r="A11" s="424">
        <v>10</v>
      </c>
      <c r="B11" s="9" t="s">
        <v>27</v>
      </c>
      <c r="C11" s="302">
        <v>3</v>
      </c>
      <c r="D11" s="8">
        <v>3</v>
      </c>
      <c r="E11" s="8">
        <v>3</v>
      </c>
      <c r="F11" s="10">
        <v>3</v>
      </c>
      <c r="G11" s="11">
        <v>3</v>
      </c>
      <c r="H11" s="11">
        <v>3</v>
      </c>
      <c r="I11" s="11">
        <v>3</v>
      </c>
      <c r="J11" s="10">
        <v>3</v>
      </c>
      <c r="K11" s="11">
        <v>3</v>
      </c>
      <c r="L11" s="10">
        <v>3</v>
      </c>
      <c r="M11" s="10">
        <v>3</v>
      </c>
      <c r="N11" s="11">
        <v>3</v>
      </c>
      <c r="O11" s="11">
        <v>3</v>
      </c>
      <c r="P11" s="11">
        <v>3</v>
      </c>
      <c r="Q11" s="11">
        <v>3</v>
      </c>
      <c r="R11" s="11">
        <v>3</v>
      </c>
      <c r="S11" s="11">
        <v>3</v>
      </c>
      <c r="T11" s="11">
        <v>3</v>
      </c>
      <c r="U11" s="11">
        <v>3</v>
      </c>
      <c r="V11" s="11">
        <v>3</v>
      </c>
      <c r="W11" s="11">
        <v>3</v>
      </c>
      <c r="X11" s="11">
        <v>3</v>
      </c>
      <c r="Y11" s="11">
        <v>3</v>
      </c>
      <c r="Z11" s="11">
        <v>3</v>
      </c>
      <c r="AA11" s="11">
        <v>3</v>
      </c>
    </row>
    <row r="12" spans="1:27" x14ac:dyDescent="0.2">
      <c r="A12" s="424">
        <v>30</v>
      </c>
      <c r="B12" s="11" t="s">
        <v>28</v>
      </c>
      <c r="C12" s="303"/>
      <c r="D12" s="10"/>
      <c r="E12" s="10"/>
      <c r="F12" s="10"/>
      <c r="G12" s="11"/>
      <c r="H12" s="11"/>
      <c r="I12" s="11"/>
      <c r="J12" s="10"/>
      <c r="K12" s="11"/>
      <c r="L12" s="10"/>
      <c r="M12" s="10"/>
      <c r="N12" s="11"/>
      <c r="O12" s="11"/>
      <c r="P12" s="11"/>
      <c r="Q12" s="10"/>
      <c r="R12" s="10"/>
      <c r="S12" s="10"/>
      <c r="T12" s="11"/>
      <c r="U12" s="10"/>
      <c r="V12" s="10"/>
      <c r="W12" s="10"/>
      <c r="X12" s="11"/>
      <c r="Y12" s="10"/>
      <c r="Z12" s="10"/>
      <c r="AA12" s="10"/>
    </row>
    <row r="13" spans="1:27" x14ac:dyDescent="0.2">
      <c r="A13" s="424">
        <v>50</v>
      </c>
      <c r="B13" s="23" t="s">
        <v>91</v>
      </c>
      <c r="C13" s="74" t="b">
        <v>0</v>
      </c>
      <c r="D13" s="75" t="b">
        <v>0</v>
      </c>
      <c r="E13" s="75" t="b">
        <v>0</v>
      </c>
      <c r="F13" s="75" t="b">
        <v>0</v>
      </c>
      <c r="G13" s="74" t="b">
        <v>0</v>
      </c>
      <c r="H13" s="75" t="b">
        <v>0</v>
      </c>
      <c r="I13" s="75" t="b">
        <v>0</v>
      </c>
      <c r="J13" s="75" t="b">
        <v>0</v>
      </c>
      <c r="K13" s="75" t="b">
        <v>0</v>
      </c>
      <c r="L13" s="75" t="b">
        <v>0</v>
      </c>
      <c r="M13" s="75" t="b">
        <v>0</v>
      </c>
      <c r="N13" s="75" t="b">
        <v>0</v>
      </c>
      <c r="O13" s="75" t="b">
        <v>0</v>
      </c>
      <c r="P13" s="75" t="b">
        <v>0</v>
      </c>
      <c r="Q13" s="75" t="b">
        <v>0</v>
      </c>
      <c r="R13" s="75" t="b">
        <v>0</v>
      </c>
      <c r="S13" s="75" t="b">
        <v>0</v>
      </c>
      <c r="T13" s="75" t="b">
        <v>0</v>
      </c>
      <c r="U13" s="75" t="b">
        <v>0</v>
      </c>
      <c r="V13" s="75" t="b">
        <v>0</v>
      </c>
      <c r="W13" s="75" t="b">
        <v>0</v>
      </c>
      <c r="X13" s="75" t="b">
        <v>0</v>
      </c>
      <c r="Y13" s="75" t="b">
        <v>0</v>
      </c>
      <c r="Z13" s="75" t="b">
        <v>0</v>
      </c>
      <c r="AA13" s="75" t="b">
        <v>0</v>
      </c>
    </row>
    <row r="14" spans="1:27" ht="12.95" customHeight="1" x14ac:dyDescent="0.2">
      <c r="A14" s="424">
        <v>100</v>
      </c>
      <c r="B14" s="110"/>
      <c r="C14" s="94"/>
      <c r="D14" s="94"/>
      <c r="E14" s="94"/>
      <c r="F14" s="94"/>
      <c r="G14" s="94"/>
      <c r="H14" s="94"/>
      <c r="I14" s="20"/>
      <c r="J14" s="61"/>
      <c r="K14" s="13"/>
      <c r="L14" s="12"/>
      <c r="M14" s="12"/>
      <c r="N14" s="12"/>
      <c r="O14" s="12"/>
      <c r="P14" s="12"/>
      <c r="Q14" s="12"/>
      <c r="R14" s="12"/>
      <c r="S14" s="12"/>
      <c r="T14" s="13"/>
      <c r="U14" s="12"/>
      <c r="V14" s="12"/>
      <c r="W14" s="12"/>
      <c r="X14" s="13"/>
      <c r="Y14" s="12"/>
      <c r="Z14" s="12"/>
      <c r="AA14" s="12"/>
    </row>
    <row r="15" spans="1:27" x14ac:dyDescent="0.2">
      <c r="A15" s="424">
        <v>150</v>
      </c>
      <c r="B15" s="3"/>
      <c r="C15" s="3"/>
      <c r="D15" s="3"/>
      <c r="E15" s="3"/>
      <c r="F15" s="3"/>
      <c r="G15" s="3"/>
      <c r="H15" s="3"/>
      <c r="I15" s="3"/>
      <c r="J15" s="3"/>
      <c r="K15" s="3"/>
      <c r="L15" s="3"/>
      <c r="M15" s="3"/>
      <c r="N15" s="3"/>
      <c r="O15" s="3"/>
      <c r="P15" s="4"/>
      <c r="Q15" s="4"/>
      <c r="R15" s="4"/>
      <c r="S15" s="4"/>
      <c r="T15" s="4"/>
      <c r="U15" s="4"/>
      <c r="V15" s="4"/>
      <c r="W15" s="4"/>
      <c r="X15" s="4"/>
      <c r="Y15" s="4"/>
      <c r="Z15" s="4"/>
      <c r="AA15" s="4"/>
    </row>
    <row r="16" spans="1:27" x14ac:dyDescent="0.2">
      <c r="A16" s="424">
        <v>200</v>
      </c>
      <c r="B16" s="3">
        <v>0.1</v>
      </c>
      <c r="C16" s="3"/>
      <c r="D16" s="273">
        <v>0.21580111293296841</v>
      </c>
      <c r="E16" s="3"/>
      <c r="F16" s="3"/>
      <c r="G16" s="3"/>
      <c r="H16" s="3"/>
      <c r="I16" s="3"/>
      <c r="J16" s="3"/>
      <c r="K16" s="3"/>
      <c r="L16" s="3"/>
      <c r="M16" s="3"/>
      <c r="N16" s="3"/>
      <c r="O16" s="3"/>
      <c r="P16" s="4"/>
      <c r="Q16" s="4"/>
      <c r="R16" s="4"/>
      <c r="S16" s="4"/>
      <c r="T16" s="4"/>
      <c r="U16" s="4"/>
      <c r="V16" s="4"/>
      <c r="W16" s="4"/>
      <c r="X16" s="4"/>
      <c r="Y16" s="4"/>
      <c r="Z16" s="4"/>
      <c r="AA16" s="4"/>
    </row>
    <row r="17" spans="1:27" x14ac:dyDescent="0.2">
      <c r="A17" s="424">
        <v>300</v>
      </c>
      <c r="B17" s="3">
        <v>1</v>
      </c>
      <c r="C17" s="3"/>
      <c r="D17" s="273">
        <v>5.9825112273130227E-2</v>
      </c>
      <c r="E17" s="3"/>
      <c r="F17" s="3"/>
      <c r="G17" s="3"/>
      <c r="H17" s="3"/>
      <c r="I17" s="3"/>
      <c r="J17" s="3"/>
      <c r="K17" s="3"/>
      <c r="L17" s="3"/>
      <c r="M17" s="3"/>
      <c r="N17" s="3"/>
      <c r="O17" s="3"/>
      <c r="P17" s="4"/>
      <c r="Q17" s="4"/>
      <c r="R17" s="4"/>
      <c r="S17" s="4"/>
      <c r="T17" s="4"/>
      <c r="U17" s="4"/>
      <c r="V17" s="4"/>
      <c r="W17" s="4"/>
      <c r="X17" s="4"/>
      <c r="Y17" s="4"/>
      <c r="Z17" s="4"/>
      <c r="AA17" s="4"/>
    </row>
    <row r="18" spans="1:27" x14ac:dyDescent="0.2">
      <c r="A18" s="424">
        <v>400</v>
      </c>
      <c r="B18" s="3"/>
      <c r="C18" s="3"/>
      <c r="D18" s="3"/>
      <c r="E18" s="3"/>
      <c r="F18" s="3"/>
      <c r="G18" s="3"/>
      <c r="H18" s="3"/>
      <c r="I18" s="3"/>
      <c r="J18" s="3"/>
      <c r="K18" s="3"/>
      <c r="L18" s="3"/>
      <c r="M18" s="3"/>
      <c r="N18" s="3"/>
      <c r="O18" s="3"/>
      <c r="P18" s="4"/>
      <c r="Q18" s="4"/>
      <c r="R18" s="4"/>
      <c r="S18" s="4"/>
      <c r="T18" s="4"/>
      <c r="U18" s="4"/>
      <c r="V18" s="4"/>
      <c r="W18" s="4"/>
      <c r="X18" s="4"/>
      <c r="Y18" s="4"/>
      <c r="Z18" s="4"/>
      <c r="AA18" s="4"/>
    </row>
    <row r="19" spans="1:27" x14ac:dyDescent="0.2">
      <c r="A19" s="424">
        <v>600</v>
      </c>
      <c r="B19" s="3"/>
      <c r="C19" s="3">
        <v>30</v>
      </c>
      <c r="D19" s="3"/>
      <c r="E19" s="3"/>
      <c r="F19" s="3"/>
      <c r="G19" s="3"/>
      <c r="H19" s="3"/>
      <c r="I19" s="3"/>
      <c r="J19" s="3"/>
      <c r="K19" s="3"/>
      <c r="L19" s="3"/>
      <c r="M19" s="3"/>
      <c r="N19" s="3"/>
      <c r="O19" s="3"/>
      <c r="P19" s="4"/>
      <c r="Q19" s="4"/>
      <c r="R19" s="4"/>
      <c r="S19" s="4"/>
      <c r="T19" s="4"/>
      <c r="U19" s="4"/>
      <c r="V19" s="4"/>
      <c r="W19" s="4"/>
      <c r="X19" s="4"/>
      <c r="Y19" s="4"/>
      <c r="Z19" s="4"/>
      <c r="AA19" s="4"/>
    </row>
    <row r="20" spans="1:27" x14ac:dyDescent="0.2">
      <c r="A20" s="424">
        <v>1000</v>
      </c>
      <c r="B20" s="3"/>
      <c r="C20" s="5"/>
      <c r="D20" s="5"/>
      <c r="E20" s="5"/>
      <c r="F20" s="5"/>
      <c r="G20" s="5"/>
      <c r="H20" s="5"/>
      <c r="I20" s="5"/>
      <c r="J20" s="5"/>
      <c r="K20" s="5"/>
      <c r="L20" s="5"/>
      <c r="M20" s="5"/>
      <c r="N20" s="5"/>
      <c r="O20" s="5"/>
      <c r="P20" s="6"/>
      <c r="Q20" s="6"/>
      <c r="R20" s="6"/>
      <c r="S20" s="6"/>
      <c r="T20" s="6"/>
      <c r="U20" s="6"/>
      <c r="V20" s="6"/>
      <c r="W20" s="6"/>
      <c r="X20" s="6"/>
      <c r="Y20" s="6"/>
      <c r="Z20" s="6"/>
      <c r="AA20" s="6"/>
    </row>
    <row r="21" spans="1:27" x14ac:dyDescent="0.2">
      <c r="A21" s="424">
        <v>2000</v>
      </c>
      <c r="B21" s="9" t="s">
        <v>29</v>
      </c>
      <c r="C21" s="426">
        <v>0</v>
      </c>
      <c r="D21" s="426">
        <f>RWDI_FACTORS!I13</f>
        <v>0</v>
      </c>
      <c r="E21" s="426">
        <f>RWDI_FACTORS!J13</f>
        <v>0</v>
      </c>
      <c r="F21" s="426">
        <f>RWDI_FACTORS!K13</f>
        <v>1</v>
      </c>
      <c r="G21" s="426">
        <f>RWDI_FACTORS!L13</f>
        <v>2</v>
      </c>
      <c r="H21" s="371">
        <f>RWDI_FACTORS!M13</f>
        <v>0</v>
      </c>
      <c r="I21" s="371">
        <f>RWDI_FACTORS!N13</f>
        <v>0</v>
      </c>
      <c r="J21" s="371">
        <f>RWDI_FACTORS!O13</f>
        <v>0</v>
      </c>
      <c r="K21" s="371">
        <f>RWDI_FACTORS!P13</f>
        <v>1</v>
      </c>
      <c r="L21" s="371">
        <f>RWDI_FACTORS!Q13</f>
        <v>2</v>
      </c>
      <c r="M21" s="371">
        <f>RWDI_FACTORS!R13</f>
        <v>0</v>
      </c>
      <c r="N21" s="371">
        <f>RWDI_FACTORS!S13</f>
        <v>0</v>
      </c>
      <c r="O21" s="371">
        <f>RWDI_FACTORS!T13</f>
        <v>0</v>
      </c>
      <c r="P21" s="371">
        <f>RWDI_FACTORS!U13</f>
        <v>1</v>
      </c>
      <c r="Q21" s="371">
        <f>RWDI_FACTORS!V13</f>
        <v>2</v>
      </c>
      <c r="R21" s="371">
        <f>RWDI_FACTORS!W13</f>
        <v>2</v>
      </c>
      <c r="S21" s="371">
        <f>RWDI_FACTORS!X13</f>
        <v>1</v>
      </c>
      <c r="T21" s="371" t="str">
        <f>RWDI_FACTORS!Y13</f>
        <v/>
      </c>
      <c r="U21" s="371" t="str">
        <f>RWDI_FACTORS!Z13</f>
        <v/>
      </c>
      <c r="V21" s="371" t="str">
        <f>RWDI_FACTORS!AA13</f>
        <v/>
      </c>
      <c r="W21" s="371" t="str">
        <f>RWDI_FACTORS!AB13</f>
        <v/>
      </c>
      <c r="X21" s="371">
        <f>RWDI_FACTORS!AC13</f>
        <v>17</v>
      </c>
      <c r="Y21" s="371">
        <f>RWDI_FACTORS!AD13</f>
        <v>0</v>
      </c>
      <c r="Z21" s="371">
        <f>RWDI_FACTORS!AE13</f>
        <v>0</v>
      </c>
      <c r="AA21" s="371">
        <f>RWDI_FACTORS!AF13</f>
        <v>0</v>
      </c>
    </row>
    <row r="22" spans="1:27" ht="15.75" x14ac:dyDescent="0.3">
      <c r="A22" s="369">
        <f>IF(RWDI_FACTORS!E8="inches",RWDI_FACTORS!D8/12/3.281*RWDI_FACTORS!D7,RWDI_FACTORS!D8*RWDI_FACTORS!D7)</f>
        <v>609.57025297165501</v>
      </c>
      <c r="B22" s="36" t="s">
        <v>9</v>
      </c>
      <c r="C22" s="426">
        <f>IF(RWDI_FACTORS!H14="","",RWDI_FACTORS!H14)</f>
        <v>5.0000000000000001E-3</v>
      </c>
      <c r="D22" s="426">
        <f>IF(RWDI_FACTORS!I14="","",RWDI_FACTORS!I14)</f>
        <v>0.02</v>
      </c>
      <c r="E22" s="426">
        <f>IF(RWDI_FACTORS!J14="","",RWDI_FACTORS!J14)</f>
        <v>0.1</v>
      </c>
      <c r="F22" s="426">
        <f>IF(RWDI_FACTORS!K14="","",RWDI_FACTORS!K14)</f>
        <v>0.5</v>
      </c>
      <c r="G22" s="426">
        <f>IF(RWDI_FACTORS!L14="","",RWDI_FACTORS!L14)</f>
        <v>3</v>
      </c>
      <c r="H22" s="371">
        <f>IF(RWDI_FACTORS!M14="","",RWDI_FACTORS!M14)</f>
        <v>5.0000000000000001E-3</v>
      </c>
      <c r="I22" s="371">
        <f>IF(RWDI_FACTORS!N14="","",RWDI_FACTORS!N14)</f>
        <v>0.02</v>
      </c>
      <c r="J22" s="371">
        <f>IF(RWDI_FACTORS!O14="","",RWDI_FACTORS!O14)</f>
        <v>0.1</v>
      </c>
      <c r="K22" s="371">
        <f>IF(RWDI_FACTORS!P14="","",RWDI_FACTORS!P14)</f>
        <v>0.5</v>
      </c>
      <c r="L22" s="371">
        <f>IF(RWDI_FACTORS!Q14="","",RWDI_FACTORS!Q14)</f>
        <v>3</v>
      </c>
      <c r="M22" s="371">
        <f>IF(RWDI_FACTORS!R14="","",RWDI_FACTORS!R14)</f>
        <v>5.0000000000000001E-3</v>
      </c>
      <c r="N22" s="371">
        <f>IF(RWDI_FACTORS!S14="","",RWDI_FACTORS!S14)</f>
        <v>0.02</v>
      </c>
      <c r="O22" s="371">
        <f>IF(RWDI_FACTORS!T14="","",RWDI_FACTORS!T14)</f>
        <v>0.1</v>
      </c>
      <c r="P22" s="371">
        <f>IF(RWDI_FACTORS!U14="","",RWDI_FACTORS!U14)</f>
        <v>0.5</v>
      </c>
      <c r="Q22" s="371">
        <f>IF(RWDI_FACTORS!V14="","",RWDI_FACTORS!V14)</f>
        <v>3</v>
      </c>
      <c r="R22" s="371">
        <f>IF(RWDI_FACTORS!W14="","",RWDI_FACTORS!W14)</f>
        <v>1.5</v>
      </c>
      <c r="S22" s="371">
        <f>IF(RWDI_FACTORS!X14="","",RWDI_FACTORS!X14)</f>
        <v>0.7</v>
      </c>
      <c r="T22" s="371" t="str">
        <f>IF(RWDI_FACTORS!Y14="","",RWDI_FACTORS!Y14)</f>
        <v/>
      </c>
      <c r="U22" s="371" t="str">
        <f>IF(RWDI_FACTORS!Z14="","",RWDI_FACTORS!Z14)</f>
        <v/>
      </c>
      <c r="V22" s="371" t="str">
        <f>IF(RWDI_FACTORS!AA14="","",RWDI_FACTORS!AA14)</f>
        <v/>
      </c>
      <c r="W22" s="371" t="str">
        <f>IF(RWDI_FACTORS!AB14="","",RWDI_FACTORS!AB14)</f>
        <v/>
      </c>
      <c r="X22" s="371" t="str">
        <f>IF(RWDI_FACTORS!AC14="","",RWDI_FACTORS!AC14)</f>
        <v/>
      </c>
      <c r="Y22" s="371" t="str">
        <f>IF(RWDI_FACTORS!AD14="","",RWDI_FACTORS!AD14)</f>
        <v/>
      </c>
      <c r="Z22" s="371" t="str">
        <f>IF(RWDI_FACTORS!AE14="","",RWDI_FACTORS!AE14)</f>
        <v/>
      </c>
      <c r="AA22" s="371" t="str">
        <f>IF(RWDI_FACTORS!AF14="","",RWDI_FACTORS!AF14)</f>
        <v/>
      </c>
    </row>
    <row r="23" spans="1:27" x14ac:dyDescent="0.2">
      <c r="A23" s="369" t="str">
        <f>FIXED(RWDI_FACTORS!$F$6*0.3,1)</f>
        <v>54.3</v>
      </c>
      <c r="B23" s="37" t="s">
        <v>157</v>
      </c>
      <c r="C23" s="426"/>
      <c r="D23" s="426" t="str">
        <f>IF(RWDI_FACTORS!I15="","",RWDI_FACTORS!I15)</f>
        <v/>
      </c>
      <c r="E23" s="426" t="str">
        <f>IF(RWDI_FACTORS!J15="","",RWDI_FACTORS!J15)</f>
        <v/>
      </c>
      <c r="F23" s="426">
        <f>IF(RWDI_FACTORS!K15="","",RWDI_FACTORS!K15)</f>
        <v>10000</v>
      </c>
      <c r="G23" s="426">
        <f>IF(RWDI_FACTORS!L15="","",RWDI_FACTORS!L15)</f>
        <v>5000</v>
      </c>
      <c r="H23" s="371" t="str">
        <f>IF(RWDI_FACTORS!M15="","",RWDI_FACTORS!M15)</f>
        <v/>
      </c>
      <c r="I23" s="371" t="str">
        <f>IF(RWDI_FACTORS!N15="","",RWDI_FACTORS!N15)</f>
        <v/>
      </c>
      <c r="J23" s="371" t="str">
        <f>IF(RWDI_FACTORS!O15="","",RWDI_FACTORS!O15)</f>
        <v/>
      </c>
      <c r="K23" s="371">
        <f>IF(RWDI_FACTORS!P15="","",RWDI_FACTORS!P15)</f>
        <v>10000</v>
      </c>
      <c r="L23" s="371">
        <f>IF(RWDI_FACTORS!Q15="","",RWDI_FACTORS!Q15)</f>
        <v>5000</v>
      </c>
      <c r="M23" s="371" t="str">
        <f>IF(RWDI_FACTORS!R15="","",RWDI_FACTORS!R15)</f>
        <v/>
      </c>
      <c r="N23" s="371" t="str">
        <f>IF(RWDI_FACTORS!S15="","",RWDI_FACTORS!S15)</f>
        <v/>
      </c>
      <c r="O23" s="371" t="str">
        <f>IF(RWDI_FACTORS!T15="","",RWDI_FACTORS!T15)</f>
        <v/>
      </c>
      <c r="P23" s="371">
        <f>IF(RWDI_FACTORS!U15="","",RWDI_FACTORS!U15)</f>
        <v>10000</v>
      </c>
      <c r="Q23" s="371">
        <f>IF(RWDI_FACTORS!V15="","",RWDI_FACTORS!V15)</f>
        <v>5000</v>
      </c>
      <c r="R23" s="371">
        <f>IF(RWDI_FACTORS!W15="","",RWDI_FACTORS!W15)</f>
        <v>5000</v>
      </c>
      <c r="S23" s="371">
        <f>IF(RWDI_FACTORS!X15="","",RWDI_FACTORS!X15)</f>
        <v>10000</v>
      </c>
      <c r="T23" s="371" t="str">
        <f>IF(RWDI_FACTORS!Y15="","",RWDI_FACTORS!Y15)</f>
        <v/>
      </c>
      <c r="U23" s="371" t="str">
        <f>IF(RWDI_FACTORS!Z15="","",RWDI_FACTORS!Z15)</f>
        <v/>
      </c>
      <c r="V23" s="371" t="str">
        <f>IF(RWDI_FACTORS!AA15="","",RWDI_FACTORS!AA15)</f>
        <v/>
      </c>
      <c r="W23" s="371" t="str">
        <f>IF(RWDI_FACTORS!AB15="","",RWDI_FACTORS!AB15)</f>
        <v/>
      </c>
      <c r="X23" s="371" t="str">
        <f>IF(RWDI_FACTORS!AC15="","",RWDI_FACTORS!AC15)</f>
        <v/>
      </c>
      <c r="Y23" s="371" t="str">
        <f>IF(RWDI_FACTORS!AD15="","",RWDI_FACTORS!AD15)</f>
        <v/>
      </c>
      <c r="Z23" s="371" t="str">
        <f>IF(RWDI_FACTORS!AE15="","",RWDI_FACTORS!AE15)</f>
        <v/>
      </c>
      <c r="AA23" s="371" t="str">
        <f>IF(RWDI_FACTORS!AF15="","",RWDI_FACTORS!AF15)</f>
        <v/>
      </c>
    </row>
    <row r="24" spans="1:27" ht="15.75" x14ac:dyDescent="0.3">
      <c r="A24" s="425" t="str">
        <f>FIXED(RWDI_FACTORS!$F$6*0.5,1)</f>
        <v>90.5</v>
      </c>
      <c r="B24" s="38" t="s">
        <v>10</v>
      </c>
      <c r="C24" s="426"/>
      <c r="D24" s="426" t="str">
        <f>IF(RWDI_FACTORS!I16="","",RWDI_FACTORS!I16)</f>
        <v/>
      </c>
      <c r="E24" s="426" t="str">
        <f>IF(RWDI_FACTORS!J16="","",RWDI_FACTORS!J16)</f>
        <v/>
      </c>
      <c r="F24" s="426">
        <f>IF(RWDI_FACTORS!K16="","",RWDI_FACTORS!K16)</f>
        <v>0.1</v>
      </c>
      <c r="G24" s="426">
        <f>IF(RWDI_FACTORS!L16="","",RWDI_FACTORS!L16)</f>
        <v>0.5</v>
      </c>
      <c r="H24" s="371" t="str">
        <f>IF(RWDI_FACTORS!M16="","",RWDI_FACTORS!M16)</f>
        <v/>
      </c>
      <c r="I24" s="371" t="str">
        <f>IF(RWDI_FACTORS!N16="","",RWDI_FACTORS!N16)</f>
        <v/>
      </c>
      <c r="J24" s="371" t="str">
        <f>IF(RWDI_FACTORS!O16="","",RWDI_FACTORS!O16)</f>
        <v/>
      </c>
      <c r="K24" s="371">
        <f>IF(RWDI_FACTORS!P16="","",RWDI_FACTORS!P16)</f>
        <v>0.1</v>
      </c>
      <c r="L24" s="371">
        <f>IF(RWDI_FACTORS!Q16="","",RWDI_FACTORS!Q16)</f>
        <v>0.5</v>
      </c>
      <c r="M24" s="371" t="str">
        <f>IF(RWDI_FACTORS!R16="","",RWDI_FACTORS!R16)</f>
        <v/>
      </c>
      <c r="N24" s="371" t="str">
        <f>IF(RWDI_FACTORS!S16="","",RWDI_FACTORS!S16)</f>
        <v/>
      </c>
      <c r="O24" s="371" t="str">
        <f>IF(RWDI_FACTORS!T16="","",RWDI_FACTORS!T16)</f>
        <v/>
      </c>
      <c r="P24" s="371">
        <f>IF(RWDI_FACTORS!U16="","",RWDI_FACTORS!U16)</f>
        <v>0.1</v>
      </c>
      <c r="Q24" s="371">
        <f>IF(RWDI_FACTORS!V16="","",RWDI_FACTORS!V16)</f>
        <v>0.5</v>
      </c>
      <c r="R24" s="371">
        <f>IF(RWDI_FACTORS!W16="","",RWDI_FACTORS!W16)</f>
        <v>0.5</v>
      </c>
      <c r="S24" s="371">
        <f>IF(RWDI_FACTORS!X16="","",RWDI_FACTORS!X16)</f>
        <v>0.1</v>
      </c>
      <c r="T24" s="371" t="str">
        <f>IF(RWDI_FACTORS!Y16="","",RWDI_FACTORS!Y16)</f>
        <v/>
      </c>
      <c r="U24" s="371" t="str">
        <f>IF(RWDI_FACTORS!Z16="","",RWDI_FACTORS!Z16)</f>
        <v/>
      </c>
      <c r="V24" s="371" t="str">
        <f>IF(RWDI_FACTORS!AA16="","",RWDI_FACTORS!AA16)</f>
        <v/>
      </c>
      <c r="W24" s="371" t="str">
        <f>IF(RWDI_FACTORS!AB16="","",RWDI_FACTORS!AB16)</f>
        <v/>
      </c>
      <c r="X24" s="371" t="str">
        <f>IF(RWDI_FACTORS!AC16="","",RWDI_FACTORS!AC16)</f>
        <v/>
      </c>
      <c r="Y24" s="371" t="str">
        <f>IF(RWDI_FACTORS!AD16="","",RWDI_FACTORS!AD16)</f>
        <v/>
      </c>
      <c r="Z24" s="371" t="str">
        <f>IF(RWDI_FACTORS!AE16="","",RWDI_FACTORS!AE16)</f>
        <v/>
      </c>
      <c r="AA24" s="371" t="str">
        <f>IF(RWDI_FACTORS!AF16="","",RWDI_FACTORS!AF16)</f>
        <v/>
      </c>
    </row>
    <row r="25" spans="1:27" ht="15.75" x14ac:dyDescent="0.3">
      <c r="A25" s="369" t="str">
        <f>FIXED(RWDI_FACTORS!$F$8,1)</f>
        <v>120.7</v>
      </c>
      <c r="B25" s="39" t="s">
        <v>11</v>
      </c>
      <c r="C25" s="426"/>
      <c r="D25" s="426" t="str">
        <f>IF(RWDI_FACTORS!I17="","",RWDI_FACTORS!I17)</f>
        <v/>
      </c>
      <c r="E25" s="426" t="str">
        <f>IF(RWDI_FACTORS!J17="","",RWDI_FACTORS!J17)</f>
        <v/>
      </c>
      <c r="F25" s="426" t="str">
        <f>IF(RWDI_FACTORS!K17="","",RWDI_FACTORS!K17)</f>
        <v/>
      </c>
      <c r="G25" s="426">
        <f>IF(RWDI_FACTORS!L17="","",RWDI_FACTORS!L17)</f>
        <v>10000</v>
      </c>
      <c r="H25" s="371" t="str">
        <f>IF(RWDI_FACTORS!M17="","",RWDI_FACTORS!M17)</f>
        <v/>
      </c>
      <c r="I25" s="371" t="str">
        <f>IF(RWDI_FACTORS!N17="","",RWDI_FACTORS!N17)</f>
        <v/>
      </c>
      <c r="J25" s="371" t="str">
        <f>IF(RWDI_FACTORS!O17="","",RWDI_FACTORS!O17)</f>
        <v/>
      </c>
      <c r="K25" s="371" t="str">
        <f>IF(RWDI_FACTORS!P17="","",RWDI_FACTORS!P17)</f>
        <v/>
      </c>
      <c r="L25" s="371">
        <f>IF(RWDI_FACTORS!Q17="","",RWDI_FACTORS!Q17)</f>
        <v>10000</v>
      </c>
      <c r="M25" s="371" t="str">
        <f>IF(RWDI_FACTORS!R17="","",RWDI_FACTORS!R17)</f>
        <v/>
      </c>
      <c r="N25" s="371" t="str">
        <f>IF(RWDI_FACTORS!S17="","",RWDI_FACTORS!S17)</f>
        <v/>
      </c>
      <c r="O25" s="371" t="str">
        <f>IF(RWDI_FACTORS!T17="","",RWDI_FACTORS!T17)</f>
        <v/>
      </c>
      <c r="P25" s="371" t="str">
        <f>IF(RWDI_FACTORS!U17="","",RWDI_FACTORS!U17)</f>
        <v/>
      </c>
      <c r="Q25" s="371">
        <f>IF(RWDI_FACTORS!V17="","",RWDI_FACTORS!V17)</f>
        <v>10000</v>
      </c>
      <c r="R25" s="371">
        <f>IF(RWDI_FACTORS!W17="","",RWDI_FACTORS!W17)</f>
        <v>10000</v>
      </c>
      <c r="S25" s="371" t="str">
        <f>IF(RWDI_FACTORS!X17="","",RWDI_FACTORS!X17)</f>
        <v/>
      </c>
      <c r="T25" s="371" t="str">
        <f>IF(RWDI_FACTORS!Y17="","",RWDI_FACTORS!Y17)</f>
        <v/>
      </c>
      <c r="U25" s="371" t="str">
        <f>IF(RWDI_FACTORS!Z17="","",RWDI_FACTORS!Z17)</f>
        <v/>
      </c>
      <c r="V25" s="371" t="str">
        <f>IF(RWDI_FACTORS!AA17="","",RWDI_FACTORS!AA17)</f>
        <v/>
      </c>
      <c r="W25" s="371" t="str">
        <f>IF(RWDI_FACTORS!AB17="","",RWDI_FACTORS!AB17)</f>
        <v/>
      </c>
      <c r="X25" s="371" t="str">
        <f>IF(RWDI_FACTORS!AC17="","",RWDI_FACTORS!AC17)</f>
        <v/>
      </c>
      <c r="Y25" s="371" t="str">
        <f>IF(RWDI_FACTORS!AD17="","",RWDI_FACTORS!AD17)</f>
        <v/>
      </c>
      <c r="Z25" s="371" t="str">
        <f>IF(RWDI_FACTORS!AE17="","",RWDI_FACTORS!AE17)</f>
        <v/>
      </c>
      <c r="AA25" s="371" t="str">
        <f>IF(RWDI_FACTORS!AF17="","",RWDI_FACTORS!AF17)</f>
        <v/>
      </c>
    </row>
    <row r="26" spans="1:27" ht="15.75" x14ac:dyDescent="0.3">
      <c r="A26" s="369" t="str">
        <f>FIXED(RWDI_FACTORS!$F$6*0.8,1)</f>
        <v>144.8</v>
      </c>
      <c r="B26" s="38" t="s">
        <v>12</v>
      </c>
      <c r="C26" s="426"/>
      <c r="D26" s="426" t="str">
        <f>IF(RWDI_FACTORS!I18="","",RWDI_FACTORS!I18)</f>
        <v/>
      </c>
      <c r="E26" s="426" t="str">
        <f>IF(RWDI_FACTORS!J18="","",RWDI_FACTORS!J18)</f>
        <v/>
      </c>
      <c r="F26" s="426" t="str">
        <f>IF(RWDI_FACTORS!K18="","",RWDI_FACTORS!K18)</f>
        <v/>
      </c>
      <c r="G26" s="426">
        <f>IF(RWDI_FACTORS!L18="","",RWDI_FACTORS!L18)</f>
        <v>0.1</v>
      </c>
      <c r="H26" s="371" t="str">
        <f>IF(RWDI_FACTORS!M18="","",RWDI_FACTORS!M18)</f>
        <v/>
      </c>
      <c r="I26" s="371" t="str">
        <f>IF(RWDI_FACTORS!N18="","",RWDI_FACTORS!N18)</f>
        <v/>
      </c>
      <c r="J26" s="371" t="str">
        <f>IF(RWDI_FACTORS!O18="","",RWDI_FACTORS!O18)</f>
        <v/>
      </c>
      <c r="K26" s="371" t="str">
        <f>IF(RWDI_FACTORS!P18="","",RWDI_FACTORS!P18)</f>
        <v/>
      </c>
      <c r="L26" s="371">
        <f>IF(RWDI_FACTORS!Q18="","",RWDI_FACTORS!Q18)</f>
        <v>0.1</v>
      </c>
      <c r="M26" s="371" t="str">
        <f>IF(RWDI_FACTORS!R18="","",RWDI_FACTORS!R18)</f>
        <v/>
      </c>
      <c r="N26" s="371" t="str">
        <f>IF(RWDI_FACTORS!S18="","",RWDI_FACTORS!S18)</f>
        <v/>
      </c>
      <c r="O26" s="371" t="str">
        <f>IF(RWDI_FACTORS!T18="","",RWDI_FACTORS!T18)</f>
        <v/>
      </c>
      <c r="P26" s="371" t="str">
        <f>IF(RWDI_FACTORS!U18="","",RWDI_FACTORS!U18)</f>
        <v/>
      </c>
      <c r="Q26" s="371">
        <f>IF(RWDI_FACTORS!V18="","",RWDI_FACTORS!V18)</f>
        <v>0.1</v>
      </c>
      <c r="R26" s="371">
        <f>IF(RWDI_FACTORS!W18="","",RWDI_FACTORS!W18)</f>
        <v>0.1</v>
      </c>
      <c r="S26" s="371" t="str">
        <f>IF(RWDI_FACTORS!X18="","",RWDI_FACTORS!X18)</f>
        <v/>
      </c>
      <c r="T26" s="371" t="str">
        <f>IF(RWDI_FACTORS!Y18="","",RWDI_FACTORS!Y18)</f>
        <v/>
      </c>
      <c r="U26" s="371" t="str">
        <f>IF(RWDI_FACTORS!Z18="","",RWDI_FACTORS!Z18)</f>
        <v/>
      </c>
      <c r="V26" s="371" t="str">
        <f>IF(RWDI_FACTORS!AA18="","",RWDI_FACTORS!AA18)</f>
        <v/>
      </c>
      <c r="W26" s="371" t="str">
        <f>IF(RWDI_FACTORS!AB18="","",RWDI_FACTORS!AB18)</f>
        <v/>
      </c>
      <c r="X26" s="371" t="str">
        <f>IF(RWDI_FACTORS!AC18="","",RWDI_FACTORS!AC18)</f>
        <v/>
      </c>
      <c r="Y26" s="371" t="str">
        <f>IF(RWDI_FACTORS!AD18="","",RWDI_FACTORS!AD18)</f>
        <v/>
      </c>
      <c r="Z26" s="371" t="str">
        <f>IF(RWDI_FACTORS!AE18="","",RWDI_FACTORS!AE18)</f>
        <v/>
      </c>
      <c r="AA26" s="371" t="str">
        <f>IF(RWDI_FACTORS!AF18="","",RWDI_FACTORS!AF18)</f>
        <v/>
      </c>
    </row>
    <row r="27" spans="1:27" ht="15.75" x14ac:dyDescent="0.3">
      <c r="A27" s="369" t="str">
        <f>FIXED(RWDI_FACTORS!$F$6,1)</f>
        <v>181.0</v>
      </c>
      <c r="B27" s="39" t="s">
        <v>13</v>
      </c>
      <c r="C27" s="426"/>
      <c r="D27" s="426" t="str">
        <f>IF(RWDI_FACTORS!I19="","",RWDI_FACTORS!I19)</f>
        <v/>
      </c>
      <c r="E27" s="426" t="str">
        <f>IF(RWDI_FACTORS!J19="","",RWDI_FACTORS!J19)</f>
        <v/>
      </c>
      <c r="F27" s="426" t="str">
        <f>IF(RWDI_FACTORS!K19="","",RWDI_FACTORS!K19)</f>
        <v/>
      </c>
      <c r="G27" s="426" t="str">
        <f>IF(RWDI_FACTORS!L19="","",RWDI_FACTORS!L19)</f>
        <v/>
      </c>
      <c r="H27" s="371" t="str">
        <f>IF(RWDI_FACTORS!M19="","",RWDI_FACTORS!M19)</f>
        <v/>
      </c>
      <c r="I27" s="371" t="str">
        <f>IF(RWDI_FACTORS!N19="","",RWDI_FACTORS!N19)</f>
        <v/>
      </c>
      <c r="J27" s="371" t="str">
        <f>IF(RWDI_FACTORS!O19="","",RWDI_FACTORS!O19)</f>
        <v/>
      </c>
      <c r="K27" s="371" t="str">
        <f>IF(RWDI_FACTORS!P19="","",RWDI_FACTORS!P19)</f>
        <v/>
      </c>
      <c r="L27" s="371" t="str">
        <f>IF(RWDI_FACTORS!Q19="","",RWDI_FACTORS!Q19)</f>
        <v/>
      </c>
      <c r="M27" s="371" t="str">
        <f>IF(RWDI_FACTORS!R19="","",RWDI_FACTORS!R19)</f>
        <v/>
      </c>
      <c r="N27" s="371" t="str">
        <f>IF(RWDI_FACTORS!S19="","",RWDI_FACTORS!S19)</f>
        <v/>
      </c>
      <c r="O27" s="371" t="str">
        <f>IF(RWDI_FACTORS!T19="","",RWDI_FACTORS!T19)</f>
        <v/>
      </c>
      <c r="P27" s="371" t="str">
        <f>IF(RWDI_FACTORS!U19="","",RWDI_FACTORS!U19)</f>
        <v/>
      </c>
      <c r="Q27" s="371" t="str">
        <f>IF(RWDI_FACTORS!V19="","",RWDI_FACTORS!V19)</f>
        <v/>
      </c>
      <c r="R27" s="371" t="str">
        <f>IF(RWDI_FACTORS!W19="","",RWDI_FACTORS!W19)</f>
        <v/>
      </c>
      <c r="S27" s="371" t="str">
        <f>IF(RWDI_FACTORS!X19="","",RWDI_FACTORS!X19)</f>
        <v/>
      </c>
      <c r="T27" s="371" t="str">
        <f>IF(RWDI_FACTORS!Y19="","",RWDI_FACTORS!Y19)</f>
        <v/>
      </c>
      <c r="U27" s="371" t="str">
        <f>IF(RWDI_FACTORS!Z19="","",RWDI_FACTORS!Z19)</f>
        <v/>
      </c>
      <c r="V27" s="371" t="str">
        <f>IF(RWDI_FACTORS!AA19="","",RWDI_FACTORS!AA19)</f>
        <v/>
      </c>
      <c r="W27" s="371" t="str">
        <f>IF(RWDI_FACTORS!AB19="","",RWDI_FACTORS!AB19)</f>
        <v/>
      </c>
      <c r="X27" s="371" t="str">
        <f>IF(RWDI_FACTORS!AC19="","",RWDI_FACTORS!AC19)</f>
        <v/>
      </c>
      <c r="Y27" s="371" t="str">
        <f>IF(RWDI_FACTORS!AD19="","",RWDI_FACTORS!AD19)</f>
        <v/>
      </c>
      <c r="Z27" s="371" t="str">
        <f>IF(RWDI_FACTORS!AE19="","",RWDI_FACTORS!AE19)</f>
        <v/>
      </c>
      <c r="AA27" s="371" t="str">
        <f>IF(RWDI_FACTORS!AF19="","",RWDI_FACTORS!AF19)</f>
        <v/>
      </c>
    </row>
    <row r="28" spans="1:27" ht="15.75" x14ac:dyDescent="0.3">
      <c r="A28" s="72"/>
      <c r="B28" s="38" t="s">
        <v>14</v>
      </c>
      <c r="C28" s="426"/>
      <c r="D28" s="426" t="str">
        <f>IF(RWDI_FACTORS!I20="","",RWDI_FACTORS!I20)</f>
        <v/>
      </c>
      <c r="E28" s="426" t="str">
        <f>IF(RWDI_FACTORS!J20="","",RWDI_FACTORS!J20)</f>
        <v/>
      </c>
      <c r="F28" s="426" t="str">
        <f>IF(RWDI_FACTORS!K20="","",RWDI_FACTORS!K20)</f>
        <v/>
      </c>
      <c r="G28" s="426" t="str">
        <f>IF(RWDI_FACTORS!L20="","",RWDI_FACTORS!L20)</f>
        <v/>
      </c>
      <c r="H28" s="371" t="str">
        <f>IF(RWDI_FACTORS!M20="","",RWDI_FACTORS!M20)</f>
        <v/>
      </c>
      <c r="I28" s="371" t="str">
        <f>IF(RWDI_FACTORS!N20="","",RWDI_FACTORS!N20)</f>
        <v/>
      </c>
      <c r="J28" s="371" t="str">
        <f>IF(RWDI_FACTORS!O20="","",RWDI_FACTORS!O20)</f>
        <v/>
      </c>
      <c r="K28" s="371" t="str">
        <f>IF(RWDI_FACTORS!P20="","",RWDI_FACTORS!P20)</f>
        <v/>
      </c>
      <c r="L28" s="371" t="str">
        <f>IF(RWDI_FACTORS!Q20="","",RWDI_FACTORS!Q20)</f>
        <v/>
      </c>
      <c r="M28" s="371" t="str">
        <f>IF(RWDI_FACTORS!R20="","",RWDI_FACTORS!R20)</f>
        <v/>
      </c>
      <c r="N28" s="371" t="str">
        <f>IF(RWDI_FACTORS!S20="","",RWDI_FACTORS!S20)</f>
        <v/>
      </c>
      <c r="O28" s="371" t="str">
        <f>IF(RWDI_FACTORS!T20="","",RWDI_FACTORS!T20)</f>
        <v/>
      </c>
      <c r="P28" s="371" t="str">
        <f>IF(RWDI_FACTORS!U20="","",RWDI_FACTORS!U20)</f>
        <v/>
      </c>
      <c r="Q28" s="371" t="str">
        <f>IF(RWDI_FACTORS!V20="","",RWDI_FACTORS!V20)</f>
        <v/>
      </c>
      <c r="R28" s="371" t="str">
        <f>IF(RWDI_FACTORS!W20="","",RWDI_FACTORS!W20)</f>
        <v/>
      </c>
      <c r="S28" s="371" t="str">
        <f>IF(RWDI_FACTORS!X20="","",RWDI_FACTORS!X20)</f>
        <v/>
      </c>
      <c r="T28" s="371" t="str">
        <f>IF(RWDI_FACTORS!Y20="","",RWDI_FACTORS!Y20)</f>
        <v/>
      </c>
      <c r="U28" s="371" t="str">
        <f>IF(RWDI_FACTORS!Z20="","",RWDI_FACTORS!Z20)</f>
        <v/>
      </c>
      <c r="V28" s="371" t="str">
        <f>IF(RWDI_FACTORS!AA20="","",RWDI_FACTORS!AA20)</f>
        <v/>
      </c>
      <c r="W28" s="371" t="str">
        <f>IF(RWDI_FACTORS!AB20="","",RWDI_FACTORS!AB20)</f>
        <v/>
      </c>
      <c r="X28" s="371" t="str">
        <f>IF(RWDI_FACTORS!AC20="","",RWDI_FACTORS!AC20)</f>
        <v/>
      </c>
      <c r="Y28" s="371" t="str">
        <f>IF(RWDI_FACTORS!AD20="","",RWDI_FACTORS!AD20)</f>
        <v/>
      </c>
      <c r="Z28" s="371" t="str">
        <f>IF(RWDI_FACTORS!AE20="","",RWDI_FACTORS!AE20)</f>
        <v/>
      </c>
      <c r="AA28" s="371" t="str">
        <f>IF(RWDI_FACTORS!AF20="","",RWDI_FACTORS!AF20)</f>
        <v/>
      </c>
    </row>
    <row r="29" spans="1:27" ht="15.75" x14ac:dyDescent="0.3">
      <c r="A29" s="72"/>
      <c r="B29" s="39" t="s">
        <v>15</v>
      </c>
      <c r="C29" s="426"/>
      <c r="D29" s="426" t="str">
        <f>IF(RWDI_FACTORS!I21="","",RWDI_FACTORS!I21)</f>
        <v/>
      </c>
      <c r="E29" s="426" t="str">
        <f>IF(RWDI_FACTORS!J21="","",RWDI_FACTORS!J21)</f>
        <v/>
      </c>
      <c r="F29" s="426" t="str">
        <f>IF(RWDI_FACTORS!K21="","",RWDI_FACTORS!K21)</f>
        <v/>
      </c>
      <c r="G29" s="426" t="str">
        <f>IF(RWDI_FACTORS!L21="","",RWDI_FACTORS!L21)</f>
        <v/>
      </c>
      <c r="H29" s="371" t="str">
        <f>IF(RWDI_FACTORS!M21="","",RWDI_FACTORS!M21)</f>
        <v/>
      </c>
      <c r="I29" s="371" t="str">
        <f>IF(RWDI_FACTORS!N21="","",RWDI_FACTORS!N21)</f>
        <v/>
      </c>
      <c r="J29" s="371" t="str">
        <f>IF(RWDI_FACTORS!O21="","",RWDI_FACTORS!O21)</f>
        <v/>
      </c>
      <c r="K29" s="371" t="str">
        <f>IF(RWDI_FACTORS!P21="","",RWDI_FACTORS!P21)</f>
        <v/>
      </c>
      <c r="L29" s="371" t="str">
        <f>IF(RWDI_FACTORS!Q21="","",RWDI_FACTORS!Q21)</f>
        <v/>
      </c>
      <c r="M29" s="371" t="str">
        <f>IF(RWDI_FACTORS!R21="","",RWDI_FACTORS!R21)</f>
        <v/>
      </c>
      <c r="N29" s="371" t="str">
        <f>IF(RWDI_FACTORS!S21="","",RWDI_FACTORS!S21)</f>
        <v/>
      </c>
      <c r="O29" s="371" t="str">
        <f>IF(RWDI_FACTORS!T21="","",RWDI_FACTORS!T21)</f>
        <v/>
      </c>
      <c r="P29" s="371" t="str">
        <f>IF(RWDI_FACTORS!U21="","",RWDI_FACTORS!U21)</f>
        <v/>
      </c>
      <c r="Q29" s="371" t="str">
        <f>IF(RWDI_FACTORS!V21="","",RWDI_FACTORS!V21)</f>
        <v/>
      </c>
      <c r="R29" s="371" t="str">
        <f>IF(RWDI_FACTORS!W21="","",RWDI_FACTORS!W21)</f>
        <v/>
      </c>
      <c r="S29" s="371" t="str">
        <f>IF(RWDI_FACTORS!X21="","",RWDI_FACTORS!X21)</f>
        <v/>
      </c>
      <c r="T29" s="371" t="str">
        <f>IF(RWDI_FACTORS!Y21="","",RWDI_FACTORS!Y21)</f>
        <v/>
      </c>
      <c r="U29" s="371" t="str">
        <f>IF(RWDI_FACTORS!Z21="","",RWDI_FACTORS!Z21)</f>
        <v/>
      </c>
      <c r="V29" s="371" t="str">
        <f>IF(RWDI_FACTORS!AA21="","",RWDI_FACTORS!AA21)</f>
        <v/>
      </c>
      <c r="W29" s="371" t="str">
        <f>IF(RWDI_FACTORS!AB21="","",RWDI_FACTORS!AB21)</f>
        <v/>
      </c>
      <c r="X29" s="371" t="str">
        <f>IF(RWDI_FACTORS!AC21="","",RWDI_FACTORS!AC21)</f>
        <v/>
      </c>
      <c r="Y29" s="371" t="str">
        <f>IF(RWDI_FACTORS!AD21="","",RWDI_FACTORS!AD21)</f>
        <v/>
      </c>
      <c r="Z29" s="371" t="str">
        <f>IF(RWDI_FACTORS!AE21="","",RWDI_FACTORS!AE21)</f>
        <v/>
      </c>
      <c r="AA29" s="371" t="str">
        <f>IF(RWDI_FACTORS!AF21="","",RWDI_FACTORS!AF21)</f>
        <v/>
      </c>
    </row>
    <row r="30" spans="1:27" ht="15.75" x14ac:dyDescent="0.3">
      <c r="A30" s="72"/>
      <c r="B30" s="38" t="s">
        <v>16</v>
      </c>
      <c r="C30" s="426"/>
      <c r="D30" s="426" t="str">
        <f>IF(RWDI_FACTORS!I22="","",RWDI_FACTORS!I22)</f>
        <v/>
      </c>
      <c r="E30" s="426" t="str">
        <f>IF(RWDI_FACTORS!J22="","",RWDI_FACTORS!J22)</f>
        <v/>
      </c>
      <c r="F30" s="426" t="str">
        <f>IF(RWDI_FACTORS!K22="","",RWDI_FACTORS!K22)</f>
        <v/>
      </c>
      <c r="G30" s="426" t="str">
        <f>IF(RWDI_FACTORS!L22="","",RWDI_FACTORS!L22)</f>
        <v/>
      </c>
      <c r="H30" s="371" t="str">
        <f>IF(RWDI_FACTORS!M22="","",RWDI_FACTORS!M22)</f>
        <v/>
      </c>
      <c r="I30" s="371" t="str">
        <f>IF(RWDI_FACTORS!N22="","",RWDI_FACTORS!N22)</f>
        <v/>
      </c>
      <c r="J30" s="371" t="str">
        <f>IF(RWDI_FACTORS!O22="","",RWDI_FACTORS!O22)</f>
        <v/>
      </c>
      <c r="K30" s="371" t="str">
        <f>IF(RWDI_FACTORS!P22="","",RWDI_FACTORS!P22)</f>
        <v/>
      </c>
      <c r="L30" s="371" t="str">
        <f>IF(RWDI_FACTORS!Q22="","",RWDI_FACTORS!Q22)</f>
        <v/>
      </c>
      <c r="M30" s="371" t="str">
        <f>IF(RWDI_FACTORS!R22="","",RWDI_FACTORS!R22)</f>
        <v/>
      </c>
      <c r="N30" s="371" t="str">
        <f>IF(RWDI_FACTORS!S22="","",RWDI_FACTORS!S22)</f>
        <v/>
      </c>
      <c r="O30" s="371" t="str">
        <f>IF(RWDI_FACTORS!T22="","",RWDI_FACTORS!T22)</f>
        <v/>
      </c>
      <c r="P30" s="371" t="str">
        <f>IF(RWDI_FACTORS!U22="","",RWDI_FACTORS!U22)</f>
        <v/>
      </c>
      <c r="Q30" s="371" t="str">
        <f>IF(RWDI_FACTORS!V22="","",RWDI_FACTORS!V22)</f>
        <v/>
      </c>
      <c r="R30" s="371" t="str">
        <f>IF(RWDI_FACTORS!W22="","",RWDI_FACTORS!W22)</f>
        <v/>
      </c>
      <c r="S30" s="371" t="str">
        <f>IF(RWDI_FACTORS!X22="","",RWDI_FACTORS!X22)</f>
        <v/>
      </c>
      <c r="T30" s="371" t="str">
        <f>IF(RWDI_FACTORS!Y22="","",RWDI_FACTORS!Y22)</f>
        <v/>
      </c>
      <c r="U30" s="371" t="str">
        <f>IF(RWDI_FACTORS!Z22="","",RWDI_FACTORS!Z22)</f>
        <v/>
      </c>
      <c r="V30" s="371" t="str">
        <f>IF(RWDI_FACTORS!AA22="","",RWDI_FACTORS!AA22)</f>
        <v/>
      </c>
      <c r="W30" s="371" t="str">
        <f>IF(RWDI_FACTORS!AB22="","",RWDI_FACTORS!AB22)</f>
        <v/>
      </c>
      <c r="X30" s="371" t="str">
        <f>IF(RWDI_FACTORS!AC22="","",RWDI_FACTORS!AC22)</f>
        <v/>
      </c>
      <c r="Y30" s="371" t="str">
        <f>IF(RWDI_FACTORS!AD22="","",RWDI_FACTORS!AD22)</f>
        <v/>
      </c>
      <c r="Z30" s="371" t="str">
        <f>IF(RWDI_FACTORS!AE22="","",RWDI_FACTORS!AE22)</f>
        <v/>
      </c>
      <c r="AA30" s="371" t="str">
        <f>IF(RWDI_FACTORS!AF22="","",RWDI_FACTORS!AF22)</f>
        <v/>
      </c>
    </row>
    <row r="31" spans="1:27" ht="15.75" x14ac:dyDescent="0.3">
      <c r="A31" s="72"/>
      <c r="B31" s="39" t="s">
        <v>17</v>
      </c>
      <c r="C31" s="426"/>
      <c r="D31" s="426" t="str">
        <f>IF(RWDI_FACTORS!I23="","",RWDI_FACTORS!I23)</f>
        <v/>
      </c>
      <c r="E31" s="426" t="str">
        <f>IF(RWDI_FACTORS!J23="","",RWDI_FACTORS!J23)</f>
        <v/>
      </c>
      <c r="F31" s="426" t="str">
        <f>IF(RWDI_FACTORS!K23="","",RWDI_FACTORS!K23)</f>
        <v/>
      </c>
      <c r="G31" s="426" t="str">
        <f>IF(RWDI_FACTORS!L23="","",RWDI_FACTORS!L23)</f>
        <v/>
      </c>
      <c r="H31" s="371" t="str">
        <f>IF(RWDI_FACTORS!M23="","",RWDI_FACTORS!M23)</f>
        <v/>
      </c>
      <c r="I31" s="371" t="str">
        <f>IF(RWDI_FACTORS!N23="","",RWDI_FACTORS!N23)</f>
        <v/>
      </c>
      <c r="J31" s="371" t="str">
        <f>IF(RWDI_FACTORS!O23="","",RWDI_FACTORS!O23)</f>
        <v/>
      </c>
      <c r="K31" s="371" t="str">
        <f>IF(RWDI_FACTORS!P23="","",RWDI_FACTORS!P23)</f>
        <v/>
      </c>
      <c r="L31" s="371" t="str">
        <f>IF(RWDI_FACTORS!Q23="","",RWDI_FACTORS!Q23)</f>
        <v/>
      </c>
      <c r="M31" s="371" t="str">
        <f>IF(RWDI_FACTORS!R23="","",RWDI_FACTORS!R23)</f>
        <v/>
      </c>
      <c r="N31" s="371" t="str">
        <f>IF(RWDI_FACTORS!S23="","",RWDI_FACTORS!S23)</f>
        <v/>
      </c>
      <c r="O31" s="371" t="str">
        <f>IF(RWDI_FACTORS!T23="","",RWDI_FACTORS!T23)</f>
        <v/>
      </c>
      <c r="P31" s="371" t="str">
        <f>IF(RWDI_FACTORS!U23="","",RWDI_FACTORS!U23)</f>
        <v/>
      </c>
      <c r="Q31" s="371" t="str">
        <f>IF(RWDI_FACTORS!V23="","",RWDI_FACTORS!V23)</f>
        <v/>
      </c>
      <c r="R31" s="371" t="str">
        <f>IF(RWDI_FACTORS!W23="","",RWDI_FACTORS!W23)</f>
        <v/>
      </c>
      <c r="S31" s="371" t="str">
        <f>IF(RWDI_FACTORS!X23="","",RWDI_FACTORS!X23)</f>
        <v/>
      </c>
      <c r="T31" s="371" t="str">
        <f>IF(RWDI_FACTORS!Y23="","",RWDI_FACTORS!Y23)</f>
        <v/>
      </c>
      <c r="U31" s="371" t="str">
        <f>IF(RWDI_FACTORS!Z23="","",RWDI_FACTORS!Z23)</f>
        <v/>
      </c>
      <c r="V31" s="371" t="str">
        <f>IF(RWDI_FACTORS!AA23="","",RWDI_FACTORS!AA23)</f>
        <v/>
      </c>
      <c r="W31" s="371" t="str">
        <f>IF(RWDI_FACTORS!AB23="","",RWDI_FACTORS!AB23)</f>
        <v/>
      </c>
      <c r="X31" s="371" t="str">
        <f>IF(RWDI_FACTORS!AC23="","",RWDI_FACTORS!AC23)</f>
        <v/>
      </c>
      <c r="Y31" s="371" t="str">
        <f>IF(RWDI_FACTORS!AD23="","",RWDI_FACTORS!AD23)</f>
        <v/>
      </c>
      <c r="Z31" s="371" t="str">
        <f>IF(RWDI_FACTORS!AE23="","",RWDI_FACTORS!AE23)</f>
        <v/>
      </c>
      <c r="AA31" s="371" t="str">
        <f>IF(RWDI_FACTORS!AF23="","",RWDI_FACTORS!AF23)</f>
        <v/>
      </c>
    </row>
    <row r="32" spans="1:27" ht="15.75" x14ac:dyDescent="0.3">
      <c r="A32" s="72"/>
      <c r="B32" s="38" t="s">
        <v>30</v>
      </c>
      <c r="C32" s="426"/>
      <c r="D32" s="426" t="str">
        <f>IF(RWDI_FACTORS!I24="","",RWDI_FACTORS!I24)</f>
        <v/>
      </c>
      <c r="E32" s="426" t="str">
        <f>IF(RWDI_FACTORS!J24="","",RWDI_FACTORS!J24)</f>
        <v/>
      </c>
      <c r="F32" s="426" t="str">
        <f>IF(RWDI_FACTORS!K24="","",RWDI_FACTORS!K24)</f>
        <v/>
      </c>
      <c r="G32" s="426" t="str">
        <f>IF(RWDI_FACTORS!L24="","",RWDI_FACTORS!L24)</f>
        <v/>
      </c>
      <c r="H32" s="371" t="str">
        <f>IF(RWDI_FACTORS!M24="","",RWDI_FACTORS!M24)</f>
        <v/>
      </c>
      <c r="I32" s="371" t="str">
        <f>IF(RWDI_FACTORS!N24="","",RWDI_FACTORS!N24)</f>
        <v/>
      </c>
      <c r="J32" s="371" t="str">
        <f>IF(RWDI_FACTORS!O24="","",RWDI_FACTORS!O24)</f>
        <v/>
      </c>
      <c r="K32" s="371" t="str">
        <f>IF(RWDI_FACTORS!P24="","",RWDI_FACTORS!P24)</f>
        <v/>
      </c>
      <c r="L32" s="371" t="str">
        <f>IF(RWDI_FACTORS!Q24="","",RWDI_FACTORS!Q24)</f>
        <v/>
      </c>
      <c r="M32" s="371" t="str">
        <f>IF(RWDI_FACTORS!R24="","",RWDI_FACTORS!R24)</f>
        <v/>
      </c>
      <c r="N32" s="371" t="str">
        <f>IF(RWDI_FACTORS!S24="","",RWDI_FACTORS!S24)</f>
        <v/>
      </c>
      <c r="O32" s="371" t="str">
        <f>IF(RWDI_FACTORS!T24="","",RWDI_FACTORS!T24)</f>
        <v/>
      </c>
      <c r="P32" s="371" t="str">
        <f>IF(RWDI_FACTORS!U24="","",RWDI_FACTORS!U24)</f>
        <v/>
      </c>
      <c r="Q32" s="371" t="str">
        <f>IF(RWDI_FACTORS!V24="","",RWDI_FACTORS!V24)</f>
        <v/>
      </c>
      <c r="R32" s="371" t="str">
        <f>IF(RWDI_FACTORS!W24="","",RWDI_FACTORS!W24)</f>
        <v/>
      </c>
      <c r="S32" s="371" t="str">
        <f>IF(RWDI_FACTORS!X24="","",RWDI_FACTORS!X24)</f>
        <v/>
      </c>
      <c r="T32" s="371" t="str">
        <f>IF(RWDI_FACTORS!Y24="","",RWDI_FACTORS!Y24)</f>
        <v/>
      </c>
      <c r="U32" s="371" t="str">
        <f>IF(RWDI_FACTORS!Z24="","",RWDI_FACTORS!Z24)</f>
        <v/>
      </c>
      <c r="V32" s="371" t="str">
        <f>IF(RWDI_FACTORS!AA24="","",RWDI_FACTORS!AA24)</f>
        <v/>
      </c>
      <c r="W32" s="371" t="str">
        <f>IF(RWDI_FACTORS!AB24="","",RWDI_FACTORS!AB24)</f>
        <v/>
      </c>
      <c r="X32" s="371" t="str">
        <f>IF(RWDI_FACTORS!AC24="","",RWDI_FACTORS!AC24)</f>
        <v/>
      </c>
      <c r="Y32" s="371" t="str">
        <f>IF(RWDI_FACTORS!AD24="","",RWDI_FACTORS!AD24)</f>
        <v/>
      </c>
      <c r="Z32" s="371" t="str">
        <f>IF(RWDI_FACTORS!AE24="","",RWDI_FACTORS!AE24)</f>
        <v/>
      </c>
      <c r="AA32" s="371" t="str">
        <f>IF(RWDI_FACTORS!AF24="","",RWDI_FACTORS!AF24)</f>
        <v/>
      </c>
    </row>
    <row r="33" spans="1:27" ht="15.75" x14ac:dyDescent="0.3">
      <c r="A33" s="72"/>
      <c r="B33" s="39" t="s">
        <v>31</v>
      </c>
      <c r="C33" s="426"/>
      <c r="D33" s="426" t="str">
        <f>IF(RWDI_FACTORS!I25="","",RWDI_FACTORS!I25)</f>
        <v/>
      </c>
      <c r="E33" s="426" t="str">
        <f>IF(RWDI_FACTORS!J25="","",RWDI_FACTORS!J25)</f>
        <v/>
      </c>
      <c r="F33" s="426" t="str">
        <f>IF(RWDI_FACTORS!K25="","",RWDI_FACTORS!K25)</f>
        <v/>
      </c>
      <c r="G33" s="426" t="str">
        <f>IF(RWDI_FACTORS!L25="","",RWDI_FACTORS!L25)</f>
        <v/>
      </c>
      <c r="H33" s="371" t="str">
        <f>IF(RWDI_FACTORS!M25="","",RWDI_FACTORS!M25)</f>
        <v/>
      </c>
      <c r="I33" s="371" t="str">
        <f>IF(RWDI_FACTORS!N25="","",RWDI_FACTORS!N25)</f>
        <v/>
      </c>
      <c r="J33" s="371" t="str">
        <f>IF(RWDI_FACTORS!O25="","",RWDI_FACTORS!O25)</f>
        <v/>
      </c>
      <c r="K33" s="371" t="str">
        <f>IF(RWDI_FACTORS!P25="","",RWDI_FACTORS!P25)</f>
        <v/>
      </c>
      <c r="L33" s="371" t="str">
        <f>IF(RWDI_FACTORS!Q25="","",RWDI_FACTORS!Q25)</f>
        <v/>
      </c>
      <c r="M33" s="371" t="str">
        <f>IF(RWDI_FACTORS!R25="","",RWDI_FACTORS!R25)</f>
        <v/>
      </c>
      <c r="N33" s="371" t="str">
        <f>IF(RWDI_FACTORS!S25="","",RWDI_FACTORS!S25)</f>
        <v/>
      </c>
      <c r="O33" s="371" t="str">
        <f>IF(RWDI_FACTORS!T25="","",RWDI_FACTORS!T25)</f>
        <v/>
      </c>
      <c r="P33" s="371" t="str">
        <f>IF(RWDI_FACTORS!U25="","",RWDI_FACTORS!U25)</f>
        <v/>
      </c>
      <c r="Q33" s="371" t="str">
        <f>IF(RWDI_FACTORS!V25="","",RWDI_FACTORS!V25)</f>
        <v/>
      </c>
      <c r="R33" s="371" t="str">
        <f>IF(RWDI_FACTORS!W25="","",RWDI_FACTORS!W25)</f>
        <v/>
      </c>
      <c r="S33" s="371" t="str">
        <f>IF(RWDI_FACTORS!X25="","",RWDI_FACTORS!X25)</f>
        <v/>
      </c>
      <c r="T33" s="371" t="str">
        <f>IF(RWDI_FACTORS!Y25="","",RWDI_FACTORS!Y25)</f>
        <v/>
      </c>
      <c r="U33" s="371" t="str">
        <f>IF(RWDI_FACTORS!Z25="","",RWDI_FACTORS!Z25)</f>
        <v/>
      </c>
      <c r="V33" s="371" t="str">
        <f>IF(RWDI_FACTORS!AA25="","",RWDI_FACTORS!AA25)</f>
        <v/>
      </c>
      <c r="W33" s="371" t="str">
        <f>IF(RWDI_FACTORS!AB25="","",RWDI_FACTORS!AB25)</f>
        <v/>
      </c>
      <c r="X33" s="371" t="str">
        <f>IF(RWDI_FACTORS!AC25="","",RWDI_FACTORS!AC25)</f>
        <v/>
      </c>
      <c r="Y33" s="371" t="str">
        <f>IF(RWDI_FACTORS!AD25="","",RWDI_FACTORS!AD25)</f>
        <v/>
      </c>
      <c r="Z33" s="371" t="str">
        <f>IF(RWDI_FACTORS!AE25="","",RWDI_FACTORS!AE25)</f>
        <v/>
      </c>
      <c r="AA33" s="371" t="str">
        <f>IF(RWDI_FACTORS!AF25="","",RWDI_FACTORS!AF25)</f>
        <v/>
      </c>
    </row>
    <row r="34" spans="1:27" ht="15.75" x14ac:dyDescent="0.3">
      <c r="A34" s="72"/>
      <c r="B34" s="1176" t="s">
        <v>811</v>
      </c>
      <c r="C34" s="426"/>
      <c r="D34" s="426" t="str">
        <f>IF(RWDI_FACTORS!I26="","",RWDI_FACTORS!I26)</f>
        <v/>
      </c>
      <c r="E34" s="426" t="str">
        <f>IF(RWDI_FACTORS!J26="","",RWDI_FACTORS!J26)</f>
        <v/>
      </c>
      <c r="F34" s="426" t="str">
        <f>IF(RWDI_FACTORS!K26="","",RWDI_FACTORS!K26)</f>
        <v/>
      </c>
      <c r="G34" s="426" t="str">
        <f>IF(RWDI_FACTORS!L26="","",RWDI_FACTORS!L26)</f>
        <v/>
      </c>
      <c r="H34" s="371" t="str">
        <f>IF(RWDI_FACTORS!M26="","",RWDI_FACTORS!M26)</f>
        <v/>
      </c>
      <c r="I34" s="371" t="str">
        <f>IF(RWDI_FACTORS!N26="","",RWDI_FACTORS!N26)</f>
        <v/>
      </c>
      <c r="J34" s="371" t="str">
        <f>IF(RWDI_FACTORS!O26="","",RWDI_FACTORS!O26)</f>
        <v/>
      </c>
      <c r="K34" s="371" t="str">
        <f>IF(RWDI_FACTORS!P26="","",RWDI_FACTORS!P26)</f>
        <v/>
      </c>
      <c r="L34" s="371" t="str">
        <f>IF(RWDI_FACTORS!Q26="","",RWDI_FACTORS!Q26)</f>
        <v/>
      </c>
      <c r="M34" s="371" t="str">
        <f>IF(RWDI_FACTORS!R26="","",RWDI_FACTORS!R26)</f>
        <v/>
      </c>
      <c r="N34" s="371" t="str">
        <f>IF(RWDI_FACTORS!S26="","",RWDI_FACTORS!S26)</f>
        <v/>
      </c>
      <c r="O34" s="371" t="str">
        <f>IF(RWDI_FACTORS!T26="","",RWDI_FACTORS!T26)</f>
        <v/>
      </c>
      <c r="P34" s="371" t="str">
        <f>IF(RWDI_FACTORS!U26="","",RWDI_FACTORS!U26)</f>
        <v/>
      </c>
      <c r="Q34" s="371" t="str">
        <f>IF(RWDI_FACTORS!V26="","",RWDI_FACTORS!V26)</f>
        <v/>
      </c>
      <c r="R34" s="371" t="str">
        <f>IF(RWDI_FACTORS!W26="","",RWDI_FACTORS!W26)</f>
        <v/>
      </c>
      <c r="S34" s="371" t="str">
        <f>IF(RWDI_FACTORS!X26="","",RWDI_FACTORS!X26)</f>
        <v/>
      </c>
      <c r="T34" s="371" t="str">
        <f>IF(RWDI_FACTORS!Y26="","",RWDI_FACTORS!Y26)</f>
        <v/>
      </c>
      <c r="U34" s="371" t="str">
        <f>IF(RWDI_FACTORS!Z26="","",RWDI_FACTORS!Z26)</f>
        <v/>
      </c>
      <c r="V34" s="371" t="str">
        <f>IF(RWDI_FACTORS!AA26="","",RWDI_FACTORS!AA26)</f>
        <v/>
      </c>
      <c r="W34" s="371" t="str">
        <f>IF(RWDI_FACTORS!AB26="","",RWDI_FACTORS!AB26)</f>
        <v/>
      </c>
      <c r="X34" s="371" t="str">
        <f>IF(RWDI_FACTORS!AC26="","",RWDI_FACTORS!AC26)</f>
        <v/>
      </c>
      <c r="Y34" s="371" t="str">
        <f>IF(RWDI_FACTORS!AD26="","",RWDI_FACTORS!AD26)</f>
        <v>Calcs to rescale to Exposure C for FBC High Speed Hurricane Zone requirements</v>
      </c>
      <c r="Z34" s="371" t="str">
        <f>IF(RWDI_FACTORS!AE26="","",RWDI_FACTORS!AE26)</f>
        <v/>
      </c>
      <c r="AA34" s="371" t="str">
        <f>IF(RWDI_FACTORS!AF26="","",RWDI_FACTORS!AF26)</f>
        <v/>
      </c>
    </row>
    <row r="35" spans="1:27" x14ac:dyDescent="0.2">
      <c r="A35" s="72"/>
      <c r="B35" s="1177" t="s">
        <v>812</v>
      </c>
      <c r="C35" s="426"/>
      <c r="D35" s="426" t="str">
        <f>IF(RWDI_FACTORS!I27="","",RWDI_FACTORS!I27)</f>
        <v/>
      </c>
      <c r="E35" s="426" t="str">
        <f>IF(RWDI_FACTORS!J27="","",RWDI_FACTORS!J27)</f>
        <v/>
      </c>
      <c r="F35" s="426" t="str">
        <f>IF(RWDI_FACTORS!K27="","",RWDI_FACTORS!K27)</f>
        <v/>
      </c>
      <c r="G35" s="426" t="str">
        <f>IF(RWDI_FACTORS!L27="","",RWDI_FACTORS!L27)</f>
        <v/>
      </c>
      <c r="H35" s="371" t="str">
        <f>IF(RWDI_FACTORS!M27="","",RWDI_FACTORS!M27)</f>
        <v/>
      </c>
      <c r="I35" s="371" t="str">
        <f>IF(RWDI_FACTORS!N27="","",RWDI_FACTORS!N27)</f>
        <v/>
      </c>
      <c r="J35" s="371" t="str">
        <f>IF(RWDI_FACTORS!O27="","",RWDI_FACTORS!O27)</f>
        <v/>
      </c>
      <c r="K35" s="371" t="str">
        <f>IF(RWDI_FACTORS!P27="","",RWDI_FACTORS!P27)</f>
        <v/>
      </c>
      <c r="L35" s="371" t="str">
        <f>IF(RWDI_FACTORS!Q27="","",RWDI_FACTORS!Q27)</f>
        <v/>
      </c>
      <c r="M35" s="371" t="str">
        <f>IF(RWDI_FACTORS!R27="","",RWDI_FACTORS!R27)</f>
        <v/>
      </c>
      <c r="N35" s="371" t="str">
        <f>IF(RWDI_FACTORS!S27="","",RWDI_FACTORS!S27)</f>
        <v/>
      </c>
      <c r="O35" s="371" t="str">
        <f>IF(RWDI_FACTORS!T27="","",RWDI_FACTORS!T27)</f>
        <v/>
      </c>
      <c r="P35" s="371" t="str">
        <f>IF(RWDI_FACTORS!U27="","",RWDI_FACTORS!U27)</f>
        <v/>
      </c>
      <c r="Q35" s="371" t="str">
        <f>IF(RWDI_FACTORS!V27="","",RWDI_FACTORS!V27)</f>
        <v/>
      </c>
      <c r="R35" s="371" t="str">
        <f>IF(RWDI_FACTORS!W27="","",RWDI_FACTORS!W27)</f>
        <v/>
      </c>
      <c r="S35" s="371" t="str">
        <f>IF(RWDI_FACTORS!X27="","",RWDI_FACTORS!X27)</f>
        <v/>
      </c>
      <c r="T35" s="371" t="str">
        <f>IF(RWDI_FACTORS!Y27="","",RWDI_FACTORS!Y27)</f>
        <v/>
      </c>
      <c r="U35" s="371" t="str">
        <f>IF(RWDI_FACTORS!Z27="","",RWDI_FACTORS!Z27)</f>
        <v/>
      </c>
      <c r="V35" s="371" t="str">
        <f>IF(RWDI_FACTORS!AA27="","",RWDI_FACTORS!AA27)</f>
        <v/>
      </c>
      <c r="W35" s="371" t="str">
        <f>IF(RWDI_FACTORS!AB27="","",RWDI_FACTORS!AB27)</f>
        <v/>
      </c>
      <c r="X35" s="371" t="str">
        <f>IF(RWDI_FACTORS!AC27="","",RWDI_FACTORS!AC27)</f>
        <v/>
      </c>
      <c r="Y35" s="371" t="str">
        <f>IF(RWDI_FACTORS!AE27="","",RWDI_FACTORS!AE27)</f>
        <v/>
      </c>
      <c r="Z35" s="371" t="str">
        <f>IF(RWDI_FACTORS!AF27="","",RWDI_FACTORS!AF27)</f>
        <v/>
      </c>
      <c r="AA35" s="371" t="str">
        <f>IF(RWDI_FACTORS!AK27="","",RWDI_FACTORS!AK27)</f>
        <v/>
      </c>
    </row>
    <row r="36" spans="1:27" x14ac:dyDescent="0.2">
      <c r="A36" s="72"/>
      <c r="B36" s="9"/>
      <c r="C36" s="8"/>
      <c r="D36" s="8"/>
      <c r="E36" s="16"/>
      <c r="F36" s="8"/>
      <c r="G36" s="8"/>
      <c r="H36" s="16"/>
      <c r="I36" s="8"/>
      <c r="J36" s="8"/>
      <c r="K36" s="8"/>
      <c r="L36" s="8"/>
      <c r="M36" s="8"/>
      <c r="N36" s="8"/>
      <c r="O36" s="8"/>
      <c r="P36" s="8"/>
      <c r="Q36" s="16"/>
      <c r="R36" s="8"/>
      <c r="S36" s="8"/>
      <c r="T36" s="16"/>
      <c r="U36" s="8"/>
      <c r="V36" s="8"/>
      <c r="W36" s="8"/>
      <c r="X36" s="8"/>
      <c r="Y36" s="8"/>
      <c r="Z36" s="8"/>
      <c r="AA36" s="8"/>
    </row>
    <row r="37" spans="1:27" x14ac:dyDescent="0.2">
      <c r="A37" s="72"/>
      <c r="B37" s="13"/>
      <c r="C37" s="12"/>
      <c r="D37" s="12"/>
      <c r="E37" s="17"/>
      <c r="F37" s="12"/>
      <c r="G37" s="12"/>
      <c r="H37" s="17"/>
      <c r="I37" s="12"/>
      <c r="J37" s="12"/>
      <c r="K37" s="12"/>
      <c r="L37" s="12"/>
      <c r="M37" s="12"/>
      <c r="N37" s="12"/>
      <c r="O37" s="12"/>
      <c r="P37" s="12"/>
      <c r="Q37" s="17"/>
      <c r="R37" s="12"/>
      <c r="S37" s="12"/>
      <c r="T37" s="17"/>
      <c r="U37" s="12"/>
      <c r="V37" s="12"/>
      <c r="W37" s="12"/>
      <c r="X37" s="12"/>
      <c r="Y37" s="12"/>
      <c r="Z37" s="12"/>
      <c r="AA37" s="12"/>
    </row>
    <row r="38" spans="1:27" x14ac:dyDescent="0.2">
      <c r="A38" s="72"/>
      <c r="B38" s="9"/>
      <c r="C38" s="8"/>
      <c r="D38" s="8"/>
      <c r="E38" s="16"/>
      <c r="F38" s="8"/>
      <c r="G38" s="8"/>
      <c r="H38" s="16"/>
      <c r="I38" s="8"/>
      <c r="J38" s="8"/>
      <c r="K38" s="8"/>
      <c r="L38" s="8"/>
      <c r="M38" s="8"/>
      <c r="N38" s="8"/>
      <c r="O38" s="8"/>
      <c r="P38" s="8"/>
      <c r="Q38" s="16"/>
      <c r="R38" s="8"/>
      <c r="S38" s="8"/>
      <c r="T38" s="16"/>
      <c r="U38" s="8"/>
      <c r="V38" s="8"/>
      <c r="W38" s="8"/>
      <c r="X38" s="8"/>
      <c r="Y38" s="8"/>
      <c r="Z38" s="8"/>
      <c r="AA38" s="8"/>
    </row>
    <row r="39" spans="1:27" x14ac:dyDescent="0.2">
      <c r="A39" s="72"/>
      <c r="B39" s="13"/>
      <c r="C39" s="12"/>
      <c r="D39" s="12"/>
      <c r="E39" s="17"/>
      <c r="F39" s="12"/>
      <c r="G39" s="12"/>
      <c r="H39" s="17"/>
      <c r="I39" s="12"/>
      <c r="J39" s="12"/>
      <c r="K39" s="12"/>
      <c r="L39" s="12"/>
      <c r="M39" s="12"/>
      <c r="N39" s="12"/>
      <c r="O39" s="12"/>
      <c r="P39" s="12"/>
      <c r="Q39" s="17"/>
      <c r="R39" s="12"/>
      <c r="S39" s="12"/>
      <c r="T39" s="17"/>
      <c r="U39" s="12"/>
      <c r="V39" s="12"/>
      <c r="W39" s="12"/>
      <c r="X39" s="12"/>
      <c r="Y39" s="12"/>
      <c r="Z39" s="12"/>
      <c r="AA39" s="12"/>
    </row>
    <row r="40" spans="1:27" x14ac:dyDescent="0.2">
      <c r="A40" s="72"/>
      <c r="B40" s="9"/>
      <c r="C40" s="8"/>
      <c r="D40" s="8"/>
      <c r="E40" s="16"/>
      <c r="F40" s="8"/>
      <c r="G40" s="8"/>
      <c r="H40" s="16"/>
      <c r="I40" s="8"/>
      <c r="J40" s="8"/>
      <c r="K40" s="8"/>
      <c r="L40" s="8"/>
      <c r="M40" s="8"/>
      <c r="N40" s="8"/>
      <c r="O40" s="8"/>
      <c r="P40" s="8"/>
      <c r="Q40" s="16"/>
      <c r="R40" s="8"/>
      <c r="S40" s="8"/>
      <c r="T40" s="16"/>
      <c r="U40" s="8"/>
      <c r="V40" s="8"/>
      <c r="W40" s="8"/>
      <c r="X40" s="8"/>
      <c r="Y40" s="8"/>
      <c r="Z40" s="8"/>
      <c r="AA40" s="8"/>
    </row>
    <row r="41" spans="1:27" x14ac:dyDescent="0.2">
      <c r="A41" s="72"/>
      <c r="B41" s="13"/>
      <c r="C41" s="12"/>
      <c r="D41" s="12"/>
      <c r="E41" s="17"/>
      <c r="F41" s="12"/>
      <c r="G41" s="12"/>
      <c r="H41" s="17"/>
      <c r="I41" s="12"/>
      <c r="J41" s="12"/>
      <c r="K41" s="12"/>
      <c r="L41" s="12"/>
      <c r="M41" s="12"/>
      <c r="N41" s="12"/>
      <c r="O41" s="12"/>
      <c r="P41" s="12"/>
      <c r="Q41" s="17"/>
      <c r="R41" s="12"/>
      <c r="S41" s="12"/>
      <c r="T41" s="17"/>
      <c r="U41" s="12"/>
      <c r="V41" s="12"/>
      <c r="W41" s="12"/>
      <c r="X41" s="12"/>
      <c r="Y41" s="12"/>
      <c r="Z41" s="12"/>
      <c r="AA41" s="12"/>
    </row>
    <row r="42" spans="1:27" x14ac:dyDescent="0.2">
      <c r="A42" s="72"/>
      <c r="B42" s="9"/>
      <c r="C42" s="8"/>
      <c r="D42" s="8"/>
      <c r="E42" s="16"/>
      <c r="F42" s="8"/>
      <c r="G42" s="8"/>
      <c r="H42" s="16"/>
      <c r="I42" s="8"/>
      <c r="J42" s="8"/>
      <c r="K42" s="8"/>
      <c r="L42" s="8"/>
      <c r="M42" s="8"/>
      <c r="N42" s="8"/>
      <c r="O42" s="8"/>
      <c r="P42" s="8"/>
      <c r="Q42" s="16"/>
      <c r="R42" s="8"/>
      <c r="S42" s="8"/>
      <c r="T42" s="16"/>
      <c r="U42" s="8"/>
      <c r="V42" s="8"/>
      <c r="W42" s="8"/>
      <c r="X42" s="8"/>
      <c r="Y42" s="8"/>
      <c r="Z42" s="8"/>
      <c r="AA42" s="8"/>
    </row>
    <row r="43" spans="1:27" ht="13.5" thickBot="1" x14ac:dyDescent="0.25">
      <c r="A43" s="73"/>
      <c r="B43" s="13"/>
      <c r="C43" s="12"/>
      <c r="D43" s="12"/>
      <c r="E43" s="17"/>
      <c r="F43" s="12"/>
      <c r="G43" s="12"/>
      <c r="H43" s="17"/>
      <c r="I43" s="12"/>
      <c r="J43" s="12"/>
      <c r="K43" s="12"/>
      <c r="L43" s="12"/>
      <c r="M43" s="12"/>
      <c r="N43" s="12"/>
      <c r="O43" s="12"/>
      <c r="P43" s="12"/>
      <c r="Q43" s="17"/>
      <c r="R43" s="12"/>
      <c r="S43" s="12"/>
      <c r="T43" s="17"/>
      <c r="U43" s="12"/>
      <c r="V43" s="12"/>
      <c r="W43" s="12"/>
      <c r="X43" s="12"/>
      <c r="Y43" s="12"/>
      <c r="Z43" s="12"/>
      <c r="AA43" s="12"/>
    </row>
    <row r="46" spans="1:27" x14ac:dyDescent="0.2">
      <c r="A46" s="424">
        <v>3</v>
      </c>
    </row>
    <row r="47" spans="1:27" x14ac:dyDescent="0.2">
      <c r="A47" s="424">
        <v>5</v>
      </c>
    </row>
    <row r="48" spans="1:27" x14ac:dyDescent="0.2">
      <c r="A48" s="424">
        <v>10</v>
      </c>
    </row>
    <row r="49" spans="1:1" x14ac:dyDescent="0.2">
      <c r="A49" s="424">
        <v>25</v>
      </c>
    </row>
    <row r="50" spans="1:1" x14ac:dyDescent="0.2">
      <c r="A50" s="424">
        <v>50</v>
      </c>
    </row>
    <row r="51" spans="1:1" x14ac:dyDescent="0.2">
      <c r="A51" s="424">
        <v>100</v>
      </c>
    </row>
    <row r="52" spans="1:1" x14ac:dyDescent="0.2">
      <c r="A52" s="424">
        <v>200</v>
      </c>
    </row>
    <row r="53" spans="1:1" x14ac:dyDescent="0.2">
      <c r="A53" s="424">
        <v>400</v>
      </c>
    </row>
    <row r="54" spans="1:1" x14ac:dyDescent="0.2">
      <c r="A54" s="424">
        <v>600</v>
      </c>
    </row>
    <row r="55" spans="1:1" x14ac:dyDescent="0.2">
      <c r="A55" s="424">
        <v>1000</v>
      </c>
    </row>
    <row r="56" spans="1:1" x14ac:dyDescent="0.2">
      <c r="A56" s="424">
        <v>3000</v>
      </c>
    </row>
    <row r="57" spans="1:1" x14ac:dyDescent="0.2">
      <c r="A57" s="369">
        <f>RWDI_FACTORS!$F$6*0.3</f>
        <v>54.3</v>
      </c>
    </row>
    <row r="58" spans="1:1" x14ac:dyDescent="0.2">
      <c r="A58" s="369">
        <f>RWDI_FACTORS!$F$6*0.5</f>
        <v>90.5</v>
      </c>
    </row>
    <row r="59" spans="1:1" x14ac:dyDescent="0.2">
      <c r="A59" s="425">
        <f>+RWDI_FACTORS!$F$8</f>
        <v>120.727</v>
      </c>
    </row>
    <row r="60" spans="1:1" x14ac:dyDescent="0.2">
      <c r="A60" s="369">
        <f>RWDI_FACTORS!$F$6*0.8</f>
        <v>144.80000000000001</v>
      </c>
    </row>
    <row r="61" spans="1:1" x14ac:dyDescent="0.2">
      <c r="A61" s="369">
        <f>RWDI_FACTORS!$F$6</f>
        <v>181</v>
      </c>
    </row>
  </sheetData>
  <phoneticPr fontId="0" type="noConversion"/>
  <printOptions headings="1"/>
  <pageMargins left="0.74803149606299213" right="0.74803149606299213" top="0.98425196850393704" bottom="0.98425196850393704" header="0.51181102362204722" footer="0.51181102362204722"/>
  <pageSetup paperSize="9" scale="85"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27" r:id="rId4" name="Check Box 79">
              <controlPr defaultSize="0" autoFill="0" autoLine="0" autoPict="0">
                <anchor moveWithCells="1" sizeWithCells="1">
                  <from>
                    <xdr:col>1</xdr:col>
                    <xdr:colOff>19050</xdr:colOff>
                    <xdr:row>4</xdr:row>
                    <xdr:rowOff>38100</xdr:rowOff>
                  </from>
                  <to>
                    <xdr:col>1</xdr:col>
                    <xdr:colOff>1762125</xdr:colOff>
                    <xdr:row>5</xdr:row>
                    <xdr:rowOff>95250</xdr:rowOff>
                  </to>
                </anchor>
              </controlPr>
            </control>
          </mc:Choice>
        </mc:AlternateContent>
        <mc:AlternateContent xmlns:mc="http://schemas.openxmlformats.org/markup-compatibility/2006">
          <mc:Choice Requires="x14">
            <control shapeId="2128" r:id="rId5" name="Check Box 80">
              <controlPr defaultSize="0" autoFill="0" autoLine="0" autoPict="0">
                <anchor moveWithCells="1" sizeWithCells="1">
                  <from>
                    <xdr:col>1</xdr:col>
                    <xdr:colOff>19050</xdr:colOff>
                    <xdr:row>5</xdr:row>
                    <xdr:rowOff>57150</xdr:rowOff>
                  </from>
                  <to>
                    <xdr:col>2</xdr:col>
                    <xdr:colOff>0</xdr:colOff>
                    <xdr:row>6</xdr:row>
                    <xdr:rowOff>114300</xdr:rowOff>
                  </to>
                </anchor>
              </controlPr>
            </control>
          </mc:Choice>
        </mc:AlternateContent>
        <mc:AlternateContent xmlns:mc="http://schemas.openxmlformats.org/markup-compatibility/2006">
          <mc:Choice Requires="x14">
            <control shapeId="2149" r:id="rId6" name="Check Box 101">
              <controlPr defaultSize="0" autoFill="0" autoLine="0" autoPict="0">
                <anchor moveWithCells="1" sizeWithCells="1">
                  <from>
                    <xdr:col>3</xdr:col>
                    <xdr:colOff>104775</xdr:colOff>
                    <xdr:row>11</xdr:row>
                    <xdr:rowOff>133350</xdr:rowOff>
                  </from>
                  <to>
                    <xdr:col>3</xdr:col>
                    <xdr:colOff>523875</xdr:colOff>
                    <xdr:row>13</xdr:row>
                    <xdr:rowOff>28575</xdr:rowOff>
                  </to>
                </anchor>
              </controlPr>
            </control>
          </mc:Choice>
        </mc:AlternateContent>
        <mc:AlternateContent xmlns:mc="http://schemas.openxmlformats.org/markup-compatibility/2006">
          <mc:Choice Requires="x14">
            <control shapeId="2151" r:id="rId7" name="Check Box 103">
              <controlPr defaultSize="0" autoFill="0" autoLine="0" autoPict="0">
                <anchor moveWithCells="1" sizeWithCells="1">
                  <from>
                    <xdr:col>4</xdr:col>
                    <xdr:colOff>95250</xdr:colOff>
                    <xdr:row>11</xdr:row>
                    <xdr:rowOff>133350</xdr:rowOff>
                  </from>
                  <to>
                    <xdr:col>4</xdr:col>
                    <xdr:colOff>514350</xdr:colOff>
                    <xdr:row>13</xdr:row>
                    <xdr:rowOff>28575</xdr:rowOff>
                  </to>
                </anchor>
              </controlPr>
            </control>
          </mc:Choice>
        </mc:AlternateContent>
        <mc:AlternateContent xmlns:mc="http://schemas.openxmlformats.org/markup-compatibility/2006">
          <mc:Choice Requires="x14">
            <control shapeId="2157" r:id="rId8" name="Check Box 109">
              <controlPr defaultSize="0" autoFill="0" autoLine="0" autoPict="0">
                <anchor moveWithCells="1" sizeWithCells="1">
                  <from>
                    <xdr:col>5</xdr:col>
                    <xdr:colOff>104775</xdr:colOff>
                    <xdr:row>11</xdr:row>
                    <xdr:rowOff>133350</xdr:rowOff>
                  </from>
                  <to>
                    <xdr:col>5</xdr:col>
                    <xdr:colOff>523875</xdr:colOff>
                    <xdr:row>13</xdr:row>
                    <xdr:rowOff>28575</xdr:rowOff>
                  </to>
                </anchor>
              </controlPr>
            </control>
          </mc:Choice>
        </mc:AlternateContent>
        <mc:AlternateContent xmlns:mc="http://schemas.openxmlformats.org/markup-compatibility/2006">
          <mc:Choice Requires="x14">
            <control shapeId="2158" r:id="rId9" name="Check Box 110">
              <controlPr defaultSize="0" autoFill="0" autoLine="0" autoPict="0">
                <anchor moveWithCells="1" sizeWithCells="1">
                  <from>
                    <xdr:col>6</xdr:col>
                    <xdr:colOff>104775</xdr:colOff>
                    <xdr:row>11</xdr:row>
                    <xdr:rowOff>133350</xdr:rowOff>
                  </from>
                  <to>
                    <xdr:col>6</xdr:col>
                    <xdr:colOff>523875</xdr:colOff>
                    <xdr:row>13</xdr:row>
                    <xdr:rowOff>28575</xdr:rowOff>
                  </to>
                </anchor>
              </controlPr>
            </control>
          </mc:Choice>
        </mc:AlternateContent>
        <mc:AlternateContent xmlns:mc="http://schemas.openxmlformats.org/markup-compatibility/2006">
          <mc:Choice Requires="x14">
            <control shapeId="2159" r:id="rId10" name="Check Box 111">
              <controlPr defaultSize="0" autoFill="0" autoLine="0" autoPict="0">
                <anchor moveWithCells="1" sizeWithCells="1">
                  <from>
                    <xdr:col>7</xdr:col>
                    <xdr:colOff>104775</xdr:colOff>
                    <xdr:row>11</xdr:row>
                    <xdr:rowOff>133350</xdr:rowOff>
                  </from>
                  <to>
                    <xdr:col>7</xdr:col>
                    <xdr:colOff>523875</xdr:colOff>
                    <xdr:row>13</xdr:row>
                    <xdr:rowOff>28575</xdr:rowOff>
                  </to>
                </anchor>
              </controlPr>
            </control>
          </mc:Choice>
        </mc:AlternateContent>
        <mc:AlternateContent xmlns:mc="http://schemas.openxmlformats.org/markup-compatibility/2006">
          <mc:Choice Requires="x14">
            <control shapeId="2160" r:id="rId11" name="Check Box 112">
              <controlPr defaultSize="0" autoFill="0" autoLine="0" autoPict="0">
                <anchor moveWithCells="1" sizeWithCells="1">
                  <from>
                    <xdr:col>8</xdr:col>
                    <xdr:colOff>104775</xdr:colOff>
                    <xdr:row>11</xdr:row>
                    <xdr:rowOff>133350</xdr:rowOff>
                  </from>
                  <to>
                    <xdr:col>8</xdr:col>
                    <xdr:colOff>523875</xdr:colOff>
                    <xdr:row>13</xdr:row>
                    <xdr:rowOff>28575</xdr:rowOff>
                  </to>
                </anchor>
              </controlPr>
            </control>
          </mc:Choice>
        </mc:AlternateContent>
        <mc:AlternateContent xmlns:mc="http://schemas.openxmlformats.org/markup-compatibility/2006">
          <mc:Choice Requires="x14">
            <control shapeId="2170" r:id="rId12" name="Check Box 122">
              <controlPr defaultSize="0" autoFill="0" autoLine="0" autoPict="0">
                <anchor moveWithCells="1">
                  <from>
                    <xdr:col>9</xdr:col>
                    <xdr:colOff>114300</xdr:colOff>
                    <xdr:row>11</xdr:row>
                    <xdr:rowOff>133350</xdr:rowOff>
                  </from>
                  <to>
                    <xdr:col>9</xdr:col>
                    <xdr:colOff>485775</xdr:colOff>
                    <xdr:row>13</xdr:row>
                    <xdr:rowOff>28575</xdr:rowOff>
                  </to>
                </anchor>
              </controlPr>
            </control>
          </mc:Choice>
        </mc:AlternateContent>
        <mc:AlternateContent xmlns:mc="http://schemas.openxmlformats.org/markup-compatibility/2006">
          <mc:Choice Requires="x14">
            <control shapeId="2188" r:id="rId13" name="Check Box 140">
              <controlPr defaultSize="0" autoFill="0" autoLine="0" autoPict="0">
                <anchor moveWithCells="1">
                  <from>
                    <xdr:col>10</xdr:col>
                    <xdr:colOff>114300</xdr:colOff>
                    <xdr:row>11</xdr:row>
                    <xdr:rowOff>133350</xdr:rowOff>
                  </from>
                  <to>
                    <xdr:col>10</xdr:col>
                    <xdr:colOff>485775</xdr:colOff>
                    <xdr:row>13</xdr:row>
                    <xdr:rowOff>28575</xdr:rowOff>
                  </to>
                </anchor>
              </controlPr>
            </control>
          </mc:Choice>
        </mc:AlternateContent>
        <mc:AlternateContent xmlns:mc="http://schemas.openxmlformats.org/markup-compatibility/2006">
          <mc:Choice Requires="x14">
            <control shapeId="2189" r:id="rId14" name="Check Box 141">
              <controlPr defaultSize="0" autoFill="0" autoLine="0" autoPict="0">
                <anchor moveWithCells="1">
                  <from>
                    <xdr:col>11</xdr:col>
                    <xdr:colOff>114300</xdr:colOff>
                    <xdr:row>11</xdr:row>
                    <xdr:rowOff>133350</xdr:rowOff>
                  </from>
                  <to>
                    <xdr:col>11</xdr:col>
                    <xdr:colOff>485775</xdr:colOff>
                    <xdr:row>13</xdr:row>
                    <xdr:rowOff>28575</xdr:rowOff>
                  </to>
                </anchor>
              </controlPr>
            </control>
          </mc:Choice>
        </mc:AlternateContent>
        <mc:AlternateContent xmlns:mc="http://schemas.openxmlformats.org/markup-compatibility/2006">
          <mc:Choice Requires="x14">
            <control shapeId="2190" r:id="rId15" name="Check Box 142">
              <controlPr defaultSize="0" autoFill="0" autoLine="0" autoPict="0">
                <anchor moveWithCells="1">
                  <from>
                    <xdr:col>12</xdr:col>
                    <xdr:colOff>114300</xdr:colOff>
                    <xdr:row>11</xdr:row>
                    <xdr:rowOff>133350</xdr:rowOff>
                  </from>
                  <to>
                    <xdr:col>12</xdr:col>
                    <xdr:colOff>485775</xdr:colOff>
                    <xdr:row>13</xdr:row>
                    <xdr:rowOff>28575</xdr:rowOff>
                  </to>
                </anchor>
              </controlPr>
            </control>
          </mc:Choice>
        </mc:AlternateContent>
        <mc:AlternateContent xmlns:mc="http://schemas.openxmlformats.org/markup-compatibility/2006">
          <mc:Choice Requires="x14">
            <control shapeId="2191" r:id="rId16" name="Check Box 143">
              <controlPr defaultSize="0" autoFill="0" autoLine="0" autoPict="0">
                <anchor moveWithCells="1">
                  <from>
                    <xdr:col>13</xdr:col>
                    <xdr:colOff>114300</xdr:colOff>
                    <xdr:row>11</xdr:row>
                    <xdr:rowOff>133350</xdr:rowOff>
                  </from>
                  <to>
                    <xdr:col>13</xdr:col>
                    <xdr:colOff>485775</xdr:colOff>
                    <xdr:row>13</xdr:row>
                    <xdr:rowOff>28575</xdr:rowOff>
                  </to>
                </anchor>
              </controlPr>
            </control>
          </mc:Choice>
        </mc:AlternateContent>
        <mc:AlternateContent xmlns:mc="http://schemas.openxmlformats.org/markup-compatibility/2006">
          <mc:Choice Requires="x14">
            <control shapeId="2192" r:id="rId17" name="Check Box 144">
              <controlPr defaultSize="0" autoFill="0" autoLine="0" autoPict="0">
                <anchor moveWithCells="1">
                  <from>
                    <xdr:col>14</xdr:col>
                    <xdr:colOff>114300</xdr:colOff>
                    <xdr:row>11</xdr:row>
                    <xdr:rowOff>133350</xdr:rowOff>
                  </from>
                  <to>
                    <xdr:col>14</xdr:col>
                    <xdr:colOff>485775</xdr:colOff>
                    <xdr:row>13</xdr:row>
                    <xdr:rowOff>28575</xdr:rowOff>
                  </to>
                </anchor>
              </controlPr>
            </control>
          </mc:Choice>
        </mc:AlternateContent>
        <mc:AlternateContent xmlns:mc="http://schemas.openxmlformats.org/markup-compatibility/2006">
          <mc:Choice Requires="x14">
            <control shapeId="2193" r:id="rId18" name="Check Box 145">
              <controlPr defaultSize="0" autoFill="0" autoLine="0" autoPict="0">
                <anchor moveWithCells="1">
                  <from>
                    <xdr:col>15</xdr:col>
                    <xdr:colOff>114300</xdr:colOff>
                    <xdr:row>11</xdr:row>
                    <xdr:rowOff>133350</xdr:rowOff>
                  </from>
                  <to>
                    <xdr:col>15</xdr:col>
                    <xdr:colOff>485775</xdr:colOff>
                    <xdr:row>13</xdr:row>
                    <xdr:rowOff>28575</xdr:rowOff>
                  </to>
                </anchor>
              </controlPr>
            </control>
          </mc:Choice>
        </mc:AlternateContent>
        <mc:AlternateContent xmlns:mc="http://schemas.openxmlformats.org/markup-compatibility/2006">
          <mc:Choice Requires="x14">
            <control shapeId="2194" r:id="rId19" name="Check Box 146">
              <controlPr defaultSize="0" autoFill="0" autoLine="0" autoPict="0">
                <anchor moveWithCells="1">
                  <from>
                    <xdr:col>16</xdr:col>
                    <xdr:colOff>114300</xdr:colOff>
                    <xdr:row>11</xdr:row>
                    <xdr:rowOff>133350</xdr:rowOff>
                  </from>
                  <to>
                    <xdr:col>16</xdr:col>
                    <xdr:colOff>485775</xdr:colOff>
                    <xdr:row>13</xdr:row>
                    <xdr:rowOff>28575</xdr:rowOff>
                  </to>
                </anchor>
              </controlPr>
            </control>
          </mc:Choice>
        </mc:AlternateContent>
        <mc:AlternateContent xmlns:mc="http://schemas.openxmlformats.org/markup-compatibility/2006">
          <mc:Choice Requires="x14">
            <control shapeId="2195" r:id="rId20" name="Check Box 147">
              <controlPr defaultSize="0" autoFill="0" autoLine="0" autoPict="0">
                <anchor moveWithCells="1">
                  <from>
                    <xdr:col>17</xdr:col>
                    <xdr:colOff>114300</xdr:colOff>
                    <xdr:row>11</xdr:row>
                    <xdr:rowOff>133350</xdr:rowOff>
                  </from>
                  <to>
                    <xdr:col>17</xdr:col>
                    <xdr:colOff>485775</xdr:colOff>
                    <xdr:row>13</xdr:row>
                    <xdr:rowOff>28575</xdr:rowOff>
                  </to>
                </anchor>
              </controlPr>
            </control>
          </mc:Choice>
        </mc:AlternateContent>
        <mc:AlternateContent xmlns:mc="http://schemas.openxmlformats.org/markup-compatibility/2006">
          <mc:Choice Requires="x14">
            <control shapeId="2196" r:id="rId21" name="Check Box 148">
              <controlPr defaultSize="0" autoFill="0" autoLine="0" autoPict="0">
                <anchor moveWithCells="1">
                  <from>
                    <xdr:col>18</xdr:col>
                    <xdr:colOff>114300</xdr:colOff>
                    <xdr:row>11</xdr:row>
                    <xdr:rowOff>133350</xdr:rowOff>
                  </from>
                  <to>
                    <xdr:col>18</xdr:col>
                    <xdr:colOff>485775</xdr:colOff>
                    <xdr:row>13</xdr:row>
                    <xdr:rowOff>28575</xdr:rowOff>
                  </to>
                </anchor>
              </controlPr>
            </control>
          </mc:Choice>
        </mc:AlternateContent>
        <mc:AlternateContent xmlns:mc="http://schemas.openxmlformats.org/markup-compatibility/2006">
          <mc:Choice Requires="x14">
            <control shapeId="2197" r:id="rId22" name="Check Box 149">
              <controlPr defaultSize="0" autoFill="0" autoLine="0" autoPict="0">
                <anchor moveWithCells="1">
                  <from>
                    <xdr:col>19</xdr:col>
                    <xdr:colOff>114300</xdr:colOff>
                    <xdr:row>11</xdr:row>
                    <xdr:rowOff>133350</xdr:rowOff>
                  </from>
                  <to>
                    <xdr:col>19</xdr:col>
                    <xdr:colOff>485775</xdr:colOff>
                    <xdr:row>13</xdr:row>
                    <xdr:rowOff>28575</xdr:rowOff>
                  </to>
                </anchor>
              </controlPr>
            </control>
          </mc:Choice>
        </mc:AlternateContent>
        <mc:AlternateContent xmlns:mc="http://schemas.openxmlformats.org/markup-compatibility/2006">
          <mc:Choice Requires="x14">
            <control shapeId="2198" r:id="rId23" name="Check Box 150">
              <controlPr defaultSize="0" autoFill="0" autoLine="0" autoPict="0">
                <anchor moveWithCells="1">
                  <from>
                    <xdr:col>20</xdr:col>
                    <xdr:colOff>114300</xdr:colOff>
                    <xdr:row>11</xdr:row>
                    <xdr:rowOff>133350</xdr:rowOff>
                  </from>
                  <to>
                    <xdr:col>20</xdr:col>
                    <xdr:colOff>485775</xdr:colOff>
                    <xdr:row>13</xdr:row>
                    <xdr:rowOff>28575</xdr:rowOff>
                  </to>
                </anchor>
              </controlPr>
            </control>
          </mc:Choice>
        </mc:AlternateContent>
        <mc:AlternateContent xmlns:mc="http://schemas.openxmlformats.org/markup-compatibility/2006">
          <mc:Choice Requires="x14">
            <control shapeId="2199" r:id="rId24" name="Check Box 151">
              <controlPr defaultSize="0" autoFill="0" autoLine="0" autoPict="0">
                <anchor moveWithCells="1">
                  <from>
                    <xdr:col>21</xdr:col>
                    <xdr:colOff>114300</xdr:colOff>
                    <xdr:row>11</xdr:row>
                    <xdr:rowOff>133350</xdr:rowOff>
                  </from>
                  <to>
                    <xdr:col>21</xdr:col>
                    <xdr:colOff>485775</xdr:colOff>
                    <xdr:row>13</xdr:row>
                    <xdr:rowOff>28575</xdr:rowOff>
                  </to>
                </anchor>
              </controlPr>
            </control>
          </mc:Choice>
        </mc:AlternateContent>
        <mc:AlternateContent xmlns:mc="http://schemas.openxmlformats.org/markup-compatibility/2006">
          <mc:Choice Requires="x14">
            <control shapeId="2200" r:id="rId25" name="Check Box 152">
              <controlPr defaultSize="0" autoFill="0" autoLine="0" autoPict="0">
                <anchor moveWithCells="1">
                  <from>
                    <xdr:col>22</xdr:col>
                    <xdr:colOff>114300</xdr:colOff>
                    <xdr:row>11</xdr:row>
                    <xdr:rowOff>133350</xdr:rowOff>
                  </from>
                  <to>
                    <xdr:col>22</xdr:col>
                    <xdr:colOff>485775</xdr:colOff>
                    <xdr:row>13</xdr:row>
                    <xdr:rowOff>28575</xdr:rowOff>
                  </to>
                </anchor>
              </controlPr>
            </control>
          </mc:Choice>
        </mc:AlternateContent>
        <mc:AlternateContent xmlns:mc="http://schemas.openxmlformats.org/markup-compatibility/2006">
          <mc:Choice Requires="x14">
            <control shapeId="2201" r:id="rId26" name="Check Box 153">
              <controlPr defaultSize="0" autoFill="0" autoLine="0" autoPict="0">
                <anchor moveWithCells="1">
                  <from>
                    <xdr:col>23</xdr:col>
                    <xdr:colOff>114300</xdr:colOff>
                    <xdr:row>11</xdr:row>
                    <xdr:rowOff>133350</xdr:rowOff>
                  </from>
                  <to>
                    <xdr:col>23</xdr:col>
                    <xdr:colOff>485775</xdr:colOff>
                    <xdr:row>13</xdr:row>
                    <xdr:rowOff>28575</xdr:rowOff>
                  </to>
                </anchor>
              </controlPr>
            </control>
          </mc:Choice>
        </mc:AlternateContent>
        <mc:AlternateContent xmlns:mc="http://schemas.openxmlformats.org/markup-compatibility/2006">
          <mc:Choice Requires="x14">
            <control shapeId="2202" r:id="rId27" name="Check Box 154">
              <controlPr defaultSize="0" autoFill="0" autoLine="0" autoPict="0">
                <anchor moveWithCells="1">
                  <from>
                    <xdr:col>24</xdr:col>
                    <xdr:colOff>114300</xdr:colOff>
                    <xdr:row>11</xdr:row>
                    <xdr:rowOff>133350</xdr:rowOff>
                  </from>
                  <to>
                    <xdr:col>24</xdr:col>
                    <xdr:colOff>485775</xdr:colOff>
                    <xdr:row>13</xdr:row>
                    <xdr:rowOff>28575</xdr:rowOff>
                  </to>
                </anchor>
              </controlPr>
            </control>
          </mc:Choice>
        </mc:AlternateContent>
        <mc:AlternateContent xmlns:mc="http://schemas.openxmlformats.org/markup-compatibility/2006">
          <mc:Choice Requires="x14">
            <control shapeId="2203" r:id="rId28" name="Check Box 155">
              <controlPr defaultSize="0" autoFill="0" autoLine="0" autoPict="0">
                <anchor moveWithCells="1">
                  <from>
                    <xdr:col>25</xdr:col>
                    <xdr:colOff>114300</xdr:colOff>
                    <xdr:row>11</xdr:row>
                    <xdr:rowOff>133350</xdr:rowOff>
                  </from>
                  <to>
                    <xdr:col>25</xdr:col>
                    <xdr:colOff>485775</xdr:colOff>
                    <xdr:row>13</xdr:row>
                    <xdr:rowOff>28575</xdr:rowOff>
                  </to>
                </anchor>
              </controlPr>
            </control>
          </mc:Choice>
        </mc:AlternateContent>
        <mc:AlternateContent xmlns:mc="http://schemas.openxmlformats.org/markup-compatibility/2006">
          <mc:Choice Requires="x14">
            <control shapeId="2204" r:id="rId29" name="Check Box 156">
              <controlPr defaultSize="0" autoFill="0" autoLine="0" autoPict="0">
                <anchor moveWithCells="1">
                  <from>
                    <xdr:col>26</xdr:col>
                    <xdr:colOff>114300</xdr:colOff>
                    <xdr:row>11</xdr:row>
                    <xdr:rowOff>133350</xdr:rowOff>
                  </from>
                  <to>
                    <xdr:col>26</xdr:col>
                    <xdr:colOff>485775</xdr:colOff>
                    <xdr:row>13</xdr:row>
                    <xdr:rowOff>28575</xdr:rowOff>
                  </to>
                </anchor>
              </controlPr>
            </control>
          </mc:Choice>
        </mc:AlternateContent>
        <mc:AlternateContent xmlns:mc="http://schemas.openxmlformats.org/markup-compatibility/2006">
          <mc:Choice Requires="x14">
            <control shapeId="2186" r:id="rId30" name="Check Box 138">
              <controlPr defaultSize="0" autoFill="0" autoLine="0" autoPict="0">
                <anchor moveWithCells="1" sizeWithCells="1">
                  <from>
                    <xdr:col>2</xdr:col>
                    <xdr:colOff>47625</xdr:colOff>
                    <xdr:row>11</xdr:row>
                    <xdr:rowOff>133350</xdr:rowOff>
                  </from>
                  <to>
                    <xdr:col>2</xdr:col>
                    <xdr:colOff>561975</xdr:colOff>
                    <xdr:row>13</xdr:row>
                    <xdr:rowOff>28575</xdr:rowOff>
                  </to>
                </anchor>
              </controlPr>
            </control>
          </mc:Choice>
        </mc:AlternateContent>
        <mc:AlternateContent xmlns:mc="http://schemas.openxmlformats.org/markup-compatibility/2006">
          <mc:Choice Requires="x14">
            <control shapeId="2125" r:id="rId31" name="Check Box 77">
              <controlPr defaultSize="0" autoFill="0" autoLine="0" autoPict="0">
                <anchor moveWithCells="1" sizeWithCells="1">
                  <from>
                    <xdr:col>1</xdr:col>
                    <xdr:colOff>19050</xdr:colOff>
                    <xdr:row>1</xdr:row>
                    <xdr:rowOff>161925</xdr:rowOff>
                  </from>
                  <to>
                    <xdr:col>1</xdr:col>
                    <xdr:colOff>1781175</xdr:colOff>
                    <xdr:row>3</xdr:row>
                    <xdr:rowOff>28575</xdr:rowOff>
                  </to>
                </anchor>
              </controlPr>
            </control>
          </mc:Choice>
        </mc:AlternateContent>
        <mc:AlternateContent xmlns:mc="http://schemas.openxmlformats.org/markup-compatibility/2006">
          <mc:Choice Requires="x14">
            <control shapeId="2126" r:id="rId32" name="Check Box 78">
              <controlPr defaultSize="0" autoFill="0" autoLine="0" autoPict="0">
                <anchor moveWithCells="1" sizeWithCells="1">
                  <from>
                    <xdr:col>1</xdr:col>
                    <xdr:colOff>19050</xdr:colOff>
                    <xdr:row>3</xdr:row>
                    <xdr:rowOff>0</xdr:rowOff>
                  </from>
                  <to>
                    <xdr:col>1</xdr:col>
                    <xdr:colOff>1771650</xdr:colOff>
                    <xdr:row>4</xdr:row>
                    <xdr:rowOff>57150</xdr:rowOff>
                  </to>
                </anchor>
              </controlPr>
            </control>
          </mc:Choice>
        </mc:AlternateContent>
        <mc:AlternateContent xmlns:mc="http://schemas.openxmlformats.org/markup-compatibility/2006">
          <mc:Choice Requires="x14">
            <control shapeId="2228" r:id="rId33" name="Check Box 180">
              <controlPr defaultSize="0" autoFill="0" autoLine="0" autoPict="0">
                <anchor moveWithCells="1">
                  <from>
                    <xdr:col>13</xdr:col>
                    <xdr:colOff>114300</xdr:colOff>
                    <xdr:row>11</xdr:row>
                    <xdr:rowOff>133350</xdr:rowOff>
                  </from>
                  <to>
                    <xdr:col>13</xdr:col>
                    <xdr:colOff>485775</xdr:colOff>
                    <xdr:row>13</xdr:row>
                    <xdr:rowOff>38100</xdr:rowOff>
                  </to>
                </anchor>
              </controlPr>
            </control>
          </mc:Choice>
        </mc:AlternateContent>
        <mc:AlternateContent xmlns:mc="http://schemas.openxmlformats.org/markup-compatibility/2006">
          <mc:Choice Requires="x14">
            <control shapeId="2229" r:id="rId34" name="Check Box 181">
              <controlPr defaultSize="0" autoFill="0" autoLine="0" autoPict="0">
                <anchor moveWithCells="1">
                  <from>
                    <xdr:col>14</xdr:col>
                    <xdr:colOff>114300</xdr:colOff>
                    <xdr:row>11</xdr:row>
                    <xdr:rowOff>133350</xdr:rowOff>
                  </from>
                  <to>
                    <xdr:col>14</xdr:col>
                    <xdr:colOff>485775</xdr:colOff>
                    <xdr:row>13</xdr:row>
                    <xdr:rowOff>38100</xdr:rowOff>
                  </to>
                </anchor>
              </controlPr>
            </control>
          </mc:Choice>
        </mc:AlternateContent>
        <mc:AlternateContent xmlns:mc="http://schemas.openxmlformats.org/markup-compatibility/2006">
          <mc:Choice Requires="x14">
            <control shapeId="2261" r:id="rId35" name="Check Box 213">
              <controlPr defaultSize="0" autoFill="0" autoLine="0" autoPict="0">
                <anchor moveWithCells="1" sizeWithCells="1">
                  <from>
                    <xdr:col>3</xdr:col>
                    <xdr:colOff>104775</xdr:colOff>
                    <xdr:row>11</xdr:row>
                    <xdr:rowOff>133350</xdr:rowOff>
                  </from>
                  <to>
                    <xdr:col>3</xdr:col>
                    <xdr:colOff>523875</xdr:colOff>
                    <xdr:row>13</xdr:row>
                    <xdr:rowOff>28575</xdr:rowOff>
                  </to>
                </anchor>
              </controlPr>
            </control>
          </mc:Choice>
        </mc:AlternateContent>
        <mc:AlternateContent xmlns:mc="http://schemas.openxmlformats.org/markup-compatibility/2006">
          <mc:Choice Requires="x14">
            <control shapeId="2262" r:id="rId36" name="Check Box 214">
              <controlPr defaultSize="0" autoFill="0" autoLine="0" autoPict="0">
                <anchor moveWithCells="1" sizeWithCells="1">
                  <from>
                    <xdr:col>4</xdr:col>
                    <xdr:colOff>95250</xdr:colOff>
                    <xdr:row>11</xdr:row>
                    <xdr:rowOff>133350</xdr:rowOff>
                  </from>
                  <to>
                    <xdr:col>4</xdr:col>
                    <xdr:colOff>514350</xdr:colOff>
                    <xdr:row>13</xdr:row>
                    <xdr:rowOff>28575</xdr:rowOff>
                  </to>
                </anchor>
              </controlPr>
            </control>
          </mc:Choice>
        </mc:AlternateContent>
        <mc:AlternateContent xmlns:mc="http://schemas.openxmlformats.org/markup-compatibility/2006">
          <mc:Choice Requires="x14">
            <control shapeId="2263" r:id="rId37" name="Check Box 215">
              <controlPr defaultSize="0" autoFill="0" autoLine="0" autoPict="0">
                <anchor moveWithCells="1" sizeWithCells="1">
                  <from>
                    <xdr:col>5</xdr:col>
                    <xdr:colOff>104775</xdr:colOff>
                    <xdr:row>11</xdr:row>
                    <xdr:rowOff>133350</xdr:rowOff>
                  </from>
                  <to>
                    <xdr:col>5</xdr:col>
                    <xdr:colOff>523875</xdr:colOff>
                    <xdr:row>13</xdr:row>
                    <xdr:rowOff>28575</xdr:rowOff>
                  </to>
                </anchor>
              </controlPr>
            </control>
          </mc:Choice>
        </mc:AlternateContent>
        <mc:AlternateContent xmlns:mc="http://schemas.openxmlformats.org/markup-compatibility/2006">
          <mc:Choice Requires="x14">
            <control shapeId="2264" r:id="rId38" name="Check Box 216">
              <controlPr defaultSize="0" autoFill="0" autoLine="0" autoPict="0">
                <anchor moveWithCells="1" sizeWithCells="1">
                  <from>
                    <xdr:col>6</xdr:col>
                    <xdr:colOff>104775</xdr:colOff>
                    <xdr:row>11</xdr:row>
                    <xdr:rowOff>133350</xdr:rowOff>
                  </from>
                  <to>
                    <xdr:col>6</xdr:col>
                    <xdr:colOff>523875</xdr:colOff>
                    <xdr:row>13</xdr:row>
                    <xdr:rowOff>28575</xdr:rowOff>
                  </to>
                </anchor>
              </controlPr>
            </control>
          </mc:Choice>
        </mc:AlternateContent>
        <mc:AlternateContent xmlns:mc="http://schemas.openxmlformats.org/markup-compatibility/2006">
          <mc:Choice Requires="x14">
            <control shapeId="2265" r:id="rId39" name="Check Box 217">
              <controlPr defaultSize="0" autoFill="0" autoLine="0" autoPict="0">
                <anchor moveWithCells="1" sizeWithCells="1">
                  <from>
                    <xdr:col>7</xdr:col>
                    <xdr:colOff>104775</xdr:colOff>
                    <xdr:row>11</xdr:row>
                    <xdr:rowOff>133350</xdr:rowOff>
                  </from>
                  <to>
                    <xdr:col>7</xdr:col>
                    <xdr:colOff>523875</xdr:colOff>
                    <xdr:row>13</xdr:row>
                    <xdr:rowOff>28575</xdr:rowOff>
                  </to>
                </anchor>
              </controlPr>
            </control>
          </mc:Choice>
        </mc:AlternateContent>
        <mc:AlternateContent xmlns:mc="http://schemas.openxmlformats.org/markup-compatibility/2006">
          <mc:Choice Requires="x14">
            <control shapeId="2266" r:id="rId40" name="Check Box 218">
              <controlPr defaultSize="0" autoFill="0" autoLine="0" autoPict="0">
                <anchor moveWithCells="1" sizeWithCells="1">
                  <from>
                    <xdr:col>8</xdr:col>
                    <xdr:colOff>104775</xdr:colOff>
                    <xdr:row>11</xdr:row>
                    <xdr:rowOff>133350</xdr:rowOff>
                  </from>
                  <to>
                    <xdr:col>8</xdr:col>
                    <xdr:colOff>523875</xdr:colOff>
                    <xdr:row>13</xdr:row>
                    <xdr:rowOff>28575</xdr:rowOff>
                  </to>
                </anchor>
              </controlPr>
            </control>
          </mc:Choice>
        </mc:AlternateContent>
        <mc:AlternateContent xmlns:mc="http://schemas.openxmlformats.org/markup-compatibility/2006">
          <mc:Choice Requires="x14">
            <control shapeId="2267" r:id="rId41" name="Check Box 219">
              <controlPr defaultSize="0" autoFill="0" autoLine="0" autoPict="0">
                <anchor moveWithCells="1">
                  <from>
                    <xdr:col>9</xdr:col>
                    <xdr:colOff>114300</xdr:colOff>
                    <xdr:row>11</xdr:row>
                    <xdr:rowOff>133350</xdr:rowOff>
                  </from>
                  <to>
                    <xdr:col>9</xdr:col>
                    <xdr:colOff>485775</xdr:colOff>
                    <xdr:row>13</xdr:row>
                    <xdr:rowOff>28575</xdr:rowOff>
                  </to>
                </anchor>
              </controlPr>
            </control>
          </mc:Choice>
        </mc:AlternateContent>
        <mc:AlternateContent xmlns:mc="http://schemas.openxmlformats.org/markup-compatibility/2006">
          <mc:Choice Requires="x14">
            <control shapeId="2268" r:id="rId42" name="Check Box 220">
              <controlPr defaultSize="0" autoFill="0" autoLine="0" autoPict="0">
                <anchor moveWithCells="1">
                  <from>
                    <xdr:col>10</xdr:col>
                    <xdr:colOff>114300</xdr:colOff>
                    <xdr:row>11</xdr:row>
                    <xdr:rowOff>133350</xdr:rowOff>
                  </from>
                  <to>
                    <xdr:col>10</xdr:col>
                    <xdr:colOff>485775</xdr:colOff>
                    <xdr:row>13</xdr:row>
                    <xdr:rowOff>28575</xdr:rowOff>
                  </to>
                </anchor>
              </controlPr>
            </control>
          </mc:Choice>
        </mc:AlternateContent>
        <mc:AlternateContent xmlns:mc="http://schemas.openxmlformats.org/markup-compatibility/2006">
          <mc:Choice Requires="x14">
            <control shapeId="2269" r:id="rId43" name="Check Box 221">
              <controlPr defaultSize="0" autoFill="0" autoLine="0" autoPict="0">
                <anchor moveWithCells="1">
                  <from>
                    <xdr:col>11</xdr:col>
                    <xdr:colOff>114300</xdr:colOff>
                    <xdr:row>11</xdr:row>
                    <xdr:rowOff>133350</xdr:rowOff>
                  </from>
                  <to>
                    <xdr:col>11</xdr:col>
                    <xdr:colOff>485775</xdr:colOff>
                    <xdr:row>13</xdr:row>
                    <xdr:rowOff>28575</xdr:rowOff>
                  </to>
                </anchor>
              </controlPr>
            </control>
          </mc:Choice>
        </mc:AlternateContent>
        <mc:AlternateContent xmlns:mc="http://schemas.openxmlformats.org/markup-compatibility/2006">
          <mc:Choice Requires="x14">
            <control shapeId="2270" r:id="rId44" name="Check Box 222">
              <controlPr defaultSize="0" autoFill="0" autoLine="0" autoPict="0">
                <anchor moveWithCells="1">
                  <from>
                    <xdr:col>12</xdr:col>
                    <xdr:colOff>114300</xdr:colOff>
                    <xdr:row>11</xdr:row>
                    <xdr:rowOff>133350</xdr:rowOff>
                  </from>
                  <to>
                    <xdr:col>12</xdr:col>
                    <xdr:colOff>485775</xdr:colOff>
                    <xdr:row>13</xdr:row>
                    <xdr:rowOff>28575</xdr:rowOff>
                  </to>
                </anchor>
              </controlPr>
            </control>
          </mc:Choice>
        </mc:AlternateContent>
        <mc:AlternateContent xmlns:mc="http://schemas.openxmlformats.org/markup-compatibility/2006">
          <mc:Choice Requires="x14">
            <control shapeId="2271" r:id="rId45" name="Check Box 223">
              <controlPr defaultSize="0" autoFill="0" autoLine="0" autoPict="0">
                <anchor moveWithCells="1" sizeWithCells="1">
                  <from>
                    <xdr:col>2</xdr:col>
                    <xdr:colOff>47625</xdr:colOff>
                    <xdr:row>11</xdr:row>
                    <xdr:rowOff>133350</xdr:rowOff>
                  </from>
                  <to>
                    <xdr:col>2</xdr:col>
                    <xdr:colOff>561975</xdr:colOff>
                    <xdr:row>13</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CT182"/>
  <sheetViews>
    <sheetView workbookViewId="0"/>
  </sheetViews>
  <sheetFormatPr defaultColWidth="9.140625" defaultRowHeight="12.75" x14ac:dyDescent="0.2"/>
  <cols>
    <col min="1" max="1" width="14.140625" style="1" bestFit="1" customWidth="1"/>
    <col min="2" max="2" width="27.42578125" style="1" customWidth="1"/>
    <col min="3" max="42" width="9.140625" style="1"/>
    <col min="43" max="16384" width="9.140625" style="2"/>
  </cols>
  <sheetData>
    <row r="1" spans="1:5" x14ac:dyDescent="0.2">
      <c r="A1" s="196">
        <f ca="1">NOW()</f>
        <v>44631.687362268516</v>
      </c>
      <c r="D1" s="52" t="s">
        <v>32</v>
      </c>
      <c r="E1" s="51"/>
    </row>
    <row r="2" spans="1:5" x14ac:dyDescent="0.2">
      <c r="D2" s="62" t="s">
        <v>34</v>
      </c>
    </row>
    <row r="3" spans="1:5" ht="13.5" thickBot="1" x14ac:dyDescent="0.25"/>
    <row r="4" spans="1:5" ht="13.5" thickBot="1" x14ac:dyDescent="0.25">
      <c r="B4" s="88" t="s">
        <v>69</v>
      </c>
      <c r="C4" s="89">
        <v>40</v>
      </c>
    </row>
    <row r="5" spans="1:5" x14ac:dyDescent="0.2">
      <c r="D5" s="48"/>
    </row>
    <row r="8" spans="1:5" x14ac:dyDescent="0.2">
      <c r="B8" s="119"/>
    </row>
    <row r="20" spans="2:98" x14ac:dyDescent="0.2">
      <c r="B20" s="43"/>
      <c r="C20" s="63"/>
      <c r="D20" s="43"/>
      <c r="E20" s="43"/>
      <c r="F20" s="43"/>
      <c r="G20" s="43"/>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4"/>
      <c r="CF20" s="4"/>
      <c r="CG20" s="4"/>
      <c r="CH20" s="4"/>
      <c r="CI20" s="4"/>
      <c r="CJ20" s="4"/>
      <c r="CK20" s="4"/>
      <c r="CL20" s="4"/>
      <c r="CM20" s="4"/>
      <c r="CN20" s="4"/>
      <c r="CO20" s="4"/>
      <c r="CP20" s="4"/>
      <c r="CQ20" s="4"/>
      <c r="CR20" s="4"/>
      <c r="CS20" s="4"/>
      <c r="CT20" s="4"/>
    </row>
    <row r="21" spans="2:98" x14ac:dyDescent="0.2">
      <c r="B21" s="10" t="s">
        <v>0</v>
      </c>
      <c r="C21" s="23">
        <v>1</v>
      </c>
      <c r="D21" s="65"/>
      <c r="E21" s="65"/>
      <c r="F21" s="66"/>
      <c r="G21" s="23">
        <v>2</v>
      </c>
      <c r="H21" s="247"/>
      <c r="I21" s="65"/>
      <c r="J21" s="66"/>
      <c r="K21" s="23">
        <v>3</v>
      </c>
      <c r="L21" s="65"/>
      <c r="M21" s="65"/>
      <c r="N21" s="66"/>
      <c r="O21" s="23">
        <v>4</v>
      </c>
      <c r="P21" s="65"/>
      <c r="Q21" s="65"/>
      <c r="R21" s="66"/>
      <c r="S21" s="23">
        <v>5</v>
      </c>
      <c r="T21" s="65"/>
      <c r="U21" s="65"/>
      <c r="V21" s="66"/>
      <c r="W21" s="23">
        <v>6</v>
      </c>
      <c r="X21" s="65"/>
      <c r="Y21" s="65"/>
      <c r="Z21" s="66"/>
      <c r="AA21" s="23">
        <v>7</v>
      </c>
      <c r="AB21" s="65"/>
      <c r="AC21" s="65"/>
      <c r="AD21" s="66"/>
      <c r="AE21" s="23">
        <v>8</v>
      </c>
      <c r="AF21" s="65"/>
      <c r="AG21" s="65"/>
      <c r="AH21" s="66"/>
      <c r="AI21" s="23">
        <v>9</v>
      </c>
      <c r="AJ21" s="65"/>
      <c r="AK21" s="65"/>
      <c r="AL21" s="66"/>
      <c r="AM21" s="23">
        <v>10</v>
      </c>
      <c r="AN21" s="65"/>
      <c r="AO21" s="65"/>
      <c r="AP21" s="66"/>
      <c r="AQ21" s="23">
        <v>11</v>
      </c>
      <c r="AR21" s="65"/>
      <c r="AS21" s="65"/>
      <c r="AT21" s="66"/>
      <c r="AU21" s="23">
        <v>12</v>
      </c>
      <c r="AV21" s="65"/>
      <c r="AW21" s="65"/>
      <c r="AX21" s="66"/>
      <c r="AY21" s="23">
        <v>13</v>
      </c>
      <c r="AZ21" s="65"/>
      <c r="BA21" s="65"/>
      <c r="BB21" s="66"/>
      <c r="BC21" s="23">
        <v>14</v>
      </c>
      <c r="BD21" s="65"/>
      <c r="BE21" s="65"/>
      <c r="BF21" s="66"/>
      <c r="BG21" s="23">
        <v>15</v>
      </c>
      <c r="BH21" s="65"/>
      <c r="BI21" s="65"/>
      <c r="BJ21" s="66"/>
      <c r="BK21" s="23">
        <v>16</v>
      </c>
      <c r="BL21" s="65"/>
      <c r="BM21" s="65"/>
      <c r="BN21" s="66"/>
      <c r="BO21" s="23">
        <v>17</v>
      </c>
      <c r="BP21" s="65"/>
      <c r="BQ21" s="65"/>
      <c r="BR21" s="66"/>
      <c r="BS21" s="23">
        <v>18</v>
      </c>
      <c r="BT21" s="65"/>
      <c r="BU21" s="65"/>
      <c r="BV21" s="66"/>
      <c r="BW21" s="23">
        <v>19</v>
      </c>
      <c r="BX21" s="65"/>
      <c r="BY21" s="65"/>
      <c r="BZ21" s="66"/>
      <c r="CA21" s="23">
        <v>20</v>
      </c>
      <c r="CB21" s="65"/>
      <c r="CC21" s="65"/>
      <c r="CD21" s="116"/>
      <c r="CE21" s="3"/>
      <c r="CF21" s="3"/>
      <c r="CG21" s="3"/>
      <c r="CH21" s="3"/>
      <c r="CI21" s="3"/>
      <c r="CJ21" s="3"/>
      <c r="CK21" s="3"/>
      <c r="CL21" s="3"/>
      <c r="CM21" s="3"/>
      <c r="CN21" s="3"/>
      <c r="CO21" s="3"/>
      <c r="CP21" s="3"/>
      <c r="CQ21" s="3"/>
      <c r="CR21" s="3"/>
      <c r="CS21" s="3"/>
      <c r="CT21" s="3"/>
    </row>
    <row r="22" spans="2:98" x14ac:dyDescent="0.2">
      <c r="B22" s="67" t="s">
        <v>35</v>
      </c>
      <c r="C22" s="18"/>
      <c r="D22" s="65"/>
      <c r="E22" s="65"/>
      <c r="F22" s="66"/>
      <c r="G22" s="18"/>
      <c r="H22" s="65"/>
      <c r="I22" s="65"/>
      <c r="J22" s="66"/>
      <c r="K22" s="18"/>
      <c r="L22" s="65"/>
      <c r="M22" s="65"/>
      <c r="N22" s="66"/>
      <c r="O22" s="18"/>
      <c r="P22" s="65"/>
      <c r="Q22" s="65"/>
      <c r="R22" s="66"/>
      <c r="S22" s="18"/>
      <c r="T22" s="65"/>
      <c r="U22" s="65"/>
      <c r="V22" s="66"/>
      <c r="W22" s="18"/>
      <c r="X22" s="65"/>
      <c r="Y22" s="65"/>
      <c r="Z22" s="66"/>
      <c r="AA22" s="18"/>
      <c r="AB22" s="65"/>
      <c r="AC22" s="65"/>
      <c r="AD22" s="66"/>
      <c r="AE22" s="18"/>
      <c r="AF22" s="65"/>
      <c r="AG22" s="65"/>
      <c r="AH22" s="66"/>
      <c r="AI22" s="18"/>
      <c r="AJ22" s="65"/>
      <c r="AK22" s="165"/>
      <c r="AL22" s="66"/>
      <c r="AM22" s="18"/>
      <c r="AN22" s="65"/>
      <c r="AO22" s="65"/>
      <c r="AP22" s="66"/>
      <c r="AQ22" s="18"/>
      <c r="AR22" s="165"/>
      <c r="AS22" s="65"/>
      <c r="AT22" s="66"/>
      <c r="AU22" s="18"/>
      <c r="AV22" s="65"/>
      <c r="AW22" s="65"/>
      <c r="AX22" s="66"/>
      <c r="AY22" s="18"/>
      <c r="AZ22" s="65"/>
      <c r="BA22" s="65"/>
      <c r="BB22" s="66"/>
      <c r="BC22" s="18"/>
      <c r="BD22" s="65"/>
      <c r="BE22" s="65"/>
      <c r="BF22" s="66"/>
      <c r="BG22" s="18"/>
      <c r="BH22" s="65"/>
      <c r="BI22" s="65"/>
      <c r="BJ22" s="66"/>
      <c r="BK22" s="18"/>
      <c r="BL22" s="65"/>
      <c r="BM22" s="65"/>
      <c r="BN22" s="66"/>
      <c r="BO22" s="18"/>
      <c r="BP22" s="65"/>
      <c r="BQ22" s="65"/>
      <c r="BR22" s="66"/>
      <c r="BS22" s="18"/>
      <c r="BT22" s="65"/>
      <c r="BU22" s="65"/>
      <c r="BV22" s="66"/>
      <c r="BW22" s="18"/>
      <c r="BX22" s="65"/>
      <c r="BY22" s="65"/>
      <c r="BZ22" s="66"/>
      <c r="CA22" s="18"/>
      <c r="CB22" s="65"/>
      <c r="CC22" s="65"/>
      <c r="CD22" s="66"/>
      <c r="CE22" s="3"/>
      <c r="CF22" s="3"/>
      <c r="CG22" s="3"/>
      <c r="CH22" s="3"/>
      <c r="CI22" s="3"/>
      <c r="CJ22" s="3"/>
      <c r="CK22" s="3"/>
      <c r="CL22" s="3"/>
      <c r="CM22" s="3"/>
      <c r="CN22" s="3"/>
      <c r="CO22" s="3"/>
      <c r="CP22" s="3"/>
      <c r="CQ22" s="3"/>
      <c r="CR22" s="3"/>
      <c r="CS22" s="3"/>
      <c r="CT22" s="3"/>
    </row>
    <row r="23" spans="2:98" x14ac:dyDescent="0.2">
      <c r="B23" s="68" t="s">
        <v>88</v>
      </c>
      <c r="C23" s="23"/>
      <c r="D23" s="99"/>
      <c r="E23" s="65"/>
      <c r="F23" s="66"/>
      <c r="G23" s="23"/>
      <c r="H23" s="65"/>
      <c r="I23" s="65"/>
      <c r="J23" s="66"/>
      <c r="K23" s="23"/>
      <c r="L23" s="65"/>
      <c r="M23" s="65"/>
      <c r="N23" s="66"/>
      <c r="O23" s="23"/>
      <c r="P23" s="65"/>
      <c r="Q23" s="65"/>
      <c r="R23" s="66"/>
      <c r="S23" s="23"/>
      <c r="T23" s="65"/>
      <c r="U23" s="65"/>
      <c r="V23" s="66"/>
      <c r="W23" s="23"/>
      <c r="X23" s="65"/>
      <c r="Y23" s="65"/>
      <c r="Z23" s="66"/>
      <c r="AA23" s="23"/>
      <c r="AB23" s="65"/>
      <c r="AC23" s="65"/>
      <c r="AD23" s="66"/>
      <c r="AE23" s="23"/>
      <c r="AF23" s="65"/>
      <c r="AG23" s="65"/>
      <c r="AH23" s="66"/>
      <c r="AI23" s="23"/>
      <c r="AJ23" s="65"/>
      <c r="AK23" s="65"/>
      <c r="AL23" s="66"/>
      <c r="AM23" s="23"/>
      <c r="AN23" s="65"/>
      <c r="AO23" s="65"/>
      <c r="AP23" s="66"/>
      <c r="AQ23" s="23"/>
      <c r="AR23" s="65"/>
      <c r="AS23" s="65"/>
      <c r="AT23" s="66"/>
      <c r="AU23" s="23"/>
      <c r="AV23" s="65"/>
      <c r="AW23" s="65"/>
      <c r="AX23" s="66"/>
      <c r="AY23" s="23"/>
      <c r="AZ23" s="65"/>
      <c r="BA23" s="65"/>
      <c r="BB23" s="66"/>
      <c r="BC23" s="23"/>
      <c r="BD23" s="65"/>
      <c r="BE23" s="65"/>
      <c r="BF23" s="66"/>
      <c r="BG23" s="23"/>
      <c r="BH23" s="65"/>
      <c r="BI23" s="65"/>
      <c r="BJ23" s="66"/>
      <c r="BK23" s="23"/>
      <c r="BL23" s="65"/>
      <c r="BM23" s="65"/>
      <c r="BN23" s="66"/>
      <c r="BO23" s="23"/>
      <c r="BP23" s="65"/>
      <c r="BQ23" s="65"/>
      <c r="BR23" s="66"/>
      <c r="BS23" s="23"/>
      <c r="BT23" s="65"/>
      <c r="BU23" s="65"/>
      <c r="BV23" s="66"/>
      <c r="BW23" s="23"/>
      <c r="BX23" s="65"/>
      <c r="BY23" s="65"/>
      <c r="BZ23" s="66"/>
      <c r="CA23" s="23"/>
      <c r="CB23" s="65"/>
      <c r="CC23" s="65"/>
      <c r="CD23" s="66"/>
      <c r="CE23" s="3"/>
      <c r="CF23" s="3"/>
      <c r="CG23" s="3"/>
      <c r="CH23" s="3"/>
      <c r="CI23" s="3"/>
      <c r="CJ23" s="3"/>
      <c r="CK23" s="3"/>
      <c r="CL23" s="3"/>
      <c r="CM23" s="3"/>
      <c r="CN23" s="3"/>
      <c r="CO23" s="3"/>
      <c r="CP23" s="3"/>
      <c r="CQ23" s="3"/>
      <c r="CR23" s="3"/>
      <c r="CS23" s="3"/>
      <c r="CT23" s="3"/>
    </row>
    <row r="24" spans="2:98" x14ac:dyDescent="0.2">
      <c r="B24" s="108" t="s">
        <v>73</v>
      </c>
      <c r="C24" s="114" t="s">
        <v>71</v>
      </c>
      <c r="D24" s="115" t="s">
        <v>70</v>
      </c>
      <c r="E24" s="102" t="s">
        <v>72</v>
      </c>
      <c r="F24" s="135"/>
      <c r="G24" s="114" t="s">
        <v>71</v>
      </c>
      <c r="H24" s="115" t="s">
        <v>70</v>
      </c>
      <c r="I24" s="102" t="s">
        <v>72</v>
      </c>
      <c r="J24" s="135"/>
      <c r="K24" s="101" t="s">
        <v>71</v>
      </c>
      <c r="L24" s="100" t="s">
        <v>70</v>
      </c>
      <c r="M24" s="102" t="s">
        <v>72</v>
      </c>
      <c r="N24" s="135"/>
      <c r="O24" s="101" t="s">
        <v>71</v>
      </c>
      <c r="P24" s="100" t="s">
        <v>70</v>
      </c>
      <c r="Q24" s="102" t="s">
        <v>72</v>
      </c>
      <c r="R24" s="135"/>
      <c r="S24" s="101" t="s">
        <v>71</v>
      </c>
      <c r="T24" s="100" t="s">
        <v>70</v>
      </c>
      <c r="U24" s="102" t="s">
        <v>72</v>
      </c>
      <c r="V24" s="135">
        <v>1</v>
      </c>
      <c r="W24" s="114" t="s">
        <v>71</v>
      </c>
      <c r="X24" s="115" t="s">
        <v>70</v>
      </c>
      <c r="Y24" s="102" t="s">
        <v>72</v>
      </c>
      <c r="Z24" s="135">
        <v>1</v>
      </c>
      <c r="AA24" s="101" t="s">
        <v>71</v>
      </c>
      <c r="AB24" s="100" t="s">
        <v>70</v>
      </c>
      <c r="AC24" s="102" t="s">
        <v>72</v>
      </c>
      <c r="AD24" s="135"/>
      <c r="AE24" s="101" t="s">
        <v>71</v>
      </c>
      <c r="AF24" s="100" t="s">
        <v>70</v>
      </c>
      <c r="AG24" s="102" t="s">
        <v>72</v>
      </c>
      <c r="AH24" s="135"/>
      <c r="AI24" s="101" t="s">
        <v>71</v>
      </c>
      <c r="AJ24" s="100" t="s">
        <v>70</v>
      </c>
      <c r="AK24" s="102" t="s">
        <v>72</v>
      </c>
      <c r="AL24" s="135"/>
      <c r="AM24" s="101" t="s">
        <v>71</v>
      </c>
      <c r="AN24" s="100" t="s">
        <v>70</v>
      </c>
      <c r="AO24" s="102" t="s">
        <v>72</v>
      </c>
      <c r="AP24" s="135"/>
      <c r="AQ24" s="101" t="s">
        <v>71</v>
      </c>
      <c r="AR24" s="100" t="s">
        <v>70</v>
      </c>
      <c r="AS24" s="102" t="s">
        <v>72</v>
      </c>
      <c r="AT24" s="135"/>
      <c r="AU24" s="101" t="s">
        <v>71</v>
      </c>
      <c r="AV24" s="100" t="s">
        <v>70</v>
      </c>
      <c r="AW24" s="102" t="s">
        <v>72</v>
      </c>
      <c r="AX24" s="135"/>
      <c r="AY24" s="23"/>
      <c r="AZ24"/>
      <c r="BA24" s="65"/>
      <c r="BB24" s="66"/>
      <c r="BC24" s="23"/>
      <c r="BD24"/>
      <c r="BE24" s="65"/>
      <c r="BF24" s="66"/>
      <c r="BG24" s="23"/>
      <c r="BH24"/>
      <c r="BI24" s="65"/>
      <c r="BJ24" s="66"/>
      <c r="BK24" s="23"/>
      <c r="BL24"/>
      <c r="BM24" s="65"/>
      <c r="BN24" s="66"/>
      <c r="BO24" s="23"/>
      <c r="BP24"/>
      <c r="BQ24" s="65"/>
      <c r="BR24" s="66"/>
      <c r="BS24" s="23"/>
      <c r="BT24"/>
      <c r="BU24" s="65"/>
      <c r="BV24" s="66"/>
      <c r="BW24" s="23"/>
      <c r="BX24"/>
      <c r="BY24" s="65"/>
      <c r="BZ24" s="66"/>
      <c r="CA24" s="23"/>
      <c r="CB24"/>
      <c r="CC24" s="65"/>
      <c r="CD24" s="66"/>
      <c r="CE24" s="3"/>
      <c r="CF24" s="4"/>
      <c r="CG24" s="3"/>
      <c r="CH24" s="3"/>
      <c r="CI24" s="3"/>
      <c r="CJ24" s="4"/>
      <c r="CK24" s="3"/>
      <c r="CL24" s="3"/>
      <c r="CM24" s="3"/>
      <c r="CN24" s="4"/>
      <c r="CO24" s="3"/>
      <c r="CP24" s="3"/>
      <c r="CQ24" s="3"/>
      <c r="CR24" s="4"/>
      <c r="CS24" s="3"/>
      <c r="CT24" s="3"/>
    </row>
    <row r="25" spans="2:98" ht="15.75" x14ac:dyDescent="0.3">
      <c r="B25" s="113" t="s">
        <v>52</v>
      </c>
      <c r="C25" s="120"/>
      <c r="D25" s="121"/>
      <c r="E25" s="169" t="s">
        <v>80</v>
      </c>
      <c r="F25" s="170" t="s">
        <v>81</v>
      </c>
      <c r="G25" s="155"/>
      <c r="H25" s="156"/>
      <c r="I25" s="169" t="s">
        <v>80</v>
      </c>
      <c r="J25" s="171" t="s">
        <v>81</v>
      </c>
      <c r="K25" s="155"/>
      <c r="L25" s="156"/>
      <c r="M25" s="171" t="s">
        <v>80</v>
      </c>
      <c r="N25" s="171" t="s">
        <v>81</v>
      </c>
      <c r="O25" s="120"/>
      <c r="P25" s="121"/>
      <c r="Q25" s="112" t="s">
        <v>80</v>
      </c>
      <c r="R25" s="112" t="s">
        <v>81</v>
      </c>
      <c r="S25" s="120"/>
      <c r="T25" s="121"/>
      <c r="U25" s="112" t="s">
        <v>80</v>
      </c>
      <c r="V25" s="95" t="s">
        <v>81</v>
      </c>
      <c r="W25" s="155"/>
      <c r="X25" s="156"/>
      <c r="Y25" s="29" t="s">
        <v>80</v>
      </c>
      <c r="Z25" s="112" t="s">
        <v>81</v>
      </c>
      <c r="AA25" s="155"/>
      <c r="AB25" s="156"/>
      <c r="AC25" s="112" t="s">
        <v>80</v>
      </c>
      <c r="AD25" s="112" t="s">
        <v>81</v>
      </c>
      <c r="AE25" s="120"/>
      <c r="AF25" s="121"/>
      <c r="AG25" s="171" t="s">
        <v>80</v>
      </c>
      <c r="AH25" s="171" t="s">
        <v>81</v>
      </c>
      <c r="AI25" s="159"/>
      <c r="AJ25" s="159"/>
      <c r="AK25" s="171" t="s">
        <v>80</v>
      </c>
      <c r="AL25" s="171" t="s">
        <v>81</v>
      </c>
      <c r="AM25" s="159"/>
      <c r="AN25" s="159"/>
      <c r="AO25" s="112" t="s">
        <v>80</v>
      </c>
      <c r="AP25" s="112" t="s">
        <v>81</v>
      </c>
      <c r="AQ25" s="159"/>
      <c r="AR25" s="159"/>
      <c r="AS25" s="112" t="s">
        <v>80</v>
      </c>
      <c r="AT25" s="112" t="s">
        <v>81</v>
      </c>
      <c r="AU25" s="159"/>
      <c r="AV25" s="159"/>
      <c r="AW25" s="171" t="s">
        <v>80</v>
      </c>
      <c r="AX25" s="171" t="s">
        <v>81</v>
      </c>
      <c r="AY25" s="159"/>
      <c r="AZ25" s="159"/>
      <c r="BA25" s="171" t="s">
        <v>80</v>
      </c>
      <c r="BB25" s="171" t="s">
        <v>81</v>
      </c>
      <c r="BC25" s="159"/>
      <c r="BD25" s="159"/>
      <c r="BE25" s="171" t="s">
        <v>80</v>
      </c>
      <c r="BF25" s="171" t="s">
        <v>81</v>
      </c>
      <c r="BG25" s="159"/>
      <c r="BH25" s="159"/>
      <c r="BI25" s="171" t="s">
        <v>80</v>
      </c>
      <c r="BJ25" s="171" t="s">
        <v>81</v>
      </c>
      <c r="BK25" s="159"/>
      <c r="BL25" s="159"/>
      <c r="BM25" s="171" t="s">
        <v>80</v>
      </c>
      <c r="BN25" s="171" t="s">
        <v>81</v>
      </c>
      <c r="BO25" s="159"/>
      <c r="BP25" s="159"/>
      <c r="BQ25" s="171" t="s">
        <v>80</v>
      </c>
      <c r="BR25" s="171" t="s">
        <v>81</v>
      </c>
      <c r="BS25" s="159"/>
      <c r="BT25" s="159"/>
      <c r="BU25" s="171" t="s">
        <v>80</v>
      </c>
      <c r="BV25" s="171" t="s">
        <v>81</v>
      </c>
      <c r="BW25" s="159"/>
      <c r="BX25" s="159"/>
      <c r="BY25" s="171" t="s">
        <v>80</v>
      </c>
      <c r="BZ25" s="171" t="s">
        <v>81</v>
      </c>
      <c r="CA25" s="159"/>
      <c r="CB25" s="159"/>
      <c r="CC25" s="171" t="s">
        <v>80</v>
      </c>
      <c r="CD25" s="171" t="s">
        <v>81</v>
      </c>
      <c r="CE25" s="3"/>
      <c r="CF25" s="3"/>
      <c r="CG25" s="3"/>
      <c r="CH25" s="3"/>
      <c r="CI25" s="3"/>
      <c r="CJ25" s="3"/>
      <c r="CK25" s="3"/>
      <c r="CL25" s="3"/>
      <c r="CM25" s="3"/>
      <c r="CN25" s="3"/>
      <c r="CO25" s="3"/>
      <c r="CP25" s="3"/>
      <c r="CQ25" s="3"/>
      <c r="CR25" s="3"/>
      <c r="CS25" s="3"/>
      <c r="CT25" s="3"/>
    </row>
    <row r="26" spans="2:98" ht="15.75" x14ac:dyDescent="0.3">
      <c r="B26" s="113" t="s">
        <v>36</v>
      </c>
      <c r="C26" s="122"/>
      <c r="D26" s="123"/>
      <c r="E26" s="29"/>
      <c r="F26" s="95"/>
      <c r="G26" s="157"/>
      <c r="H26" s="158"/>
      <c r="I26" s="29"/>
      <c r="J26" s="112"/>
      <c r="K26" s="157"/>
      <c r="L26" s="158"/>
      <c r="M26" s="112"/>
      <c r="N26" s="112"/>
      <c r="O26" s="122"/>
      <c r="P26" s="123"/>
      <c r="Q26" s="112"/>
      <c r="R26" s="112"/>
      <c r="S26" s="122"/>
      <c r="T26" s="123"/>
      <c r="U26" s="112"/>
      <c r="V26" s="95"/>
      <c r="W26" s="157"/>
      <c r="X26" s="158"/>
      <c r="Y26" s="112"/>
      <c r="Z26" s="112"/>
      <c r="AA26" s="157"/>
      <c r="AB26" s="158"/>
      <c r="AC26" s="112"/>
      <c r="AD26" s="112"/>
      <c r="AE26" s="122"/>
      <c r="AF26" s="123"/>
      <c r="AG26" s="112"/>
      <c r="AH26" s="112"/>
      <c r="AI26" s="159"/>
      <c r="AJ26" s="159"/>
      <c r="AK26" s="112"/>
      <c r="AL26" s="112"/>
      <c r="AM26" s="159"/>
      <c r="AN26" s="159"/>
      <c r="AO26" s="112"/>
      <c r="AP26" s="112"/>
      <c r="AQ26" s="159"/>
      <c r="AR26" s="159"/>
      <c r="AS26" s="112"/>
      <c r="AT26" s="112"/>
      <c r="AU26" s="159"/>
      <c r="AV26" s="159"/>
      <c r="AW26" s="112"/>
      <c r="AX26" s="112"/>
      <c r="AY26" s="159"/>
      <c r="AZ26" s="159"/>
      <c r="BA26" s="112"/>
      <c r="BB26" s="112"/>
      <c r="BC26" s="159"/>
      <c r="BD26" s="159"/>
      <c r="BE26" s="112"/>
      <c r="BF26" s="112"/>
      <c r="BG26" s="159"/>
      <c r="BH26" s="159"/>
      <c r="BI26" s="112"/>
      <c r="BJ26" s="112"/>
      <c r="BK26" s="159"/>
      <c r="BL26" s="159"/>
      <c r="BM26" s="112"/>
      <c r="BN26" s="112"/>
      <c r="BO26" s="159"/>
      <c r="BP26" s="159"/>
      <c r="BQ26" s="112"/>
      <c r="BR26" s="112"/>
      <c r="BS26" s="159"/>
      <c r="BT26" s="159"/>
      <c r="BU26" s="112"/>
      <c r="BV26" s="112"/>
      <c r="BW26" s="159"/>
      <c r="BX26" s="159"/>
      <c r="BY26" s="112"/>
      <c r="BZ26" s="112"/>
      <c r="CA26" s="159"/>
      <c r="CB26" s="159"/>
      <c r="CC26" s="112"/>
      <c r="CD26" s="112"/>
      <c r="CE26" s="3"/>
      <c r="CF26" s="3"/>
      <c r="CG26" s="3"/>
      <c r="CH26" s="3"/>
      <c r="CI26" s="3"/>
      <c r="CJ26" s="3"/>
      <c r="CK26" s="3"/>
      <c r="CL26" s="3"/>
      <c r="CM26" s="3"/>
      <c r="CN26" s="3"/>
      <c r="CO26" s="3"/>
      <c r="CP26" s="3"/>
      <c r="CQ26" s="3"/>
      <c r="CR26" s="3"/>
      <c r="CS26" s="3"/>
      <c r="CT26" s="3"/>
    </row>
    <row r="27" spans="2:98" ht="15.75" x14ac:dyDescent="0.3">
      <c r="B27" s="162" t="s">
        <v>37</v>
      </c>
      <c r="C27" s="163"/>
      <c r="D27" s="33"/>
      <c r="E27" s="161" t="s">
        <v>86</v>
      </c>
      <c r="F27" s="111"/>
      <c r="G27" s="164"/>
      <c r="H27" s="33"/>
      <c r="I27" s="161" t="s">
        <v>86</v>
      </c>
      <c r="J27" s="111"/>
      <c r="K27" s="164"/>
      <c r="L27" s="33"/>
      <c r="M27" s="161" t="s">
        <v>86</v>
      </c>
      <c r="N27" s="111"/>
      <c r="O27" s="164"/>
      <c r="P27" s="33"/>
      <c r="Q27" s="161" t="s">
        <v>86</v>
      </c>
      <c r="R27" s="111"/>
      <c r="S27" s="164"/>
      <c r="T27" s="33"/>
      <c r="U27" s="161" t="s">
        <v>86</v>
      </c>
      <c r="V27" s="111"/>
      <c r="W27" s="163"/>
      <c r="X27" s="34"/>
      <c r="Y27" s="161" t="s">
        <v>86</v>
      </c>
      <c r="Z27" s="111"/>
      <c r="AA27" s="164"/>
      <c r="AB27" s="33"/>
      <c r="AC27" s="161" t="s">
        <v>86</v>
      </c>
      <c r="AD27" s="111"/>
      <c r="AE27" s="164"/>
      <c r="AF27" s="33"/>
      <c r="AG27" s="161" t="s">
        <v>86</v>
      </c>
      <c r="AH27" s="111"/>
      <c r="AI27" s="164"/>
      <c r="AJ27" s="33"/>
      <c r="AK27" s="161" t="s">
        <v>86</v>
      </c>
      <c r="AL27" s="111"/>
      <c r="AM27" s="164"/>
      <c r="AN27" s="33"/>
      <c r="AO27" s="161" t="s">
        <v>86</v>
      </c>
      <c r="AP27" s="111"/>
      <c r="AQ27" s="164"/>
      <c r="AR27" s="33"/>
      <c r="AS27" s="161" t="s">
        <v>86</v>
      </c>
      <c r="AT27" s="111"/>
      <c r="AU27" s="164"/>
      <c r="AV27" s="33"/>
      <c r="AW27" s="161" t="s">
        <v>86</v>
      </c>
      <c r="AX27" s="111"/>
      <c r="AY27" s="164"/>
      <c r="AZ27" s="33"/>
      <c r="BA27" s="161" t="s">
        <v>86</v>
      </c>
      <c r="BB27" s="111"/>
      <c r="BC27" s="164"/>
      <c r="BD27" s="33"/>
      <c r="BE27" s="161" t="s">
        <v>86</v>
      </c>
      <c r="BF27" s="111"/>
      <c r="BG27" s="164"/>
      <c r="BH27" s="33"/>
      <c r="BI27" s="161" t="s">
        <v>86</v>
      </c>
      <c r="BJ27" s="111"/>
      <c r="BK27" s="164"/>
      <c r="BL27" s="33"/>
      <c r="BM27" s="161" t="s">
        <v>86</v>
      </c>
      <c r="BN27" s="111"/>
      <c r="BO27" s="164"/>
      <c r="BP27" s="33"/>
      <c r="BQ27" s="161" t="s">
        <v>86</v>
      </c>
      <c r="BR27" s="111"/>
      <c r="BS27" s="164"/>
      <c r="BT27" s="33"/>
      <c r="BU27" s="161" t="s">
        <v>86</v>
      </c>
      <c r="BV27" s="111"/>
      <c r="BW27" s="164"/>
      <c r="BX27" s="33"/>
      <c r="BY27" s="161" t="s">
        <v>86</v>
      </c>
      <c r="BZ27" s="111"/>
      <c r="CA27" s="164"/>
      <c r="CB27" s="33"/>
      <c r="CC27" s="161" t="s">
        <v>86</v>
      </c>
      <c r="CD27" s="111"/>
      <c r="CE27" s="3"/>
      <c r="CF27" s="3"/>
      <c r="CG27" s="3"/>
      <c r="CH27" s="3"/>
      <c r="CI27" s="3"/>
      <c r="CJ27" s="3"/>
      <c r="CK27" s="3"/>
      <c r="CL27" s="3"/>
      <c r="CM27" s="3"/>
      <c r="CN27" s="3"/>
      <c r="CO27" s="3"/>
      <c r="CP27" s="3"/>
      <c r="CQ27" s="3"/>
      <c r="CR27" s="3"/>
      <c r="CS27" s="3"/>
      <c r="CT27" s="3"/>
    </row>
    <row r="28" spans="2:98" ht="15" customHeight="1" x14ac:dyDescent="0.3">
      <c r="B28" s="136" t="s">
        <v>38</v>
      </c>
      <c r="C28" s="26" t="s">
        <v>87</v>
      </c>
      <c r="D28" s="26" t="s">
        <v>39</v>
      </c>
      <c r="E28" s="26" t="s">
        <v>40</v>
      </c>
      <c r="F28" s="38" t="s">
        <v>41</v>
      </c>
      <c r="G28" s="26" t="s">
        <v>87</v>
      </c>
      <c r="H28" s="26" t="s">
        <v>39</v>
      </c>
      <c r="I28" s="26" t="s">
        <v>40</v>
      </c>
      <c r="J28" s="38" t="s">
        <v>41</v>
      </c>
      <c r="K28" s="26" t="s">
        <v>87</v>
      </c>
      <c r="L28" s="26" t="s">
        <v>39</v>
      </c>
      <c r="M28" s="26" t="s">
        <v>40</v>
      </c>
      <c r="N28" s="69" t="s">
        <v>41</v>
      </c>
      <c r="O28" s="26" t="s">
        <v>87</v>
      </c>
      <c r="P28" s="26" t="s">
        <v>39</v>
      </c>
      <c r="Q28" s="26" t="s">
        <v>40</v>
      </c>
      <c r="R28" s="69" t="s">
        <v>41</v>
      </c>
      <c r="S28" s="26" t="s">
        <v>87</v>
      </c>
      <c r="T28" s="26" t="s">
        <v>39</v>
      </c>
      <c r="U28" s="26" t="s">
        <v>40</v>
      </c>
      <c r="V28" s="69" t="s">
        <v>41</v>
      </c>
      <c r="W28" s="26" t="s">
        <v>87</v>
      </c>
      <c r="X28" s="26" t="s">
        <v>39</v>
      </c>
      <c r="Y28" s="26" t="s">
        <v>40</v>
      </c>
      <c r="Z28" s="69" t="s">
        <v>41</v>
      </c>
      <c r="AA28" s="26" t="s">
        <v>87</v>
      </c>
      <c r="AB28" s="26" t="s">
        <v>39</v>
      </c>
      <c r="AC28" s="26" t="s">
        <v>40</v>
      </c>
      <c r="AD28" s="69" t="s">
        <v>41</v>
      </c>
      <c r="AE28" s="26" t="s">
        <v>87</v>
      </c>
      <c r="AF28" s="26" t="s">
        <v>39</v>
      </c>
      <c r="AG28" s="26" t="s">
        <v>40</v>
      </c>
      <c r="AH28" s="69" t="s">
        <v>41</v>
      </c>
      <c r="AI28" s="26" t="s">
        <v>87</v>
      </c>
      <c r="AJ28" s="26" t="s">
        <v>39</v>
      </c>
      <c r="AK28" s="26" t="s">
        <v>40</v>
      </c>
      <c r="AL28" s="69" t="s">
        <v>41</v>
      </c>
      <c r="AM28" s="26" t="s">
        <v>87</v>
      </c>
      <c r="AN28" s="26" t="s">
        <v>39</v>
      </c>
      <c r="AO28" s="26" t="s">
        <v>40</v>
      </c>
      <c r="AP28" s="69" t="s">
        <v>41</v>
      </c>
      <c r="AQ28" s="26" t="s">
        <v>87</v>
      </c>
      <c r="AR28" s="26" t="s">
        <v>39</v>
      </c>
      <c r="AS28" s="26" t="s">
        <v>40</v>
      </c>
      <c r="AT28" s="69" t="s">
        <v>41</v>
      </c>
      <c r="AU28" s="26" t="s">
        <v>87</v>
      </c>
      <c r="AV28" s="26" t="s">
        <v>39</v>
      </c>
      <c r="AW28" s="26" t="s">
        <v>40</v>
      </c>
      <c r="AX28" s="69" t="s">
        <v>41</v>
      </c>
      <c r="AY28" s="26" t="s">
        <v>87</v>
      </c>
      <c r="AZ28" s="26" t="s">
        <v>39</v>
      </c>
      <c r="BA28" s="26" t="s">
        <v>40</v>
      </c>
      <c r="BB28" s="69" t="s">
        <v>41</v>
      </c>
      <c r="BC28" s="26" t="s">
        <v>87</v>
      </c>
      <c r="BD28" s="26" t="s">
        <v>39</v>
      </c>
      <c r="BE28" s="26" t="s">
        <v>40</v>
      </c>
      <c r="BF28" s="69" t="s">
        <v>41</v>
      </c>
      <c r="BG28" s="26" t="s">
        <v>87</v>
      </c>
      <c r="BH28" s="26" t="s">
        <v>39</v>
      </c>
      <c r="BI28" s="26" t="s">
        <v>40</v>
      </c>
      <c r="BJ28" s="69" t="s">
        <v>41</v>
      </c>
      <c r="BK28" s="26" t="s">
        <v>87</v>
      </c>
      <c r="BL28" s="26" t="s">
        <v>39</v>
      </c>
      <c r="BM28" s="26" t="s">
        <v>40</v>
      </c>
      <c r="BN28" s="69" t="s">
        <v>41</v>
      </c>
      <c r="BO28" s="26" t="s">
        <v>87</v>
      </c>
      <c r="BP28" s="26" t="s">
        <v>39</v>
      </c>
      <c r="BQ28" s="26" t="s">
        <v>40</v>
      </c>
      <c r="BR28" s="69" t="s">
        <v>41</v>
      </c>
      <c r="BS28" s="26" t="s">
        <v>87</v>
      </c>
      <c r="BT28" s="26" t="s">
        <v>39</v>
      </c>
      <c r="BU28" s="26" t="s">
        <v>40</v>
      </c>
      <c r="BV28" s="69" t="s">
        <v>41</v>
      </c>
      <c r="BW28" s="26" t="s">
        <v>87</v>
      </c>
      <c r="BX28" s="26" t="s">
        <v>39</v>
      </c>
      <c r="BY28" s="26" t="s">
        <v>40</v>
      </c>
      <c r="BZ28" s="69" t="s">
        <v>41</v>
      </c>
      <c r="CA28" s="26" t="s">
        <v>87</v>
      </c>
      <c r="CB28" s="26" t="s">
        <v>39</v>
      </c>
      <c r="CC28" s="26" t="s">
        <v>40</v>
      </c>
      <c r="CD28" s="69" t="s">
        <v>41</v>
      </c>
      <c r="CE28" s="117"/>
      <c r="CF28" s="117"/>
      <c r="CG28" s="117"/>
      <c r="CH28" s="117"/>
      <c r="CI28" s="117"/>
      <c r="CJ28" s="117"/>
      <c r="CK28" s="117"/>
      <c r="CL28" s="117"/>
      <c r="CM28" s="117"/>
      <c r="CN28" s="117"/>
      <c r="CO28" s="117"/>
      <c r="CP28" s="117"/>
      <c r="CQ28" s="117"/>
      <c r="CR28" s="117"/>
      <c r="CS28" s="117"/>
      <c r="CT28" s="117"/>
    </row>
    <row r="29" spans="2:98" x14ac:dyDescent="0.2">
      <c r="B29" s="172" t="s">
        <v>50</v>
      </c>
      <c r="C29" s="249"/>
      <c r="D29" s="250"/>
      <c r="E29" s="249"/>
      <c r="F29" s="251"/>
      <c r="G29" s="249"/>
      <c r="H29" s="249"/>
      <c r="I29" s="249"/>
      <c r="J29" s="251"/>
      <c r="K29" s="249"/>
      <c r="L29" s="249"/>
      <c r="M29" s="249"/>
      <c r="N29" s="251"/>
      <c r="O29" s="249"/>
      <c r="P29" s="250"/>
      <c r="Q29" s="249"/>
      <c r="R29" s="251"/>
      <c r="S29" s="248"/>
      <c r="T29" s="248"/>
      <c r="U29" s="248"/>
      <c r="V29" s="256"/>
      <c r="W29" s="248"/>
      <c r="X29" s="248"/>
      <c r="Y29" s="249"/>
      <c r="Z29" s="251"/>
      <c r="AA29" s="248"/>
      <c r="AB29" s="248"/>
      <c r="AC29" s="249"/>
      <c r="AD29" s="251"/>
      <c r="AE29" s="248"/>
      <c r="AF29" s="248"/>
      <c r="AG29" s="248"/>
      <c r="AH29" s="248"/>
      <c r="AI29" s="248"/>
      <c r="AJ29" s="248"/>
      <c r="AK29" s="249"/>
      <c r="AL29" s="249"/>
      <c r="AM29" s="252"/>
      <c r="AN29" s="252"/>
      <c r="AO29" s="252"/>
      <c r="AP29" s="253"/>
      <c r="AQ29" s="248"/>
      <c r="AR29" s="248"/>
      <c r="AS29" s="249"/>
      <c r="AT29" s="248"/>
      <c r="AU29" s="252"/>
      <c r="AV29" s="252"/>
      <c r="AW29" s="252"/>
      <c r="AX29" s="253"/>
      <c r="AY29" s="252"/>
      <c r="AZ29" s="252"/>
      <c r="BA29" s="252"/>
      <c r="BB29" s="253"/>
      <c r="BC29" s="252"/>
      <c r="BD29" s="252"/>
      <c r="BE29" s="252"/>
      <c r="BF29" s="253"/>
      <c r="BG29" s="252"/>
      <c r="BH29" s="252"/>
      <c r="BI29" s="252"/>
      <c r="BJ29" s="253"/>
      <c r="BK29" s="252"/>
      <c r="BL29" s="252"/>
      <c r="BM29" s="252"/>
      <c r="BN29" s="253"/>
      <c r="BO29" s="252"/>
      <c r="BP29" s="252"/>
      <c r="BQ29" s="252"/>
      <c r="BR29" s="253"/>
      <c r="BS29" s="252"/>
      <c r="BT29" s="252"/>
      <c r="BU29" s="252"/>
      <c r="BV29" s="253"/>
      <c r="BW29" s="252"/>
      <c r="BX29" s="252"/>
      <c r="BY29" s="252"/>
      <c r="BZ29" s="253"/>
      <c r="CA29" s="252"/>
      <c r="CB29" s="252"/>
      <c r="CC29" s="252"/>
      <c r="CD29" s="253"/>
      <c r="CE29" s="3"/>
      <c r="CF29" s="3"/>
      <c r="CG29" s="3"/>
      <c r="CH29" s="3"/>
      <c r="CI29" s="3"/>
      <c r="CJ29" s="3"/>
      <c r="CK29" s="3"/>
      <c r="CL29" s="3"/>
      <c r="CM29" s="3"/>
      <c r="CN29" s="3"/>
      <c r="CO29" s="3"/>
      <c r="CP29" s="3"/>
      <c r="CQ29" s="3"/>
      <c r="CR29" s="3"/>
      <c r="CS29" s="3"/>
      <c r="CT29" s="3"/>
    </row>
    <row r="30" spans="2:98" x14ac:dyDescent="0.2">
      <c r="B30" s="172" t="s">
        <v>93</v>
      </c>
      <c r="C30" s="249"/>
      <c r="D30" s="250"/>
      <c r="E30" s="249"/>
      <c r="F30" s="251"/>
      <c r="G30" s="249"/>
      <c r="H30" s="249"/>
      <c r="I30" s="249"/>
      <c r="J30" s="251"/>
      <c r="K30" s="250"/>
      <c r="L30" s="250"/>
      <c r="M30" s="249"/>
      <c r="N30" s="251"/>
      <c r="O30" s="249"/>
      <c r="P30" s="250"/>
      <c r="Q30" s="249"/>
      <c r="R30" s="251"/>
      <c r="S30" s="248"/>
      <c r="T30" s="248"/>
      <c r="U30" s="248"/>
      <c r="V30" s="256"/>
      <c r="W30" s="248"/>
      <c r="X30" s="248"/>
      <c r="Y30" s="249"/>
      <c r="Z30" s="251"/>
      <c r="AA30" s="248"/>
      <c r="AB30" s="248"/>
      <c r="AC30" s="249"/>
      <c r="AD30" s="251"/>
      <c r="AE30" s="248"/>
      <c r="AF30" s="248"/>
      <c r="AG30" s="248"/>
      <c r="AH30" s="248"/>
      <c r="AI30" s="248"/>
      <c r="AJ30" s="248"/>
      <c r="AK30" s="249"/>
      <c r="AL30" s="249"/>
      <c r="AM30" s="252"/>
      <c r="AN30" s="252"/>
      <c r="AO30" s="252"/>
      <c r="AP30" s="253"/>
      <c r="AQ30" s="248"/>
      <c r="AR30" s="248"/>
      <c r="AS30" s="249"/>
      <c r="AT30" s="248"/>
      <c r="AU30" s="252"/>
      <c r="AV30" s="252"/>
      <c r="AW30" s="252"/>
      <c r="AX30" s="253"/>
      <c r="AY30" s="252"/>
      <c r="AZ30" s="252"/>
      <c r="BA30" s="252"/>
      <c r="BB30" s="253"/>
      <c r="BC30" s="252"/>
      <c r="BD30" s="252"/>
      <c r="BE30" s="252"/>
      <c r="BF30" s="253"/>
      <c r="BG30" s="252"/>
      <c r="BH30" s="252"/>
      <c r="BI30" s="252"/>
      <c r="BJ30" s="253"/>
      <c r="BK30" s="252"/>
      <c r="BL30" s="252"/>
      <c r="BM30" s="252"/>
      <c r="BN30" s="253"/>
      <c r="BO30" s="252"/>
      <c r="BP30" s="252"/>
      <c r="BQ30" s="252"/>
      <c r="BR30" s="253"/>
      <c r="BS30" s="252"/>
      <c r="BT30" s="252"/>
      <c r="BU30" s="252"/>
      <c r="BV30" s="253"/>
      <c r="BW30" s="252"/>
      <c r="BX30" s="252"/>
      <c r="BY30" s="252"/>
      <c r="BZ30" s="253"/>
      <c r="CA30" s="252"/>
      <c r="CB30" s="252"/>
      <c r="CC30" s="252"/>
      <c r="CD30" s="253"/>
      <c r="CE30" s="3"/>
      <c r="CF30" s="3"/>
      <c r="CG30" s="3"/>
      <c r="CH30" s="3"/>
      <c r="CI30" s="3"/>
      <c r="CJ30" s="3"/>
      <c r="CK30" s="3"/>
      <c r="CL30" s="3"/>
      <c r="CM30" s="3"/>
      <c r="CN30" s="3"/>
      <c r="CO30" s="3"/>
      <c r="CP30" s="3"/>
      <c r="CQ30" s="3"/>
      <c r="CR30" s="3"/>
      <c r="CS30" s="3"/>
      <c r="CT30" s="3"/>
    </row>
    <row r="31" spans="2:98" x14ac:dyDescent="0.2">
      <c r="B31" s="137" t="s">
        <v>95</v>
      </c>
      <c r="C31" s="249"/>
      <c r="D31" s="250"/>
      <c r="E31" s="249"/>
      <c r="F31" s="251"/>
      <c r="G31" s="249"/>
      <c r="H31" s="249"/>
      <c r="I31" s="249"/>
      <c r="J31" s="251"/>
      <c r="K31" s="249"/>
      <c r="L31" s="249"/>
      <c r="M31" s="249"/>
      <c r="N31" s="251"/>
      <c r="O31" s="249"/>
      <c r="P31" s="250"/>
      <c r="Q31" s="249"/>
      <c r="R31" s="251"/>
      <c r="S31" s="248"/>
      <c r="T31" s="248"/>
      <c r="U31" s="248"/>
      <c r="V31" s="256"/>
      <c r="W31" s="248"/>
      <c r="X31" s="248"/>
      <c r="Y31" s="249"/>
      <c r="Z31" s="251"/>
      <c r="AA31" s="248"/>
      <c r="AB31" s="248"/>
      <c r="AC31" s="249"/>
      <c r="AD31" s="251"/>
      <c r="AE31" s="248"/>
      <c r="AF31" s="248"/>
      <c r="AG31" s="248"/>
      <c r="AH31" s="248"/>
      <c r="AI31" s="248"/>
      <c r="AJ31" s="248"/>
      <c r="AK31" s="249"/>
      <c r="AL31" s="249"/>
      <c r="AM31" s="252"/>
      <c r="AN31" s="252"/>
      <c r="AO31" s="252"/>
      <c r="AP31" s="253"/>
      <c r="AQ31" s="248"/>
      <c r="AR31" s="248"/>
      <c r="AS31" s="249"/>
      <c r="AT31" s="248"/>
      <c r="AU31" s="252"/>
      <c r="AV31" s="252"/>
      <c r="AW31" s="252"/>
      <c r="AX31" s="253"/>
      <c r="AY31" s="252"/>
      <c r="AZ31" s="252"/>
      <c r="BA31" s="252"/>
      <c r="BB31" s="253"/>
      <c r="BC31" s="252"/>
      <c r="BD31" s="252"/>
      <c r="BE31" s="252"/>
      <c r="BF31" s="253"/>
      <c r="BG31" s="252"/>
      <c r="BH31" s="252"/>
      <c r="BI31" s="252"/>
      <c r="BJ31" s="253"/>
      <c r="BK31" s="252"/>
      <c r="BL31" s="252"/>
      <c r="BM31" s="252"/>
      <c r="BN31" s="253"/>
      <c r="BO31" s="252"/>
      <c r="BP31" s="252"/>
      <c r="BQ31" s="252"/>
      <c r="BR31" s="253"/>
      <c r="BS31" s="252"/>
      <c r="BT31" s="252"/>
      <c r="BU31" s="252"/>
      <c r="BV31" s="253"/>
      <c r="BW31" s="252"/>
      <c r="BX31" s="252"/>
      <c r="BY31" s="252"/>
      <c r="BZ31" s="253"/>
      <c r="CA31" s="252"/>
      <c r="CB31" s="252"/>
      <c r="CC31" s="252"/>
      <c r="CD31" s="253"/>
      <c r="CE31" s="3"/>
      <c r="CF31" s="3"/>
      <c r="CG31" s="3"/>
      <c r="CH31" s="3"/>
      <c r="CI31" s="3"/>
      <c r="CJ31" s="3"/>
      <c r="CK31" s="3"/>
      <c r="CL31" s="3"/>
      <c r="CM31" s="3"/>
      <c r="CN31" s="3"/>
      <c r="CO31" s="3"/>
      <c r="CP31" s="3"/>
      <c r="CQ31" s="3"/>
      <c r="CR31" s="3"/>
      <c r="CS31" s="3"/>
      <c r="CT31" s="3"/>
    </row>
    <row r="32" spans="2:98" x14ac:dyDescent="0.2">
      <c r="B32" s="137" t="s">
        <v>51</v>
      </c>
      <c r="C32" s="249"/>
      <c r="D32" s="250"/>
      <c r="E32" s="249"/>
      <c r="F32" s="251"/>
      <c r="G32" s="249"/>
      <c r="H32" s="249"/>
      <c r="I32" s="249"/>
      <c r="J32" s="251"/>
      <c r="K32" s="249"/>
      <c r="L32" s="249"/>
      <c r="M32" s="249"/>
      <c r="N32" s="251"/>
      <c r="O32" s="249"/>
      <c r="P32" s="250"/>
      <c r="Q32" s="249"/>
      <c r="R32" s="251"/>
      <c r="S32" s="248"/>
      <c r="T32" s="248"/>
      <c r="U32" s="248"/>
      <c r="V32" s="256"/>
      <c r="W32" s="248"/>
      <c r="X32" s="248"/>
      <c r="Y32" s="249"/>
      <c r="Z32" s="251"/>
      <c r="AA32" s="248"/>
      <c r="AB32" s="248"/>
      <c r="AC32" s="249"/>
      <c r="AD32" s="251"/>
      <c r="AE32" s="248"/>
      <c r="AF32" s="248"/>
      <c r="AG32" s="248"/>
      <c r="AH32" s="248"/>
      <c r="AI32" s="248"/>
      <c r="AJ32" s="248"/>
      <c r="AK32" s="249"/>
      <c r="AL32" s="249"/>
      <c r="AM32" s="252"/>
      <c r="AN32" s="252"/>
      <c r="AO32" s="252"/>
      <c r="AP32" s="253"/>
      <c r="AQ32" s="248"/>
      <c r="AR32" s="248"/>
      <c r="AS32" s="249"/>
      <c r="AT32" s="248"/>
      <c r="AU32" s="252"/>
      <c r="AV32" s="252"/>
      <c r="AW32" s="252"/>
      <c r="AX32" s="253"/>
      <c r="AY32" s="252"/>
      <c r="AZ32" s="252"/>
      <c r="BA32" s="252"/>
      <c r="BB32" s="253"/>
      <c r="BC32" s="252"/>
      <c r="BD32" s="252"/>
      <c r="BE32" s="252"/>
      <c r="BF32" s="253"/>
      <c r="BG32" s="252"/>
      <c r="BH32" s="252"/>
      <c r="BI32" s="252"/>
      <c r="BJ32" s="253"/>
      <c r="BK32" s="252"/>
      <c r="BL32" s="252"/>
      <c r="BM32" s="252"/>
      <c r="BN32" s="253"/>
      <c r="BO32" s="252"/>
      <c r="BP32" s="252"/>
      <c r="BQ32" s="252"/>
      <c r="BR32" s="253"/>
      <c r="BS32" s="252"/>
      <c r="BT32" s="252"/>
      <c r="BU32" s="252"/>
      <c r="BV32" s="253"/>
      <c r="BW32" s="252"/>
      <c r="BX32" s="252"/>
      <c r="BY32" s="252"/>
      <c r="BZ32" s="253"/>
      <c r="CA32" s="252"/>
      <c r="CB32" s="252"/>
      <c r="CC32" s="252"/>
      <c r="CD32" s="253"/>
      <c r="CE32" s="3"/>
      <c r="CF32" s="3"/>
      <c r="CG32" s="3"/>
      <c r="CH32" s="3"/>
      <c r="CI32" s="3"/>
      <c r="CJ32" s="3"/>
      <c r="CK32" s="3"/>
      <c r="CL32" s="3"/>
      <c r="CM32" s="3"/>
      <c r="CN32" s="3"/>
      <c r="CO32" s="3"/>
      <c r="CP32" s="3"/>
      <c r="CQ32" s="3"/>
      <c r="CR32" s="3"/>
      <c r="CS32" s="3"/>
      <c r="CT32" s="3"/>
    </row>
    <row r="33" spans="2:98" x14ac:dyDescent="0.2">
      <c r="B33" s="137" t="s">
        <v>94</v>
      </c>
      <c r="C33" s="249"/>
      <c r="D33" s="250"/>
      <c r="E33" s="249"/>
      <c r="F33" s="251"/>
      <c r="G33" s="249"/>
      <c r="H33" s="249"/>
      <c r="I33" s="249"/>
      <c r="J33" s="251"/>
      <c r="K33" s="249"/>
      <c r="L33" s="249"/>
      <c r="M33" s="249"/>
      <c r="N33" s="251"/>
      <c r="O33" s="249"/>
      <c r="P33" s="250"/>
      <c r="Q33" s="249"/>
      <c r="R33" s="251"/>
      <c r="S33" s="248"/>
      <c r="T33" s="248"/>
      <c r="U33" s="248"/>
      <c r="V33" s="256"/>
      <c r="W33" s="248"/>
      <c r="X33" s="248"/>
      <c r="Y33" s="249"/>
      <c r="Z33" s="251"/>
      <c r="AA33" s="248"/>
      <c r="AB33" s="248"/>
      <c r="AC33" s="249"/>
      <c r="AD33" s="251"/>
      <c r="AE33" s="248"/>
      <c r="AF33" s="248"/>
      <c r="AG33" s="248"/>
      <c r="AH33" s="248"/>
      <c r="AI33" s="248"/>
      <c r="AJ33" s="248"/>
      <c r="AK33" s="249"/>
      <c r="AL33" s="249"/>
      <c r="AM33" s="252"/>
      <c r="AN33" s="252"/>
      <c r="AO33" s="252"/>
      <c r="AP33" s="253"/>
      <c r="AQ33" s="248"/>
      <c r="AR33" s="248"/>
      <c r="AS33" s="249"/>
      <c r="AT33" s="248"/>
      <c r="AU33" s="252"/>
      <c r="AV33" s="252"/>
      <c r="AW33" s="252"/>
      <c r="AX33" s="253"/>
      <c r="AY33" s="252"/>
      <c r="AZ33" s="252"/>
      <c r="BA33" s="252"/>
      <c r="BB33" s="253"/>
      <c r="BC33" s="252"/>
      <c r="BD33" s="252"/>
      <c r="BE33" s="252"/>
      <c r="BF33" s="253"/>
      <c r="BG33" s="252"/>
      <c r="BH33" s="252"/>
      <c r="BI33" s="252"/>
      <c r="BJ33" s="253"/>
      <c r="BK33" s="252"/>
      <c r="BL33" s="252"/>
      <c r="BM33" s="252"/>
      <c r="BN33" s="253"/>
      <c r="BO33" s="252"/>
      <c r="BP33" s="252"/>
      <c r="BQ33" s="252"/>
      <c r="BR33" s="253"/>
      <c r="BS33" s="252"/>
      <c r="BT33" s="252"/>
      <c r="BU33" s="252"/>
      <c r="BV33" s="253"/>
      <c r="BW33" s="252"/>
      <c r="BX33" s="252"/>
      <c r="BY33" s="252"/>
      <c r="BZ33" s="253"/>
      <c r="CA33" s="252"/>
      <c r="CB33" s="252"/>
      <c r="CC33" s="252"/>
      <c r="CD33" s="253"/>
      <c r="CE33" s="3"/>
      <c r="CF33" s="3"/>
      <c r="CG33" s="3"/>
      <c r="CH33" s="3"/>
      <c r="CI33" s="3"/>
      <c r="CJ33" s="3"/>
      <c r="CK33" s="3"/>
      <c r="CL33" s="3"/>
      <c r="CM33" s="3"/>
      <c r="CN33" s="3"/>
      <c r="CO33" s="3"/>
      <c r="CP33" s="3"/>
      <c r="CQ33" s="3"/>
      <c r="CR33" s="3"/>
      <c r="CS33" s="3"/>
      <c r="CT33" s="3"/>
    </row>
    <row r="34" spans="2:98" x14ac:dyDescent="0.2">
      <c r="B34" s="172" t="s">
        <v>97</v>
      </c>
      <c r="C34" s="249"/>
      <c r="D34" s="250"/>
      <c r="E34" s="249"/>
      <c r="F34" s="251"/>
      <c r="G34" s="249"/>
      <c r="H34" s="249"/>
      <c r="I34" s="249"/>
      <c r="J34" s="251"/>
      <c r="K34" s="249"/>
      <c r="L34" s="249"/>
      <c r="M34" s="249"/>
      <c r="N34" s="251"/>
      <c r="O34" s="249"/>
      <c r="P34" s="250"/>
      <c r="Q34" s="249"/>
      <c r="R34" s="251"/>
      <c r="S34" s="248"/>
      <c r="T34" s="248"/>
      <c r="U34" s="248"/>
      <c r="V34" s="256"/>
      <c r="W34" s="248"/>
      <c r="X34" s="248"/>
      <c r="Y34" s="249"/>
      <c r="Z34" s="251"/>
      <c r="AA34" s="248"/>
      <c r="AB34" s="248"/>
      <c r="AC34" s="249"/>
      <c r="AD34" s="251"/>
      <c r="AE34" s="248"/>
      <c r="AF34" s="248"/>
      <c r="AG34" s="248"/>
      <c r="AH34" s="248"/>
      <c r="AI34" s="248"/>
      <c r="AJ34" s="248"/>
      <c r="AK34" s="249"/>
      <c r="AL34" s="249"/>
      <c r="AM34" s="252"/>
      <c r="AN34" s="252"/>
      <c r="AO34" s="252"/>
      <c r="AP34" s="253"/>
      <c r="AQ34" s="248"/>
      <c r="AR34" s="248"/>
      <c r="AS34" s="249"/>
      <c r="AT34" s="248"/>
      <c r="AU34" s="252"/>
      <c r="AV34" s="252"/>
      <c r="AW34" s="252"/>
      <c r="AX34" s="253"/>
      <c r="AY34" s="252"/>
      <c r="AZ34" s="252"/>
      <c r="BA34" s="252"/>
      <c r="BB34" s="253"/>
      <c r="BC34" s="252"/>
      <c r="BD34" s="252"/>
      <c r="BE34" s="252"/>
      <c r="BF34" s="253"/>
      <c r="BG34" s="252"/>
      <c r="BH34" s="252"/>
      <c r="BI34" s="252"/>
      <c r="BJ34" s="253"/>
      <c r="BK34" s="252"/>
      <c r="BL34" s="252"/>
      <c r="BM34" s="252"/>
      <c r="BN34" s="253"/>
      <c r="BO34" s="252"/>
      <c r="BP34" s="252"/>
      <c r="BQ34" s="252"/>
      <c r="BR34" s="253"/>
      <c r="BS34" s="252"/>
      <c r="BT34" s="252"/>
      <c r="BU34" s="252"/>
      <c r="BV34" s="253"/>
      <c r="BW34" s="252"/>
      <c r="BX34" s="252"/>
      <c r="BY34" s="252"/>
      <c r="BZ34" s="253"/>
      <c r="CA34" s="252"/>
      <c r="CB34" s="252"/>
      <c r="CC34" s="252"/>
      <c r="CD34" s="253"/>
      <c r="CE34" s="3"/>
      <c r="CF34" s="3"/>
      <c r="CG34" s="3"/>
      <c r="CH34" s="3"/>
      <c r="CI34" s="3"/>
      <c r="CJ34" s="3"/>
      <c r="CK34" s="3"/>
      <c r="CL34" s="3"/>
      <c r="CM34" s="3"/>
      <c r="CN34" s="3"/>
      <c r="CO34" s="3"/>
      <c r="CP34" s="3"/>
      <c r="CQ34" s="3"/>
      <c r="CR34" s="3"/>
      <c r="CS34" s="3"/>
      <c r="CT34" s="3"/>
    </row>
    <row r="35" spans="2:98" x14ac:dyDescent="0.2">
      <c r="B35" s="172" t="s">
        <v>98</v>
      </c>
      <c r="C35" s="249"/>
      <c r="D35" s="250"/>
      <c r="E35" s="249"/>
      <c r="F35" s="251"/>
      <c r="G35" s="249"/>
      <c r="H35" s="249"/>
      <c r="I35" s="249"/>
      <c r="J35" s="251"/>
      <c r="K35" s="249"/>
      <c r="L35" s="249"/>
      <c r="M35" s="249"/>
      <c r="N35" s="251"/>
      <c r="O35" s="249"/>
      <c r="P35" s="250"/>
      <c r="Q35" s="249"/>
      <c r="R35" s="251"/>
      <c r="S35" s="248"/>
      <c r="T35" s="248"/>
      <c r="U35" s="248"/>
      <c r="V35" s="256"/>
      <c r="W35" s="248"/>
      <c r="X35" s="248"/>
      <c r="Y35" s="249"/>
      <c r="Z35" s="251"/>
      <c r="AA35" s="248"/>
      <c r="AB35" s="248"/>
      <c r="AC35" s="249"/>
      <c r="AD35" s="251"/>
      <c r="AE35" s="248"/>
      <c r="AF35" s="248"/>
      <c r="AG35" s="248"/>
      <c r="AH35" s="248"/>
      <c r="AI35" s="248"/>
      <c r="AJ35" s="248"/>
      <c r="AK35" s="249"/>
      <c r="AL35" s="249"/>
      <c r="AM35" s="252"/>
      <c r="AN35" s="252"/>
      <c r="AO35" s="252"/>
      <c r="AP35" s="253"/>
      <c r="AQ35" s="248"/>
      <c r="AR35" s="248"/>
      <c r="AS35" s="249"/>
      <c r="AT35" s="248"/>
      <c r="AU35" s="252"/>
      <c r="AV35" s="252"/>
      <c r="AW35" s="252"/>
      <c r="AX35" s="253"/>
      <c r="AY35" s="252"/>
      <c r="AZ35" s="252"/>
      <c r="BA35" s="252"/>
      <c r="BB35" s="253"/>
      <c r="BC35" s="252"/>
      <c r="BD35" s="252"/>
      <c r="BE35" s="252"/>
      <c r="BF35" s="253"/>
      <c r="BG35" s="252"/>
      <c r="BH35" s="252"/>
      <c r="BI35" s="252"/>
      <c r="BJ35" s="253"/>
      <c r="BK35" s="252"/>
      <c r="BL35" s="252"/>
      <c r="BM35" s="252"/>
      <c r="BN35" s="253"/>
      <c r="BO35" s="252"/>
      <c r="BP35" s="252"/>
      <c r="BQ35" s="252"/>
      <c r="BR35" s="253"/>
      <c r="BS35" s="252"/>
      <c r="BT35" s="252"/>
      <c r="BU35" s="252"/>
      <c r="BV35" s="253"/>
      <c r="BW35" s="252"/>
      <c r="BX35" s="252"/>
      <c r="BY35" s="252"/>
      <c r="BZ35" s="253"/>
      <c r="CA35" s="252"/>
      <c r="CB35" s="252"/>
      <c r="CC35" s="252"/>
      <c r="CD35" s="253"/>
      <c r="CE35" s="3"/>
      <c r="CF35" s="3"/>
      <c r="CG35" s="3"/>
      <c r="CH35" s="3"/>
      <c r="CI35" s="3"/>
      <c r="CJ35" s="3"/>
      <c r="CK35" s="3"/>
      <c r="CL35" s="3"/>
      <c r="CM35" s="3"/>
      <c r="CN35" s="3"/>
      <c r="CO35" s="3"/>
      <c r="CP35" s="3"/>
      <c r="CQ35" s="3"/>
      <c r="CR35" s="3"/>
      <c r="CS35" s="3"/>
      <c r="CT35" s="3"/>
    </row>
    <row r="36" spans="2:98" x14ac:dyDescent="0.2">
      <c r="B36" s="138"/>
      <c r="C36" s="249"/>
      <c r="D36" s="250"/>
      <c r="E36" s="249"/>
      <c r="F36" s="251"/>
      <c r="G36" s="249"/>
      <c r="H36" s="249"/>
      <c r="I36" s="249"/>
      <c r="J36" s="251"/>
      <c r="K36" s="249"/>
      <c r="L36" s="249"/>
      <c r="M36" s="249"/>
      <c r="N36" s="251"/>
      <c r="O36" s="249"/>
      <c r="P36" s="250"/>
      <c r="Q36" s="249"/>
      <c r="R36" s="251"/>
      <c r="S36" s="248"/>
      <c r="T36" s="248"/>
      <c r="U36" s="248"/>
      <c r="V36" s="256"/>
      <c r="W36" s="248"/>
      <c r="X36" s="248"/>
      <c r="Y36" s="249"/>
      <c r="Z36" s="251"/>
      <c r="AA36" s="248"/>
      <c r="AB36" s="248"/>
      <c r="AC36" s="249"/>
      <c r="AD36" s="251"/>
      <c r="AE36" s="248"/>
      <c r="AF36" s="248"/>
      <c r="AG36" s="248"/>
      <c r="AH36" s="248"/>
      <c r="AI36" s="248"/>
      <c r="AJ36" s="248"/>
      <c r="AK36" s="249"/>
      <c r="AL36" s="249"/>
      <c r="AM36" s="252"/>
      <c r="AN36" s="252"/>
      <c r="AO36" s="252"/>
      <c r="AP36" s="253"/>
      <c r="AQ36" s="248"/>
      <c r="AR36" s="248"/>
      <c r="AS36" s="249"/>
      <c r="AT36" s="248"/>
      <c r="AU36" s="252"/>
      <c r="AV36" s="252"/>
      <c r="AW36" s="252"/>
      <c r="AX36" s="253"/>
      <c r="AY36" s="252"/>
      <c r="AZ36" s="252"/>
      <c r="BA36" s="252"/>
      <c r="BB36" s="253"/>
      <c r="BC36" s="252"/>
      <c r="BD36" s="252"/>
      <c r="BE36" s="252"/>
      <c r="BF36" s="253"/>
      <c r="BG36" s="252"/>
      <c r="BH36" s="252"/>
      <c r="BI36" s="252"/>
      <c r="BJ36" s="253"/>
      <c r="BK36" s="252"/>
      <c r="BL36" s="252"/>
      <c r="BM36" s="252"/>
      <c r="BN36" s="253"/>
      <c r="BO36" s="252"/>
      <c r="BP36" s="252"/>
      <c r="BQ36" s="252"/>
      <c r="BR36" s="253"/>
      <c r="BS36" s="252"/>
      <c r="BT36" s="252"/>
      <c r="BU36" s="252"/>
      <c r="BV36" s="253"/>
      <c r="BW36" s="252"/>
      <c r="BX36" s="252"/>
      <c r="BY36" s="252"/>
      <c r="BZ36" s="253"/>
      <c r="CA36" s="252"/>
      <c r="CB36" s="252"/>
      <c r="CC36" s="252"/>
      <c r="CD36" s="253"/>
      <c r="CE36" s="3"/>
      <c r="CF36" s="3"/>
      <c r="CG36" s="3"/>
      <c r="CH36" s="3"/>
      <c r="CI36" s="3"/>
      <c r="CJ36" s="3"/>
      <c r="CK36" s="3"/>
      <c r="CL36" s="3"/>
      <c r="CM36" s="3"/>
      <c r="CN36" s="3"/>
      <c r="CO36" s="3"/>
      <c r="CP36" s="3"/>
      <c r="CQ36" s="3"/>
      <c r="CR36" s="3"/>
      <c r="CS36" s="3"/>
      <c r="CT36" s="3"/>
    </row>
    <row r="37" spans="2:98" x14ac:dyDescent="0.2">
      <c r="B37" s="138"/>
      <c r="C37" s="249"/>
      <c r="D37" s="250"/>
      <c r="E37" s="249"/>
      <c r="F37" s="251"/>
      <c r="G37" s="249"/>
      <c r="H37" s="249"/>
      <c r="I37" s="249"/>
      <c r="J37" s="251"/>
      <c r="K37" s="249"/>
      <c r="L37" s="249"/>
      <c r="M37" s="249"/>
      <c r="N37" s="251"/>
      <c r="O37" s="249"/>
      <c r="P37" s="250"/>
      <c r="Q37" s="249"/>
      <c r="R37" s="251"/>
      <c r="S37" s="248"/>
      <c r="T37" s="248"/>
      <c r="U37" s="248"/>
      <c r="V37" s="256"/>
      <c r="W37" s="248"/>
      <c r="X37" s="248"/>
      <c r="Y37" s="249"/>
      <c r="Z37" s="251"/>
      <c r="AA37" s="248"/>
      <c r="AB37" s="248"/>
      <c r="AC37" s="249"/>
      <c r="AD37" s="251"/>
      <c r="AE37" s="248"/>
      <c r="AF37" s="248"/>
      <c r="AG37" s="248"/>
      <c r="AH37" s="248"/>
      <c r="AI37" s="248"/>
      <c r="AJ37" s="248"/>
      <c r="AK37" s="249"/>
      <c r="AL37" s="249"/>
      <c r="AM37" s="252"/>
      <c r="AN37" s="252"/>
      <c r="AO37" s="252"/>
      <c r="AP37" s="253"/>
      <c r="AQ37" s="248"/>
      <c r="AR37" s="248"/>
      <c r="AS37" s="249"/>
      <c r="AT37" s="248"/>
      <c r="AU37" s="252"/>
      <c r="AV37" s="252"/>
      <c r="AW37" s="252"/>
      <c r="AX37" s="253"/>
      <c r="AY37" s="252"/>
      <c r="AZ37" s="252"/>
      <c r="BA37" s="252"/>
      <c r="BB37" s="253"/>
      <c r="BC37" s="252"/>
      <c r="BD37" s="252"/>
      <c r="BE37" s="252"/>
      <c r="BF37" s="253"/>
      <c r="BG37" s="252"/>
      <c r="BH37" s="252"/>
      <c r="BI37" s="252"/>
      <c r="BJ37" s="253"/>
      <c r="BK37" s="252"/>
      <c r="BL37" s="252"/>
      <c r="BM37" s="252"/>
      <c r="BN37" s="253"/>
      <c r="BO37" s="252"/>
      <c r="BP37" s="252"/>
      <c r="BQ37" s="252"/>
      <c r="BR37" s="253"/>
      <c r="BS37" s="252"/>
      <c r="BT37" s="252"/>
      <c r="BU37" s="252"/>
      <c r="BV37" s="253"/>
      <c r="BW37" s="252"/>
      <c r="BX37" s="252"/>
      <c r="BY37" s="252"/>
      <c r="BZ37" s="253"/>
      <c r="CA37" s="252"/>
      <c r="CB37" s="252"/>
      <c r="CC37" s="252"/>
      <c r="CD37" s="253"/>
      <c r="CE37" s="3"/>
      <c r="CF37" s="3"/>
      <c r="CG37" s="3"/>
      <c r="CH37" s="3"/>
      <c r="CI37" s="3"/>
      <c r="CJ37" s="3"/>
      <c r="CK37" s="3"/>
      <c r="CL37" s="3"/>
      <c r="CM37" s="3"/>
      <c r="CN37" s="3"/>
      <c r="CO37" s="3"/>
      <c r="CP37" s="3"/>
      <c r="CQ37" s="3"/>
      <c r="CR37" s="3"/>
      <c r="CS37" s="3"/>
      <c r="CT37" s="3"/>
    </row>
    <row r="38" spans="2:98" x14ac:dyDescent="0.2">
      <c r="B38" s="138"/>
      <c r="C38" s="249"/>
      <c r="D38" s="250"/>
      <c r="E38" s="249"/>
      <c r="F38" s="251"/>
      <c r="G38" s="249"/>
      <c r="H38" s="249"/>
      <c r="I38" s="249"/>
      <c r="J38" s="251"/>
      <c r="K38" s="249"/>
      <c r="L38" s="249"/>
      <c r="M38" s="249"/>
      <c r="N38" s="251"/>
      <c r="O38" s="249"/>
      <c r="P38" s="250"/>
      <c r="Q38" s="249"/>
      <c r="R38" s="251"/>
      <c r="S38" s="248"/>
      <c r="T38" s="248"/>
      <c r="U38" s="248"/>
      <c r="V38" s="256"/>
      <c r="W38" s="248"/>
      <c r="X38" s="248"/>
      <c r="Y38" s="249"/>
      <c r="Z38" s="251"/>
      <c r="AA38" s="248"/>
      <c r="AB38" s="248"/>
      <c r="AC38" s="249"/>
      <c r="AD38" s="251"/>
      <c r="AE38" s="248"/>
      <c r="AF38" s="248"/>
      <c r="AG38" s="248"/>
      <c r="AH38" s="248"/>
      <c r="AI38" s="248"/>
      <c r="AJ38" s="248"/>
      <c r="AK38" s="249"/>
      <c r="AL38" s="249"/>
      <c r="AM38" s="252"/>
      <c r="AN38" s="252"/>
      <c r="AO38" s="252"/>
      <c r="AP38" s="253"/>
      <c r="AQ38" s="248"/>
      <c r="AR38" s="248"/>
      <c r="AS38" s="249"/>
      <c r="AT38" s="248"/>
      <c r="AU38" s="252"/>
      <c r="AV38" s="252"/>
      <c r="AW38" s="252"/>
      <c r="AX38" s="253"/>
      <c r="AY38" s="252"/>
      <c r="AZ38" s="252"/>
      <c r="BA38" s="252"/>
      <c r="BB38" s="253"/>
      <c r="BC38" s="252"/>
      <c r="BD38" s="252"/>
      <c r="BE38" s="252"/>
      <c r="BF38" s="253"/>
      <c r="BG38" s="252"/>
      <c r="BH38" s="252"/>
      <c r="BI38" s="252"/>
      <c r="BJ38" s="253"/>
      <c r="BK38" s="252"/>
      <c r="BL38" s="252"/>
      <c r="BM38" s="252"/>
      <c r="BN38" s="253"/>
      <c r="BO38" s="252"/>
      <c r="BP38" s="252"/>
      <c r="BQ38" s="252"/>
      <c r="BR38" s="253"/>
      <c r="BS38" s="252"/>
      <c r="BT38" s="252"/>
      <c r="BU38" s="252"/>
      <c r="BV38" s="253"/>
      <c r="BW38" s="252"/>
      <c r="BX38" s="252"/>
      <c r="BY38" s="252"/>
      <c r="BZ38" s="253"/>
      <c r="CA38" s="252"/>
      <c r="CB38" s="252"/>
      <c r="CC38" s="252"/>
      <c r="CD38" s="253"/>
      <c r="CE38" s="3"/>
      <c r="CF38" s="3"/>
      <c r="CG38" s="3"/>
      <c r="CH38" s="3"/>
      <c r="CI38" s="3"/>
      <c r="CJ38" s="3"/>
      <c r="CK38" s="3"/>
      <c r="CL38" s="3"/>
      <c r="CM38" s="3"/>
      <c r="CN38" s="3"/>
      <c r="CO38" s="3"/>
      <c r="CP38" s="3"/>
      <c r="CQ38" s="3"/>
      <c r="CR38" s="3"/>
      <c r="CS38" s="3"/>
      <c r="CT38" s="3"/>
    </row>
    <row r="39" spans="2:98" x14ac:dyDescent="0.2">
      <c r="B39" s="138"/>
      <c r="C39" s="249"/>
      <c r="D39" s="250"/>
      <c r="E39" s="249"/>
      <c r="F39" s="251"/>
      <c r="G39" s="249"/>
      <c r="H39" s="249"/>
      <c r="I39" s="249"/>
      <c r="J39" s="251"/>
      <c r="K39" s="249"/>
      <c r="L39" s="249"/>
      <c r="M39" s="249"/>
      <c r="N39" s="251"/>
      <c r="O39" s="249"/>
      <c r="P39" s="250"/>
      <c r="Q39" s="249"/>
      <c r="R39" s="251"/>
      <c r="S39" s="248"/>
      <c r="T39" s="248"/>
      <c r="U39" s="248"/>
      <c r="V39" s="256"/>
      <c r="W39" s="248"/>
      <c r="X39" s="248"/>
      <c r="Y39" s="249"/>
      <c r="Z39" s="251"/>
      <c r="AA39" s="248"/>
      <c r="AB39" s="248"/>
      <c r="AC39" s="249"/>
      <c r="AD39" s="251"/>
      <c r="AE39" s="248"/>
      <c r="AF39" s="248"/>
      <c r="AG39" s="248"/>
      <c r="AH39" s="248"/>
      <c r="AI39" s="248"/>
      <c r="AJ39" s="248"/>
      <c r="AK39" s="249"/>
      <c r="AL39" s="249"/>
      <c r="AM39" s="252"/>
      <c r="AN39" s="252"/>
      <c r="AO39" s="252"/>
      <c r="AP39" s="253"/>
      <c r="AQ39" s="248"/>
      <c r="AR39" s="248"/>
      <c r="AS39" s="249"/>
      <c r="AT39" s="248"/>
      <c r="AU39" s="252"/>
      <c r="AV39" s="252"/>
      <c r="AW39" s="252"/>
      <c r="AX39" s="253"/>
      <c r="AY39" s="252"/>
      <c r="AZ39" s="252"/>
      <c r="BA39" s="252"/>
      <c r="BB39" s="253"/>
      <c r="BC39" s="252"/>
      <c r="BD39" s="252"/>
      <c r="BE39" s="252"/>
      <c r="BF39" s="253"/>
      <c r="BG39" s="252"/>
      <c r="BH39" s="252"/>
      <c r="BI39" s="252"/>
      <c r="BJ39" s="253"/>
      <c r="BK39" s="252"/>
      <c r="BL39" s="252"/>
      <c r="BM39" s="252"/>
      <c r="BN39" s="253"/>
      <c r="BO39" s="252"/>
      <c r="BP39" s="252"/>
      <c r="BQ39" s="252"/>
      <c r="BR39" s="253"/>
      <c r="BS39" s="252"/>
      <c r="BT39" s="252"/>
      <c r="BU39" s="252"/>
      <c r="BV39" s="253"/>
      <c r="BW39" s="252"/>
      <c r="BX39" s="252"/>
      <c r="BY39" s="252"/>
      <c r="BZ39" s="253"/>
      <c r="CA39" s="252"/>
      <c r="CB39" s="252"/>
      <c r="CC39" s="252"/>
      <c r="CD39" s="253"/>
      <c r="CE39" s="3"/>
      <c r="CF39" s="3"/>
      <c r="CG39" s="3"/>
      <c r="CH39" s="3"/>
      <c r="CI39" s="3"/>
      <c r="CJ39" s="3"/>
      <c r="CK39" s="3"/>
      <c r="CL39" s="3"/>
      <c r="CM39" s="3"/>
      <c r="CN39" s="3"/>
      <c r="CO39" s="3"/>
      <c r="CP39" s="3"/>
      <c r="CQ39" s="3"/>
      <c r="CR39" s="3"/>
      <c r="CS39" s="3"/>
      <c r="CT39" s="3"/>
    </row>
    <row r="40" spans="2:98" x14ac:dyDescent="0.2">
      <c r="B40" s="138"/>
      <c r="C40" s="249"/>
      <c r="D40" s="250"/>
      <c r="E40" s="249"/>
      <c r="F40" s="251"/>
      <c r="G40" s="249"/>
      <c r="H40" s="249"/>
      <c r="I40" s="249"/>
      <c r="J40" s="251"/>
      <c r="K40" s="249"/>
      <c r="L40" s="249"/>
      <c r="M40" s="249"/>
      <c r="N40" s="251"/>
      <c r="O40" s="249"/>
      <c r="P40" s="250"/>
      <c r="Q40" s="249"/>
      <c r="R40" s="251"/>
      <c r="S40" s="248"/>
      <c r="T40" s="248"/>
      <c r="U40" s="248"/>
      <c r="V40" s="256"/>
      <c r="W40" s="248"/>
      <c r="X40" s="248"/>
      <c r="Y40" s="249"/>
      <c r="Z40" s="251"/>
      <c r="AA40" s="248"/>
      <c r="AB40" s="248"/>
      <c r="AC40" s="249"/>
      <c r="AD40" s="251"/>
      <c r="AE40" s="248"/>
      <c r="AF40" s="248"/>
      <c r="AG40" s="248"/>
      <c r="AH40" s="248"/>
      <c r="AI40" s="248"/>
      <c r="AJ40" s="248"/>
      <c r="AK40" s="249"/>
      <c r="AL40" s="249"/>
      <c r="AM40" s="252"/>
      <c r="AN40" s="252"/>
      <c r="AO40" s="252"/>
      <c r="AP40" s="253"/>
      <c r="AQ40" s="248"/>
      <c r="AR40" s="248"/>
      <c r="AS40" s="249"/>
      <c r="AT40" s="248"/>
      <c r="AU40" s="252"/>
      <c r="AV40" s="252"/>
      <c r="AW40" s="252"/>
      <c r="AX40" s="253"/>
      <c r="AY40" s="252"/>
      <c r="AZ40" s="252"/>
      <c r="BA40" s="252"/>
      <c r="BB40" s="253"/>
      <c r="BC40" s="252"/>
      <c r="BD40" s="252"/>
      <c r="BE40" s="252"/>
      <c r="BF40" s="253"/>
      <c r="BG40" s="252"/>
      <c r="BH40" s="252"/>
      <c r="BI40" s="252"/>
      <c r="BJ40" s="253"/>
      <c r="BK40" s="252"/>
      <c r="BL40" s="252"/>
      <c r="BM40" s="252"/>
      <c r="BN40" s="253"/>
      <c r="BO40" s="252"/>
      <c r="BP40" s="252"/>
      <c r="BQ40" s="252"/>
      <c r="BR40" s="253"/>
      <c r="BS40" s="252"/>
      <c r="BT40" s="252"/>
      <c r="BU40" s="252"/>
      <c r="BV40" s="253"/>
      <c r="BW40" s="252"/>
      <c r="BX40" s="252"/>
      <c r="BY40" s="252"/>
      <c r="BZ40" s="253"/>
      <c r="CA40" s="252"/>
      <c r="CB40" s="252"/>
      <c r="CC40" s="252"/>
      <c r="CD40" s="253"/>
      <c r="CE40" s="3"/>
      <c r="CF40" s="3"/>
      <c r="CG40" s="3"/>
      <c r="CH40" s="3"/>
      <c r="CI40" s="3"/>
      <c r="CJ40" s="3"/>
      <c r="CK40" s="3"/>
      <c r="CL40" s="3"/>
      <c r="CM40" s="3"/>
      <c r="CN40" s="3"/>
      <c r="CO40" s="3"/>
      <c r="CP40" s="3"/>
      <c r="CQ40" s="3"/>
      <c r="CR40" s="3"/>
      <c r="CS40" s="3"/>
      <c r="CT40" s="3"/>
    </row>
    <row r="41" spans="2:98" x14ac:dyDescent="0.2">
      <c r="B41" s="138"/>
      <c r="C41" s="249"/>
      <c r="D41" s="250"/>
      <c r="E41" s="249"/>
      <c r="F41" s="251"/>
      <c r="G41" s="249"/>
      <c r="H41" s="249"/>
      <c r="I41" s="249"/>
      <c r="J41" s="251"/>
      <c r="K41" s="249"/>
      <c r="L41" s="249"/>
      <c r="M41" s="249"/>
      <c r="N41" s="251"/>
      <c r="O41" s="249"/>
      <c r="P41" s="250"/>
      <c r="Q41" s="249"/>
      <c r="R41" s="251"/>
      <c r="S41" s="248"/>
      <c r="T41" s="248"/>
      <c r="U41" s="248"/>
      <c r="V41" s="256"/>
      <c r="W41" s="248"/>
      <c r="X41" s="248"/>
      <c r="Y41" s="249"/>
      <c r="Z41" s="251"/>
      <c r="AA41" s="248"/>
      <c r="AB41" s="248"/>
      <c r="AC41" s="249"/>
      <c r="AD41" s="251"/>
      <c r="AE41" s="248"/>
      <c r="AF41" s="248"/>
      <c r="AG41" s="248"/>
      <c r="AH41" s="248"/>
      <c r="AI41" s="248"/>
      <c r="AJ41" s="248"/>
      <c r="AK41" s="249"/>
      <c r="AL41" s="249"/>
      <c r="AM41" s="252"/>
      <c r="AN41" s="252"/>
      <c r="AO41" s="252"/>
      <c r="AP41" s="253"/>
      <c r="AQ41" s="248"/>
      <c r="AR41" s="248"/>
      <c r="AS41" s="249"/>
      <c r="AT41" s="248"/>
      <c r="AU41" s="252"/>
      <c r="AV41" s="252"/>
      <c r="AW41" s="252"/>
      <c r="AX41" s="253"/>
      <c r="AY41" s="252"/>
      <c r="AZ41" s="252"/>
      <c r="BA41" s="252"/>
      <c r="BB41" s="253"/>
      <c r="BC41" s="252"/>
      <c r="BD41" s="252"/>
      <c r="BE41" s="252"/>
      <c r="BF41" s="253"/>
      <c r="BG41" s="252"/>
      <c r="BH41" s="252"/>
      <c r="BI41" s="252"/>
      <c r="BJ41" s="253"/>
      <c r="BK41" s="252"/>
      <c r="BL41" s="252"/>
      <c r="BM41" s="252"/>
      <c r="BN41" s="253"/>
      <c r="BO41" s="252"/>
      <c r="BP41" s="252"/>
      <c r="BQ41" s="252"/>
      <c r="BR41" s="253"/>
      <c r="BS41" s="252"/>
      <c r="BT41" s="252"/>
      <c r="BU41" s="252"/>
      <c r="BV41" s="253"/>
      <c r="BW41" s="252"/>
      <c r="BX41" s="252"/>
      <c r="BY41" s="252"/>
      <c r="BZ41" s="253"/>
      <c r="CA41" s="252"/>
      <c r="CB41" s="252"/>
      <c r="CC41" s="252"/>
      <c r="CD41" s="253"/>
      <c r="CE41" s="3"/>
      <c r="CF41" s="3"/>
      <c r="CG41" s="3"/>
      <c r="CH41" s="3"/>
      <c r="CI41" s="3"/>
      <c r="CJ41" s="3"/>
      <c r="CK41" s="3"/>
      <c r="CL41" s="3"/>
      <c r="CM41" s="3"/>
      <c r="CN41" s="3"/>
      <c r="CO41" s="3"/>
      <c r="CP41" s="3"/>
      <c r="CQ41" s="3"/>
      <c r="CR41" s="3"/>
      <c r="CS41" s="3"/>
      <c r="CT41" s="3"/>
    </row>
    <row r="42" spans="2:98" x14ac:dyDescent="0.2">
      <c r="B42" s="138"/>
      <c r="C42" s="249"/>
      <c r="D42" s="250"/>
      <c r="E42" s="249"/>
      <c r="F42" s="251"/>
      <c r="G42" s="249"/>
      <c r="H42" s="249"/>
      <c r="I42" s="249"/>
      <c r="J42" s="251"/>
      <c r="K42" s="249"/>
      <c r="L42" s="249"/>
      <c r="M42" s="249"/>
      <c r="N42" s="251"/>
      <c r="O42" s="249"/>
      <c r="P42" s="250"/>
      <c r="Q42" s="249"/>
      <c r="R42" s="251"/>
      <c r="S42" s="248"/>
      <c r="T42" s="248"/>
      <c r="U42" s="249"/>
      <c r="V42" s="251"/>
      <c r="W42" s="249"/>
      <c r="X42" s="249"/>
      <c r="Y42" s="249"/>
      <c r="Z42" s="251"/>
      <c r="AA42" s="248"/>
      <c r="AB42" s="248"/>
      <c r="AC42" s="249"/>
      <c r="AD42" s="251"/>
      <c r="AE42" s="248"/>
      <c r="AF42" s="248"/>
      <c r="AG42" s="249"/>
      <c r="AH42" s="251"/>
      <c r="AI42" s="248"/>
      <c r="AJ42" s="248"/>
      <c r="AK42" s="249"/>
      <c r="AL42" s="249"/>
      <c r="AM42" s="252"/>
      <c r="AN42" s="252"/>
      <c r="AO42" s="252"/>
      <c r="AP42" s="253"/>
      <c r="AQ42" s="248"/>
      <c r="AR42" s="248"/>
      <c r="AS42" s="249"/>
      <c r="AT42" s="248"/>
      <c r="AU42" s="252"/>
      <c r="AV42" s="252"/>
      <c r="AW42" s="252"/>
      <c r="AX42" s="253"/>
      <c r="AY42" s="252"/>
      <c r="AZ42" s="252"/>
      <c r="BA42" s="252"/>
      <c r="BB42" s="253"/>
      <c r="BC42" s="252"/>
      <c r="BD42" s="252"/>
      <c r="BE42" s="252"/>
      <c r="BF42" s="253"/>
      <c r="BG42" s="252"/>
      <c r="BH42" s="252"/>
      <c r="BI42" s="252"/>
      <c r="BJ42" s="253"/>
      <c r="BK42" s="252"/>
      <c r="BL42" s="252"/>
      <c r="BM42" s="252"/>
      <c r="BN42" s="253"/>
      <c r="BO42" s="252"/>
      <c r="BP42" s="252"/>
      <c r="BQ42" s="252"/>
      <c r="BR42" s="253"/>
      <c r="BS42" s="252"/>
      <c r="BT42" s="252"/>
      <c r="BU42" s="252"/>
      <c r="BV42" s="253"/>
      <c r="BW42" s="252"/>
      <c r="BX42" s="252"/>
      <c r="BY42" s="252"/>
      <c r="BZ42" s="253"/>
      <c r="CA42" s="252"/>
      <c r="CB42" s="252"/>
      <c r="CC42" s="252"/>
      <c r="CD42" s="253"/>
      <c r="CE42" s="3"/>
      <c r="CF42" s="3"/>
      <c r="CG42" s="3"/>
      <c r="CH42" s="3"/>
      <c r="CI42" s="3"/>
      <c r="CJ42" s="3"/>
      <c r="CK42" s="3"/>
      <c r="CL42" s="3"/>
      <c r="CM42" s="3"/>
      <c r="CN42" s="3"/>
      <c r="CO42" s="3"/>
      <c r="CP42" s="3"/>
      <c r="CQ42" s="3"/>
      <c r="CR42" s="3"/>
      <c r="CS42" s="3"/>
      <c r="CT42" s="3"/>
    </row>
    <row r="43" spans="2:98" x14ac:dyDescent="0.2">
      <c r="B43" s="138"/>
      <c r="C43" s="249"/>
      <c r="D43" s="250"/>
      <c r="E43" s="249"/>
      <c r="F43" s="251"/>
      <c r="G43" s="249"/>
      <c r="H43" s="249"/>
      <c r="I43" s="249"/>
      <c r="J43" s="251"/>
      <c r="K43" s="249"/>
      <c r="L43" s="249"/>
      <c r="M43" s="249"/>
      <c r="N43" s="251"/>
      <c r="O43" s="249"/>
      <c r="P43" s="250"/>
      <c r="Q43" s="249"/>
      <c r="R43" s="251"/>
      <c r="S43" s="248"/>
      <c r="T43" s="248"/>
      <c r="U43" s="249"/>
      <c r="V43" s="251"/>
      <c r="W43" s="249"/>
      <c r="X43" s="249"/>
      <c r="Y43" s="249"/>
      <c r="Z43" s="251"/>
      <c r="AA43" s="248"/>
      <c r="AB43" s="248"/>
      <c r="AC43" s="249"/>
      <c r="AD43" s="251"/>
      <c r="AE43" s="248"/>
      <c r="AF43" s="248"/>
      <c r="AG43" s="249"/>
      <c r="AH43" s="251"/>
      <c r="AI43" s="248"/>
      <c r="AJ43" s="248"/>
      <c r="AK43" s="249"/>
      <c r="AL43" s="249"/>
      <c r="AM43" s="252"/>
      <c r="AN43" s="252"/>
      <c r="AO43" s="252"/>
      <c r="AP43" s="253"/>
      <c r="AQ43" s="248"/>
      <c r="AR43" s="248"/>
      <c r="AS43" s="249"/>
      <c r="AT43" s="248"/>
      <c r="AU43" s="252"/>
      <c r="AV43" s="252"/>
      <c r="AW43" s="252"/>
      <c r="AX43" s="253"/>
      <c r="AY43" s="252"/>
      <c r="AZ43" s="252"/>
      <c r="BA43" s="252"/>
      <c r="BB43" s="253"/>
      <c r="BC43" s="252"/>
      <c r="BD43" s="252"/>
      <c r="BE43" s="252"/>
      <c r="BF43" s="253"/>
      <c r="BG43" s="252"/>
      <c r="BH43" s="252"/>
      <c r="BI43" s="252"/>
      <c r="BJ43" s="253"/>
      <c r="BK43" s="252"/>
      <c r="BL43" s="252"/>
      <c r="BM43" s="252"/>
      <c r="BN43" s="253"/>
      <c r="BO43" s="252"/>
      <c r="BP43" s="252"/>
      <c r="BQ43" s="252"/>
      <c r="BR43" s="253"/>
      <c r="BS43" s="252"/>
      <c r="BT43" s="252"/>
      <c r="BU43" s="252"/>
      <c r="BV43" s="253"/>
      <c r="BW43" s="252"/>
      <c r="BX43" s="252"/>
      <c r="BY43" s="252"/>
      <c r="BZ43" s="253"/>
      <c r="CA43" s="252"/>
      <c r="CB43" s="252"/>
      <c r="CC43" s="252"/>
      <c r="CD43" s="253"/>
      <c r="CE43" s="3"/>
      <c r="CF43" s="3"/>
      <c r="CG43" s="3"/>
      <c r="CH43" s="3"/>
      <c r="CI43" s="3"/>
      <c r="CJ43" s="3"/>
      <c r="CK43" s="3"/>
      <c r="CL43" s="3"/>
      <c r="CM43" s="3"/>
      <c r="CN43" s="3"/>
      <c r="CO43" s="3"/>
      <c r="CP43" s="3"/>
      <c r="CQ43" s="3"/>
      <c r="CR43" s="3"/>
      <c r="CS43" s="3"/>
      <c r="CT43" s="3"/>
    </row>
    <row r="44" spans="2:98" x14ac:dyDescent="0.2">
      <c r="B44" s="138"/>
      <c r="C44" s="249"/>
      <c r="D44" s="250"/>
      <c r="E44" s="249"/>
      <c r="F44" s="251"/>
      <c r="G44" s="249"/>
      <c r="H44" s="249"/>
      <c r="I44" s="249"/>
      <c r="J44" s="251"/>
      <c r="K44" s="249"/>
      <c r="L44" s="249"/>
      <c r="M44" s="249"/>
      <c r="N44" s="251"/>
      <c r="O44" s="249"/>
      <c r="P44" s="250"/>
      <c r="Q44" s="249"/>
      <c r="R44" s="251"/>
      <c r="S44" s="248"/>
      <c r="T44" s="248"/>
      <c r="U44" s="249"/>
      <c r="V44" s="251"/>
      <c r="W44" s="249"/>
      <c r="X44" s="249"/>
      <c r="Y44" s="249"/>
      <c r="Z44" s="251"/>
      <c r="AA44" s="248"/>
      <c r="AB44" s="248"/>
      <c r="AC44" s="249"/>
      <c r="AD44" s="251"/>
      <c r="AE44" s="248"/>
      <c r="AF44" s="248"/>
      <c r="AG44" s="249"/>
      <c r="AH44" s="251"/>
      <c r="AI44" s="248"/>
      <c r="AJ44" s="248"/>
      <c r="AK44" s="249"/>
      <c r="AL44" s="249"/>
      <c r="AM44" s="252"/>
      <c r="AN44" s="252"/>
      <c r="AO44" s="252"/>
      <c r="AP44" s="253"/>
      <c r="AQ44" s="248"/>
      <c r="AR44" s="248"/>
      <c r="AS44" s="249"/>
      <c r="AT44" s="248"/>
      <c r="AU44" s="252"/>
      <c r="AV44" s="252"/>
      <c r="AW44" s="252"/>
      <c r="AX44" s="253"/>
      <c r="AY44" s="252"/>
      <c r="AZ44" s="252"/>
      <c r="BA44" s="252"/>
      <c r="BB44" s="253"/>
      <c r="BC44" s="252"/>
      <c r="BD44" s="252"/>
      <c r="BE44" s="252"/>
      <c r="BF44" s="253"/>
      <c r="BG44" s="252"/>
      <c r="BH44" s="252"/>
      <c r="BI44" s="252"/>
      <c r="BJ44" s="253"/>
      <c r="BK44" s="252"/>
      <c r="BL44" s="252"/>
      <c r="BM44" s="252"/>
      <c r="BN44" s="253"/>
      <c r="BO44" s="252"/>
      <c r="BP44" s="252"/>
      <c r="BQ44" s="252"/>
      <c r="BR44" s="253"/>
      <c r="BS44" s="252"/>
      <c r="BT44" s="252"/>
      <c r="BU44" s="252"/>
      <c r="BV44" s="253"/>
      <c r="BW44" s="252"/>
      <c r="BX44" s="252"/>
      <c r="BY44" s="252"/>
      <c r="BZ44" s="253"/>
      <c r="CA44" s="252"/>
      <c r="CB44" s="252"/>
      <c r="CC44" s="252"/>
      <c r="CD44" s="253"/>
      <c r="CE44" s="3"/>
      <c r="CF44" s="3"/>
      <c r="CG44" s="3"/>
      <c r="CH44" s="3"/>
      <c r="CI44" s="3"/>
      <c r="CJ44" s="3"/>
      <c r="CK44" s="3"/>
      <c r="CL44" s="3"/>
      <c r="CM44" s="3"/>
      <c r="CN44" s="3"/>
      <c r="CO44" s="3"/>
      <c r="CP44" s="3"/>
      <c r="CQ44" s="3"/>
      <c r="CR44" s="3"/>
      <c r="CS44" s="3"/>
      <c r="CT44" s="3"/>
    </row>
    <row r="45" spans="2:98" x14ac:dyDescent="0.2">
      <c r="B45" s="138"/>
      <c r="C45" s="249"/>
      <c r="D45" s="250"/>
      <c r="E45" s="249"/>
      <c r="F45" s="251"/>
      <c r="G45" s="249"/>
      <c r="H45" s="249"/>
      <c r="I45" s="249"/>
      <c r="J45" s="251"/>
      <c r="K45" s="249"/>
      <c r="L45" s="249"/>
      <c r="M45" s="249"/>
      <c r="N45" s="251"/>
      <c r="O45" s="249"/>
      <c r="P45" s="250"/>
      <c r="Q45" s="249"/>
      <c r="R45" s="251"/>
      <c r="S45" s="248"/>
      <c r="T45" s="248"/>
      <c r="U45" s="249"/>
      <c r="V45" s="251"/>
      <c r="W45" s="249"/>
      <c r="X45" s="249"/>
      <c r="Y45" s="249"/>
      <c r="Z45" s="251"/>
      <c r="AA45" s="248"/>
      <c r="AB45" s="248"/>
      <c r="AC45" s="249"/>
      <c r="AD45" s="251"/>
      <c r="AE45" s="248"/>
      <c r="AF45" s="248"/>
      <c r="AG45" s="249"/>
      <c r="AH45" s="251"/>
      <c r="AI45" s="248"/>
      <c r="AJ45" s="248"/>
      <c r="AK45" s="249"/>
      <c r="AL45" s="249"/>
      <c r="AM45" s="252"/>
      <c r="AN45" s="252"/>
      <c r="AO45" s="252"/>
      <c r="AP45" s="253"/>
      <c r="AQ45" s="248"/>
      <c r="AR45" s="248"/>
      <c r="AS45" s="249"/>
      <c r="AT45" s="248"/>
      <c r="AU45" s="252"/>
      <c r="AV45" s="252"/>
      <c r="AW45" s="252"/>
      <c r="AX45" s="253"/>
      <c r="AY45" s="252"/>
      <c r="AZ45" s="252"/>
      <c r="BA45" s="252"/>
      <c r="BB45" s="253"/>
      <c r="BC45" s="252"/>
      <c r="BD45" s="252"/>
      <c r="BE45" s="252"/>
      <c r="BF45" s="253"/>
      <c r="BG45" s="252"/>
      <c r="BH45" s="252"/>
      <c r="BI45" s="252"/>
      <c r="BJ45" s="253"/>
      <c r="BK45" s="252"/>
      <c r="BL45" s="252"/>
      <c r="BM45" s="252"/>
      <c r="BN45" s="253"/>
      <c r="BO45" s="252"/>
      <c r="BP45" s="252"/>
      <c r="BQ45" s="252"/>
      <c r="BR45" s="253"/>
      <c r="BS45" s="252"/>
      <c r="BT45" s="252"/>
      <c r="BU45" s="252"/>
      <c r="BV45" s="253"/>
      <c r="BW45" s="252"/>
      <c r="BX45" s="252"/>
      <c r="BY45" s="252"/>
      <c r="BZ45" s="253"/>
      <c r="CA45" s="252"/>
      <c r="CB45" s="252"/>
      <c r="CC45" s="252"/>
      <c r="CD45" s="253"/>
      <c r="CE45" s="3"/>
      <c r="CF45" s="3"/>
      <c r="CG45" s="3"/>
      <c r="CH45" s="3"/>
      <c r="CI45" s="3"/>
      <c r="CJ45" s="3"/>
      <c r="CK45" s="3"/>
      <c r="CL45" s="3"/>
      <c r="CM45" s="3"/>
      <c r="CN45" s="3"/>
      <c r="CO45" s="3"/>
      <c r="CP45" s="3"/>
      <c r="CQ45" s="3"/>
      <c r="CR45" s="3"/>
      <c r="CS45" s="3"/>
      <c r="CT45" s="3"/>
    </row>
    <row r="46" spans="2:98" x14ac:dyDescent="0.2">
      <c r="B46" s="138"/>
      <c r="C46" s="249"/>
      <c r="D46" s="250"/>
      <c r="E46" s="249"/>
      <c r="F46" s="251"/>
      <c r="G46" s="249"/>
      <c r="H46" s="249"/>
      <c r="I46" s="249"/>
      <c r="J46" s="251"/>
      <c r="K46" s="249"/>
      <c r="L46" s="249"/>
      <c r="M46" s="249"/>
      <c r="N46" s="251"/>
      <c r="O46" s="249"/>
      <c r="P46" s="250"/>
      <c r="Q46" s="249"/>
      <c r="R46" s="251"/>
      <c r="S46" s="248"/>
      <c r="T46" s="248"/>
      <c r="U46" s="249"/>
      <c r="V46" s="251"/>
      <c r="W46" s="249"/>
      <c r="X46" s="249"/>
      <c r="Y46" s="249"/>
      <c r="Z46" s="251"/>
      <c r="AA46" s="248"/>
      <c r="AB46" s="248"/>
      <c r="AC46" s="249"/>
      <c r="AD46" s="251"/>
      <c r="AE46" s="248"/>
      <c r="AF46" s="248"/>
      <c r="AG46" s="249"/>
      <c r="AH46" s="251"/>
      <c r="AI46" s="248"/>
      <c r="AJ46" s="248"/>
      <c r="AK46" s="249"/>
      <c r="AL46" s="249"/>
      <c r="AM46" s="252"/>
      <c r="AN46" s="252"/>
      <c r="AO46" s="252"/>
      <c r="AP46" s="253"/>
      <c r="AQ46" s="248"/>
      <c r="AR46" s="248"/>
      <c r="AS46" s="249"/>
      <c r="AT46" s="248"/>
      <c r="AU46" s="252"/>
      <c r="AV46" s="252"/>
      <c r="AW46" s="252"/>
      <c r="AX46" s="253"/>
      <c r="AY46" s="252"/>
      <c r="AZ46" s="252"/>
      <c r="BA46" s="252"/>
      <c r="BB46" s="253"/>
      <c r="BC46" s="252"/>
      <c r="BD46" s="252"/>
      <c r="BE46" s="252"/>
      <c r="BF46" s="253"/>
      <c r="BG46" s="252"/>
      <c r="BH46" s="252"/>
      <c r="BI46" s="252"/>
      <c r="BJ46" s="253"/>
      <c r="BK46" s="252"/>
      <c r="BL46" s="252"/>
      <c r="BM46" s="252"/>
      <c r="BN46" s="253"/>
      <c r="BO46" s="252"/>
      <c r="BP46" s="252"/>
      <c r="BQ46" s="252"/>
      <c r="BR46" s="253"/>
      <c r="BS46" s="252"/>
      <c r="BT46" s="252"/>
      <c r="BU46" s="252"/>
      <c r="BV46" s="253"/>
      <c r="BW46" s="252"/>
      <c r="BX46" s="252"/>
      <c r="BY46" s="252"/>
      <c r="BZ46" s="253"/>
      <c r="CA46" s="252"/>
      <c r="CB46" s="252"/>
      <c r="CC46" s="252"/>
      <c r="CD46" s="253"/>
      <c r="CE46" s="3"/>
      <c r="CF46" s="3"/>
      <c r="CG46" s="3"/>
      <c r="CH46" s="3"/>
      <c r="CI46" s="3"/>
      <c r="CJ46" s="3"/>
      <c r="CK46" s="3"/>
      <c r="CL46" s="3"/>
      <c r="CM46" s="3"/>
      <c r="CN46" s="3"/>
      <c r="CO46" s="3"/>
      <c r="CP46" s="3"/>
      <c r="CQ46" s="3"/>
      <c r="CR46" s="3"/>
      <c r="CS46" s="3"/>
      <c r="CT46" s="3"/>
    </row>
    <row r="47" spans="2:98" x14ac:dyDescent="0.2">
      <c r="B47" s="138"/>
      <c r="C47" s="249"/>
      <c r="D47" s="250"/>
      <c r="E47" s="249"/>
      <c r="F47" s="251"/>
      <c r="G47" s="249"/>
      <c r="H47" s="249"/>
      <c r="I47" s="249"/>
      <c r="J47" s="251"/>
      <c r="K47" s="249"/>
      <c r="L47" s="249"/>
      <c r="M47" s="249"/>
      <c r="N47" s="251"/>
      <c r="O47" s="249"/>
      <c r="P47" s="250"/>
      <c r="Q47" s="249"/>
      <c r="R47" s="251"/>
      <c r="S47" s="248"/>
      <c r="T47" s="248"/>
      <c r="U47" s="249"/>
      <c r="V47" s="251"/>
      <c r="W47" s="249"/>
      <c r="X47" s="249"/>
      <c r="Y47" s="249"/>
      <c r="Z47" s="251"/>
      <c r="AA47" s="248"/>
      <c r="AB47" s="248"/>
      <c r="AC47" s="249"/>
      <c r="AD47" s="251"/>
      <c r="AE47" s="248"/>
      <c r="AF47" s="248"/>
      <c r="AG47" s="249"/>
      <c r="AH47" s="251"/>
      <c r="AI47" s="248"/>
      <c r="AJ47" s="248"/>
      <c r="AK47" s="249"/>
      <c r="AL47" s="249"/>
      <c r="AM47" s="252"/>
      <c r="AN47" s="252"/>
      <c r="AO47" s="252"/>
      <c r="AP47" s="253"/>
      <c r="AQ47" s="248"/>
      <c r="AR47" s="248"/>
      <c r="AS47" s="249"/>
      <c r="AT47" s="248"/>
      <c r="AU47" s="252"/>
      <c r="AV47" s="252"/>
      <c r="AW47" s="252"/>
      <c r="AX47" s="253"/>
      <c r="AY47" s="252"/>
      <c r="AZ47" s="252"/>
      <c r="BA47" s="252"/>
      <c r="BB47" s="253"/>
      <c r="BC47" s="252"/>
      <c r="BD47" s="252"/>
      <c r="BE47" s="252"/>
      <c r="BF47" s="253"/>
      <c r="BG47" s="252"/>
      <c r="BH47" s="252"/>
      <c r="BI47" s="252"/>
      <c r="BJ47" s="253"/>
      <c r="BK47" s="252"/>
      <c r="BL47" s="252"/>
      <c r="BM47" s="252"/>
      <c r="BN47" s="253"/>
      <c r="BO47" s="252"/>
      <c r="BP47" s="252"/>
      <c r="BQ47" s="252"/>
      <c r="BR47" s="253"/>
      <c r="BS47" s="252"/>
      <c r="BT47" s="252"/>
      <c r="BU47" s="252"/>
      <c r="BV47" s="253"/>
      <c r="BW47" s="252"/>
      <c r="BX47" s="252"/>
      <c r="BY47" s="252"/>
      <c r="BZ47" s="253"/>
      <c r="CA47" s="252"/>
      <c r="CB47" s="252"/>
      <c r="CC47" s="252"/>
      <c r="CD47" s="253"/>
      <c r="CE47" s="3"/>
      <c r="CF47" s="3"/>
      <c r="CG47" s="3"/>
      <c r="CH47" s="3"/>
      <c r="CI47" s="3"/>
      <c r="CJ47" s="3"/>
      <c r="CK47" s="3"/>
      <c r="CL47" s="3"/>
      <c r="CM47" s="3"/>
      <c r="CN47" s="3"/>
      <c r="CO47" s="3"/>
      <c r="CP47" s="3"/>
      <c r="CQ47" s="3"/>
      <c r="CR47" s="3"/>
      <c r="CS47" s="3"/>
      <c r="CT47" s="3"/>
    </row>
    <row r="48" spans="2:98" x14ac:dyDescent="0.2">
      <c r="B48" s="138"/>
      <c r="C48" s="249"/>
      <c r="D48" s="250"/>
      <c r="E48" s="249"/>
      <c r="F48" s="251"/>
      <c r="G48" s="249"/>
      <c r="H48" s="249"/>
      <c r="I48" s="249"/>
      <c r="J48" s="251"/>
      <c r="K48" s="249"/>
      <c r="L48" s="249"/>
      <c r="M48" s="249"/>
      <c r="N48" s="251"/>
      <c r="O48" s="249"/>
      <c r="P48" s="250"/>
      <c r="Q48" s="249"/>
      <c r="R48" s="251"/>
      <c r="S48" s="248"/>
      <c r="T48" s="248"/>
      <c r="U48" s="249"/>
      <c r="V48" s="251"/>
      <c r="W48" s="249"/>
      <c r="X48" s="249"/>
      <c r="Y48" s="249"/>
      <c r="Z48" s="251"/>
      <c r="AA48" s="248"/>
      <c r="AB48" s="248"/>
      <c r="AC48" s="249"/>
      <c r="AD48" s="251"/>
      <c r="AE48" s="248"/>
      <c r="AF48" s="248"/>
      <c r="AG48" s="249"/>
      <c r="AH48" s="251"/>
      <c r="AI48" s="248"/>
      <c r="AJ48" s="248"/>
      <c r="AK48" s="249"/>
      <c r="AL48" s="249"/>
      <c r="AM48" s="252"/>
      <c r="AN48" s="252"/>
      <c r="AO48" s="252"/>
      <c r="AP48" s="253"/>
      <c r="AQ48" s="248"/>
      <c r="AR48" s="248"/>
      <c r="AS48" s="249"/>
      <c r="AT48" s="248"/>
      <c r="AU48" s="252"/>
      <c r="AV48" s="252"/>
      <c r="AW48" s="252"/>
      <c r="AX48" s="253"/>
      <c r="AY48" s="252"/>
      <c r="AZ48" s="252"/>
      <c r="BA48" s="252"/>
      <c r="BB48" s="253"/>
      <c r="BC48" s="252"/>
      <c r="BD48" s="252"/>
      <c r="BE48" s="252"/>
      <c r="BF48" s="253"/>
      <c r="BG48" s="252"/>
      <c r="BH48" s="252"/>
      <c r="BI48" s="252"/>
      <c r="BJ48" s="253"/>
      <c r="BK48" s="252"/>
      <c r="BL48" s="252"/>
      <c r="BM48" s="252"/>
      <c r="BN48" s="253"/>
      <c r="BO48" s="252"/>
      <c r="BP48" s="252"/>
      <c r="BQ48" s="252"/>
      <c r="BR48" s="253"/>
      <c r="BS48" s="252"/>
      <c r="BT48" s="252"/>
      <c r="BU48" s="252"/>
      <c r="BV48" s="253"/>
      <c r="BW48" s="252"/>
      <c r="BX48" s="252"/>
      <c r="BY48" s="252"/>
      <c r="BZ48" s="253"/>
      <c r="CA48" s="252"/>
      <c r="CB48" s="252"/>
      <c r="CC48" s="252"/>
      <c r="CD48" s="253"/>
      <c r="CE48" s="3"/>
      <c r="CF48" s="3"/>
      <c r="CG48" s="3"/>
      <c r="CH48" s="3"/>
      <c r="CI48" s="3"/>
      <c r="CJ48" s="3"/>
      <c r="CK48" s="3"/>
      <c r="CL48" s="3"/>
      <c r="CM48" s="3"/>
      <c r="CN48" s="3"/>
      <c r="CO48" s="3"/>
      <c r="CP48" s="3"/>
      <c r="CQ48" s="3"/>
      <c r="CR48" s="3"/>
      <c r="CS48" s="3"/>
      <c r="CT48" s="3"/>
    </row>
    <row r="49" spans="2:98" x14ac:dyDescent="0.2">
      <c r="B49" s="138"/>
      <c r="C49" s="249"/>
      <c r="D49" s="250"/>
      <c r="E49" s="249"/>
      <c r="F49" s="251"/>
      <c r="G49" s="249"/>
      <c r="H49" s="249"/>
      <c r="I49" s="249"/>
      <c r="J49" s="251"/>
      <c r="K49" s="249"/>
      <c r="L49" s="249"/>
      <c r="M49" s="249"/>
      <c r="N49" s="251"/>
      <c r="O49" s="249"/>
      <c r="P49" s="250"/>
      <c r="Q49" s="249"/>
      <c r="R49" s="251"/>
      <c r="S49" s="248"/>
      <c r="T49" s="248"/>
      <c r="U49" s="249"/>
      <c r="V49" s="251"/>
      <c r="W49" s="249"/>
      <c r="X49" s="249"/>
      <c r="Y49" s="249"/>
      <c r="Z49" s="251"/>
      <c r="AA49" s="249"/>
      <c r="AB49" s="249"/>
      <c r="AC49" s="249"/>
      <c r="AD49" s="251"/>
      <c r="AE49" s="248"/>
      <c r="AF49" s="248"/>
      <c r="AG49" s="249"/>
      <c r="AH49" s="251"/>
      <c r="AI49" s="248"/>
      <c r="AJ49" s="248"/>
      <c r="AK49" s="249"/>
      <c r="AL49" s="249"/>
      <c r="AM49" s="252"/>
      <c r="AN49" s="252"/>
      <c r="AO49" s="252"/>
      <c r="AP49" s="253"/>
      <c r="AQ49" s="248"/>
      <c r="AR49" s="248"/>
      <c r="AS49" s="249"/>
      <c r="AT49" s="248"/>
      <c r="AU49" s="252"/>
      <c r="AV49" s="252"/>
      <c r="AW49" s="252"/>
      <c r="AX49" s="253"/>
      <c r="AY49" s="252"/>
      <c r="AZ49" s="252"/>
      <c r="BA49" s="252"/>
      <c r="BB49" s="253"/>
      <c r="BC49" s="252"/>
      <c r="BD49" s="252"/>
      <c r="BE49" s="252"/>
      <c r="BF49" s="253"/>
      <c r="BG49" s="252"/>
      <c r="BH49" s="252"/>
      <c r="BI49" s="252"/>
      <c r="BJ49" s="253"/>
      <c r="BK49" s="252"/>
      <c r="BL49" s="252"/>
      <c r="BM49" s="252"/>
      <c r="BN49" s="253"/>
      <c r="BO49" s="252"/>
      <c r="BP49" s="252"/>
      <c r="BQ49" s="252"/>
      <c r="BR49" s="253"/>
      <c r="BS49" s="252"/>
      <c r="BT49" s="252"/>
      <c r="BU49" s="252"/>
      <c r="BV49" s="253"/>
      <c r="BW49" s="252"/>
      <c r="BX49" s="252"/>
      <c r="BY49" s="252"/>
      <c r="BZ49" s="253"/>
      <c r="CA49" s="252"/>
      <c r="CB49" s="252"/>
      <c r="CC49" s="252"/>
      <c r="CD49" s="253"/>
      <c r="CE49" s="3"/>
      <c r="CF49" s="3"/>
      <c r="CG49" s="3"/>
      <c r="CH49" s="3"/>
      <c r="CI49" s="3"/>
      <c r="CJ49" s="3"/>
      <c r="CK49" s="3"/>
      <c r="CL49" s="3"/>
      <c r="CM49" s="3"/>
      <c r="CN49" s="3"/>
      <c r="CO49" s="3"/>
      <c r="CP49" s="3"/>
      <c r="CQ49" s="3"/>
      <c r="CR49" s="3"/>
      <c r="CS49" s="3"/>
      <c r="CT49" s="3"/>
    </row>
    <row r="50" spans="2:98" x14ac:dyDescent="0.2">
      <c r="B50" s="138"/>
      <c r="C50" s="249"/>
      <c r="D50" s="250"/>
      <c r="E50" s="249"/>
      <c r="F50" s="251"/>
      <c r="G50" s="249"/>
      <c r="H50" s="249"/>
      <c r="I50" s="249"/>
      <c r="J50" s="251"/>
      <c r="K50" s="249"/>
      <c r="L50" s="249"/>
      <c r="M50" s="249"/>
      <c r="N50" s="251"/>
      <c r="O50" s="249"/>
      <c r="P50" s="250"/>
      <c r="Q50" s="249"/>
      <c r="R50" s="251"/>
      <c r="S50" s="248"/>
      <c r="T50" s="248"/>
      <c r="U50" s="249"/>
      <c r="V50" s="251"/>
      <c r="W50" s="249"/>
      <c r="X50" s="249"/>
      <c r="Y50" s="249"/>
      <c r="Z50" s="251"/>
      <c r="AA50" s="249"/>
      <c r="AB50" s="249"/>
      <c r="AC50" s="249"/>
      <c r="AD50" s="251"/>
      <c r="AE50" s="248"/>
      <c r="AF50" s="248"/>
      <c r="AG50" s="249"/>
      <c r="AH50" s="251"/>
      <c r="AI50" s="248"/>
      <c r="AJ50" s="248"/>
      <c r="AK50" s="249"/>
      <c r="AL50" s="249"/>
      <c r="AM50" s="252"/>
      <c r="AN50" s="252"/>
      <c r="AO50" s="252"/>
      <c r="AP50" s="253"/>
      <c r="AQ50" s="248"/>
      <c r="AR50" s="248"/>
      <c r="AS50" s="249"/>
      <c r="AT50" s="248"/>
      <c r="AU50" s="252"/>
      <c r="AV50" s="252"/>
      <c r="AW50" s="252"/>
      <c r="AX50" s="253"/>
      <c r="AY50" s="252"/>
      <c r="AZ50" s="252"/>
      <c r="BA50" s="252"/>
      <c r="BB50" s="253"/>
      <c r="BC50" s="252"/>
      <c r="BD50" s="252"/>
      <c r="BE50" s="252"/>
      <c r="BF50" s="253"/>
      <c r="BG50" s="252"/>
      <c r="BH50" s="252"/>
      <c r="BI50" s="252"/>
      <c r="BJ50" s="253"/>
      <c r="BK50" s="252"/>
      <c r="BL50" s="252"/>
      <c r="BM50" s="252"/>
      <c r="BN50" s="253"/>
      <c r="BO50" s="252"/>
      <c r="BP50" s="252"/>
      <c r="BQ50" s="252"/>
      <c r="BR50" s="253"/>
      <c r="BS50" s="252"/>
      <c r="BT50" s="252"/>
      <c r="BU50" s="252"/>
      <c r="BV50" s="253"/>
      <c r="BW50" s="252"/>
      <c r="BX50" s="252"/>
      <c r="BY50" s="252"/>
      <c r="BZ50" s="253"/>
      <c r="CA50" s="252"/>
      <c r="CB50" s="252"/>
      <c r="CC50" s="252"/>
      <c r="CD50" s="253"/>
      <c r="CE50" s="3"/>
      <c r="CF50" s="3"/>
      <c r="CG50" s="3"/>
      <c r="CH50" s="3"/>
      <c r="CI50" s="3"/>
      <c r="CJ50" s="3"/>
      <c r="CK50" s="3"/>
      <c r="CL50" s="3"/>
      <c r="CM50" s="3"/>
      <c r="CN50" s="3"/>
      <c r="CO50" s="3"/>
      <c r="CP50" s="3"/>
      <c r="CQ50" s="3"/>
      <c r="CR50" s="3"/>
      <c r="CS50" s="3"/>
      <c r="CT50" s="3"/>
    </row>
    <row r="51" spans="2:98" x14ac:dyDescent="0.2">
      <c r="B51" s="138"/>
      <c r="C51" s="249"/>
      <c r="D51" s="250"/>
      <c r="E51" s="249"/>
      <c r="F51" s="251"/>
      <c r="G51" s="249"/>
      <c r="H51" s="249"/>
      <c r="I51" s="249"/>
      <c r="J51" s="251"/>
      <c r="K51" s="249"/>
      <c r="L51" s="249"/>
      <c r="M51" s="249"/>
      <c r="N51" s="251"/>
      <c r="O51" s="249"/>
      <c r="P51" s="250"/>
      <c r="Q51" s="249"/>
      <c r="R51" s="251"/>
      <c r="S51" s="249"/>
      <c r="T51" s="252"/>
      <c r="U51" s="249"/>
      <c r="V51" s="251"/>
      <c r="W51" s="249"/>
      <c r="X51" s="249"/>
      <c r="Y51" s="249"/>
      <c r="Z51" s="251"/>
      <c r="AA51" s="249"/>
      <c r="AB51" s="249"/>
      <c r="AC51" s="249"/>
      <c r="AD51" s="251"/>
      <c r="AE51" s="248"/>
      <c r="AF51" s="248"/>
      <c r="AG51" s="249"/>
      <c r="AH51" s="251"/>
      <c r="AI51" s="248"/>
      <c r="AJ51" s="248"/>
      <c r="AK51" s="249"/>
      <c r="AL51" s="249"/>
      <c r="AM51" s="252"/>
      <c r="AN51" s="252"/>
      <c r="AO51" s="252"/>
      <c r="AP51" s="253"/>
      <c r="AQ51" s="248"/>
      <c r="AR51" s="248"/>
      <c r="AS51" s="249"/>
      <c r="AT51" s="248"/>
      <c r="AU51" s="252"/>
      <c r="AV51" s="252"/>
      <c r="AW51" s="252"/>
      <c r="AX51" s="253"/>
      <c r="AY51" s="252"/>
      <c r="AZ51" s="252"/>
      <c r="BA51" s="252"/>
      <c r="BB51" s="253"/>
      <c r="BC51" s="252"/>
      <c r="BD51" s="252"/>
      <c r="BE51" s="252"/>
      <c r="BF51" s="253"/>
      <c r="BG51" s="252"/>
      <c r="BH51" s="252"/>
      <c r="BI51" s="252"/>
      <c r="BJ51" s="253"/>
      <c r="BK51" s="252"/>
      <c r="BL51" s="252"/>
      <c r="BM51" s="252"/>
      <c r="BN51" s="253"/>
      <c r="BO51" s="252"/>
      <c r="BP51" s="252"/>
      <c r="BQ51" s="252"/>
      <c r="BR51" s="253"/>
      <c r="BS51" s="252"/>
      <c r="BT51" s="252"/>
      <c r="BU51" s="252"/>
      <c r="BV51" s="253"/>
      <c r="BW51" s="252"/>
      <c r="BX51" s="252"/>
      <c r="BY51" s="252"/>
      <c r="BZ51" s="253"/>
      <c r="CA51" s="252"/>
      <c r="CB51" s="252"/>
      <c r="CC51" s="252"/>
      <c r="CD51" s="253"/>
      <c r="CE51" s="3"/>
      <c r="CF51" s="3"/>
      <c r="CG51" s="3"/>
      <c r="CH51" s="3"/>
      <c r="CI51" s="3"/>
      <c r="CJ51" s="3"/>
      <c r="CK51" s="3"/>
      <c r="CL51" s="3"/>
      <c r="CM51" s="3"/>
      <c r="CN51" s="3"/>
      <c r="CO51" s="3"/>
      <c r="CP51" s="3"/>
      <c r="CQ51" s="3"/>
      <c r="CR51" s="3"/>
      <c r="CS51" s="3"/>
      <c r="CT51" s="3"/>
    </row>
    <row r="52" spans="2:98" x14ac:dyDescent="0.2">
      <c r="B52" s="138"/>
      <c r="C52" s="249"/>
      <c r="D52" s="250"/>
      <c r="E52" s="249"/>
      <c r="F52" s="251"/>
      <c r="G52" s="249"/>
      <c r="H52" s="249"/>
      <c r="I52" s="249"/>
      <c r="J52" s="251"/>
      <c r="K52" s="249"/>
      <c r="L52" s="249"/>
      <c r="M52" s="249"/>
      <c r="N52" s="251"/>
      <c r="O52" s="249"/>
      <c r="P52" s="250"/>
      <c r="Q52" s="249"/>
      <c r="R52" s="251"/>
      <c r="S52" s="249"/>
      <c r="T52" s="252"/>
      <c r="U52" s="249"/>
      <c r="V52" s="251"/>
      <c r="W52" s="249"/>
      <c r="X52" s="249"/>
      <c r="Y52" s="249"/>
      <c r="Z52" s="251"/>
      <c r="AA52" s="249"/>
      <c r="AB52" s="249"/>
      <c r="AC52" s="249"/>
      <c r="AD52" s="251"/>
      <c r="AE52" s="248"/>
      <c r="AF52" s="248"/>
      <c r="AG52" s="249"/>
      <c r="AH52" s="251"/>
      <c r="AI52" s="248"/>
      <c r="AJ52" s="248"/>
      <c r="AK52" s="249"/>
      <c r="AL52" s="249"/>
      <c r="AM52" s="252"/>
      <c r="AN52" s="252"/>
      <c r="AO52" s="252"/>
      <c r="AP52" s="253"/>
      <c r="AQ52" s="248"/>
      <c r="AR52" s="248"/>
      <c r="AS52" s="249"/>
      <c r="AT52" s="248"/>
      <c r="AU52" s="252"/>
      <c r="AV52" s="252"/>
      <c r="AW52" s="252"/>
      <c r="AX52" s="253"/>
      <c r="AY52" s="252"/>
      <c r="AZ52" s="252"/>
      <c r="BA52" s="252"/>
      <c r="BB52" s="253"/>
      <c r="BC52" s="252"/>
      <c r="BD52" s="252"/>
      <c r="BE52" s="252"/>
      <c r="BF52" s="253"/>
      <c r="BG52" s="252"/>
      <c r="BH52" s="252"/>
      <c r="BI52" s="252"/>
      <c r="BJ52" s="253"/>
      <c r="BK52" s="252"/>
      <c r="BL52" s="252"/>
      <c r="BM52" s="252"/>
      <c r="BN52" s="253"/>
      <c r="BO52" s="252"/>
      <c r="BP52" s="252"/>
      <c r="BQ52" s="252"/>
      <c r="BR52" s="253"/>
      <c r="BS52" s="252"/>
      <c r="BT52" s="252"/>
      <c r="BU52" s="252"/>
      <c r="BV52" s="253"/>
      <c r="BW52" s="252"/>
      <c r="BX52" s="252"/>
      <c r="BY52" s="252"/>
      <c r="BZ52" s="253"/>
      <c r="CA52" s="252"/>
      <c r="CB52" s="252"/>
      <c r="CC52" s="252"/>
      <c r="CD52" s="253"/>
      <c r="CE52" s="3"/>
      <c r="CF52" s="3"/>
      <c r="CG52" s="3"/>
      <c r="CH52" s="3"/>
      <c r="CI52" s="3"/>
      <c r="CJ52" s="3"/>
      <c r="CK52" s="3"/>
      <c r="CL52" s="3"/>
      <c r="CM52" s="3"/>
      <c r="CN52" s="3"/>
      <c r="CO52" s="3"/>
      <c r="CP52" s="3"/>
      <c r="CQ52" s="3"/>
      <c r="CR52" s="3"/>
      <c r="CS52" s="3"/>
      <c r="CT52" s="3"/>
    </row>
    <row r="53" spans="2:98" x14ac:dyDescent="0.2">
      <c r="B53" s="138"/>
      <c r="C53" s="249"/>
      <c r="D53" s="250"/>
      <c r="E53" s="249"/>
      <c r="F53" s="251"/>
      <c r="G53" s="249"/>
      <c r="H53" s="249"/>
      <c r="I53" s="249"/>
      <c r="J53" s="251"/>
      <c r="K53" s="249"/>
      <c r="L53" s="249"/>
      <c r="M53" s="249"/>
      <c r="N53" s="251"/>
      <c r="O53" s="249"/>
      <c r="P53" s="250"/>
      <c r="Q53" s="249"/>
      <c r="R53" s="251"/>
      <c r="S53" s="249"/>
      <c r="T53" s="252"/>
      <c r="U53" s="249"/>
      <c r="V53" s="251"/>
      <c r="W53" s="249"/>
      <c r="X53" s="249"/>
      <c r="Y53" s="249"/>
      <c r="Z53" s="251"/>
      <c r="AA53" s="249"/>
      <c r="AB53" s="249"/>
      <c r="AC53" s="249"/>
      <c r="AD53" s="251"/>
      <c r="AE53" s="248"/>
      <c r="AF53" s="248"/>
      <c r="AG53" s="249"/>
      <c r="AH53" s="251"/>
      <c r="AI53" s="248"/>
      <c r="AJ53" s="248"/>
      <c r="AK53" s="249"/>
      <c r="AL53" s="249"/>
      <c r="AM53" s="252"/>
      <c r="AN53" s="252"/>
      <c r="AO53" s="252"/>
      <c r="AP53" s="253"/>
      <c r="AQ53" s="248"/>
      <c r="AR53" s="248"/>
      <c r="AS53" s="249"/>
      <c r="AT53" s="248"/>
      <c r="AU53" s="252"/>
      <c r="AV53" s="252"/>
      <c r="AW53" s="252"/>
      <c r="AX53" s="253"/>
      <c r="AY53" s="252"/>
      <c r="AZ53" s="252"/>
      <c r="BA53" s="252"/>
      <c r="BB53" s="253"/>
      <c r="BC53" s="252"/>
      <c r="BD53" s="252"/>
      <c r="BE53" s="252"/>
      <c r="BF53" s="253"/>
      <c r="BG53" s="252"/>
      <c r="BH53" s="252"/>
      <c r="BI53" s="252"/>
      <c r="BJ53" s="253"/>
      <c r="BK53" s="252"/>
      <c r="BL53" s="252"/>
      <c r="BM53" s="252"/>
      <c r="BN53" s="253"/>
      <c r="BO53" s="252"/>
      <c r="BP53" s="252"/>
      <c r="BQ53" s="252"/>
      <c r="BR53" s="253"/>
      <c r="BS53" s="252"/>
      <c r="BT53" s="252"/>
      <c r="BU53" s="252"/>
      <c r="BV53" s="253"/>
      <c r="BW53" s="252"/>
      <c r="BX53" s="252"/>
      <c r="BY53" s="252"/>
      <c r="BZ53" s="253"/>
      <c r="CA53" s="252"/>
      <c r="CB53" s="252"/>
      <c r="CC53" s="252"/>
      <c r="CD53" s="253"/>
      <c r="CE53" s="3"/>
      <c r="CF53" s="3"/>
      <c r="CG53" s="3"/>
      <c r="CH53" s="3"/>
      <c r="CI53" s="3"/>
      <c r="CJ53" s="3"/>
      <c r="CK53" s="3"/>
      <c r="CL53" s="3"/>
      <c r="CM53" s="3"/>
      <c r="CN53" s="3"/>
      <c r="CO53" s="3"/>
      <c r="CP53" s="3"/>
      <c r="CQ53" s="3"/>
      <c r="CR53" s="3"/>
      <c r="CS53" s="3"/>
      <c r="CT53" s="3"/>
    </row>
    <row r="54" spans="2:98" x14ac:dyDescent="0.2">
      <c r="B54" s="138"/>
      <c r="C54" s="249"/>
      <c r="D54" s="250"/>
      <c r="E54" s="249"/>
      <c r="F54" s="251"/>
      <c r="G54" s="249"/>
      <c r="H54" s="249"/>
      <c r="I54" s="249"/>
      <c r="J54" s="251"/>
      <c r="K54" s="249"/>
      <c r="L54" s="249"/>
      <c r="M54" s="249"/>
      <c r="N54" s="251"/>
      <c r="O54" s="249"/>
      <c r="P54" s="250"/>
      <c r="Q54" s="249"/>
      <c r="R54" s="251"/>
      <c r="S54" s="249"/>
      <c r="T54" s="252"/>
      <c r="U54" s="249"/>
      <c r="V54" s="251"/>
      <c r="W54" s="249"/>
      <c r="X54" s="249"/>
      <c r="Y54" s="249"/>
      <c r="Z54" s="251"/>
      <c r="AA54" s="249"/>
      <c r="AB54" s="249"/>
      <c r="AC54" s="249"/>
      <c r="AD54" s="251"/>
      <c r="AE54" s="248"/>
      <c r="AF54" s="248"/>
      <c r="AG54" s="249"/>
      <c r="AH54" s="251"/>
      <c r="AI54" s="248"/>
      <c r="AJ54" s="248"/>
      <c r="AK54" s="249"/>
      <c r="AL54" s="249"/>
      <c r="AM54" s="252"/>
      <c r="AN54" s="252"/>
      <c r="AO54" s="252"/>
      <c r="AP54" s="253"/>
      <c r="AQ54" s="248"/>
      <c r="AR54" s="248"/>
      <c r="AS54" s="249"/>
      <c r="AT54" s="248"/>
      <c r="AU54" s="252"/>
      <c r="AV54" s="252"/>
      <c r="AW54" s="252"/>
      <c r="AX54" s="253"/>
      <c r="AY54" s="252"/>
      <c r="AZ54" s="252"/>
      <c r="BA54" s="252"/>
      <c r="BB54" s="253"/>
      <c r="BC54" s="252"/>
      <c r="BD54" s="252"/>
      <c r="BE54" s="252"/>
      <c r="BF54" s="253"/>
      <c r="BG54" s="252"/>
      <c r="BH54" s="252"/>
      <c r="BI54" s="252"/>
      <c r="BJ54" s="253"/>
      <c r="BK54" s="252"/>
      <c r="BL54" s="252"/>
      <c r="BM54" s="252"/>
      <c r="BN54" s="253"/>
      <c r="BO54" s="252"/>
      <c r="BP54" s="252"/>
      <c r="BQ54" s="252"/>
      <c r="BR54" s="253"/>
      <c r="BS54" s="252"/>
      <c r="BT54" s="252"/>
      <c r="BU54" s="252"/>
      <c r="BV54" s="253"/>
      <c r="BW54" s="252"/>
      <c r="BX54" s="252"/>
      <c r="BY54" s="252"/>
      <c r="BZ54" s="253"/>
      <c r="CA54" s="252"/>
      <c r="CB54" s="252"/>
      <c r="CC54" s="252"/>
      <c r="CD54" s="253"/>
      <c r="CE54" s="3"/>
      <c r="CF54" s="3"/>
      <c r="CG54" s="3"/>
      <c r="CH54" s="3"/>
      <c r="CI54" s="3"/>
      <c r="CJ54" s="3"/>
      <c r="CK54" s="3"/>
      <c r="CL54" s="3"/>
      <c r="CM54" s="3"/>
      <c r="CN54" s="3"/>
      <c r="CO54" s="3"/>
      <c r="CP54" s="3"/>
      <c r="CQ54" s="3"/>
      <c r="CR54" s="3"/>
      <c r="CS54" s="3"/>
      <c r="CT54" s="3"/>
    </row>
    <row r="55" spans="2:98" x14ac:dyDescent="0.2">
      <c r="B55" s="138"/>
      <c r="C55" s="249"/>
      <c r="D55" s="250"/>
      <c r="E55" s="249"/>
      <c r="F55" s="251"/>
      <c r="G55" s="249"/>
      <c r="H55" s="249"/>
      <c r="I55" s="249"/>
      <c r="J55" s="251"/>
      <c r="K55" s="249"/>
      <c r="L55" s="249"/>
      <c r="M55" s="249"/>
      <c r="N55" s="251"/>
      <c r="O55" s="249"/>
      <c r="P55" s="250"/>
      <c r="Q55" s="249"/>
      <c r="R55" s="251"/>
      <c r="S55" s="249"/>
      <c r="T55" s="252"/>
      <c r="U55" s="249"/>
      <c r="V55" s="251"/>
      <c r="W55" s="249"/>
      <c r="X55" s="249"/>
      <c r="Y55" s="249"/>
      <c r="Z55" s="251"/>
      <c r="AA55" s="249"/>
      <c r="AB55" s="249"/>
      <c r="AC55" s="249"/>
      <c r="AD55" s="251"/>
      <c r="AE55" s="252"/>
      <c r="AF55" s="252"/>
      <c r="AG55" s="249"/>
      <c r="AH55" s="251"/>
      <c r="AI55" s="248"/>
      <c r="AJ55" s="248"/>
      <c r="AK55" s="249"/>
      <c r="AL55" s="249"/>
      <c r="AM55" s="252"/>
      <c r="AN55" s="252"/>
      <c r="AO55" s="252"/>
      <c r="AP55" s="253"/>
      <c r="AQ55" s="248"/>
      <c r="AR55" s="248"/>
      <c r="AS55" s="249"/>
      <c r="AT55" s="248"/>
      <c r="AU55" s="252"/>
      <c r="AV55" s="252"/>
      <c r="AW55" s="252"/>
      <c r="AX55" s="253"/>
      <c r="AY55" s="252"/>
      <c r="AZ55" s="252"/>
      <c r="BA55" s="252"/>
      <c r="BB55" s="253"/>
      <c r="BC55" s="252"/>
      <c r="BD55" s="252"/>
      <c r="BE55" s="252"/>
      <c r="BF55" s="253"/>
      <c r="BG55" s="252"/>
      <c r="BH55" s="252"/>
      <c r="BI55" s="252"/>
      <c r="BJ55" s="253"/>
      <c r="BK55" s="252"/>
      <c r="BL55" s="252"/>
      <c r="BM55" s="252"/>
      <c r="BN55" s="253"/>
      <c r="BO55" s="252"/>
      <c r="BP55" s="252"/>
      <c r="BQ55" s="252"/>
      <c r="BR55" s="253"/>
      <c r="BS55" s="252"/>
      <c r="BT55" s="252"/>
      <c r="BU55" s="252"/>
      <c r="BV55" s="253"/>
      <c r="BW55" s="252"/>
      <c r="BX55" s="252"/>
      <c r="BY55" s="252"/>
      <c r="BZ55" s="253"/>
      <c r="CA55" s="252"/>
      <c r="CB55" s="252"/>
      <c r="CC55" s="252"/>
      <c r="CD55" s="253"/>
      <c r="CE55" s="3"/>
      <c r="CF55" s="3"/>
      <c r="CG55" s="3"/>
      <c r="CH55" s="3"/>
      <c r="CI55" s="3"/>
      <c r="CJ55" s="3"/>
      <c r="CK55" s="3"/>
      <c r="CL55" s="3"/>
      <c r="CM55" s="3"/>
      <c r="CN55" s="3"/>
      <c r="CO55" s="3"/>
      <c r="CP55" s="3"/>
      <c r="CQ55" s="3"/>
      <c r="CR55" s="3"/>
      <c r="CS55" s="3"/>
      <c r="CT55" s="3"/>
    </row>
    <row r="56" spans="2:98" x14ac:dyDescent="0.2">
      <c r="B56" s="138"/>
      <c r="C56" s="248"/>
      <c r="D56" s="248"/>
      <c r="E56" s="249"/>
      <c r="F56" s="251"/>
      <c r="G56" s="249"/>
      <c r="H56" s="249"/>
      <c r="I56" s="249"/>
      <c r="J56" s="251"/>
      <c r="K56" s="249"/>
      <c r="L56" s="250"/>
      <c r="M56" s="249"/>
      <c r="N56" s="251"/>
      <c r="O56" s="249"/>
      <c r="P56" s="249"/>
      <c r="Q56" s="249"/>
      <c r="R56" s="251"/>
      <c r="S56" s="249"/>
      <c r="T56" s="252"/>
      <c r="U56" s="249"/>
      <c r="V56" s="251"/>
      <c r="W56" s="249"/>
      <c r="X56" s="249"/>
      <c r="Y56" s="249"/>
      <c r="Z56" s="251"/>
      <c r="AA56" s="249"/>
      <c r="AB56" s="249"/>
      <c r="AC56" s="249"/>
      <c r="AD56" s="251"/>
      <c r="AE56" s="252"/>
      <c r="AF56" s="252"/>
      <c r="AG56" s="249"/>
      <c r="AH56" s="251"/>
      <c r="AI56" s="248"/>
      <c r="AJ56" s="248"/>
      <c r="AK56" s="249"/>
      <c r="AL56" s="249"/>
      <c r="AM56" s="252"/>
      <c r="AN56" s="252"/>
      <c r="AO56" s="252"/>
      <c r="AP56" s="253"/>
      <c r="AQ56" s="248"/>
      <c r="AR56" s="248"/>
      <c r="AS56" s="249"/>
      <c r="AT56" s="248"/>
      <c r="AU56" s="252"/>
      <c r="AV56" s="252"/>
      <c r="AW56" s="252"/>
      <c r="AX56" s="253"/>
      <c r="AY56" s="252"/>
      <c r="AZ56" s="252"/>
      <c r="BA56" s="252"/>
      <c r="BB56" s="253"/>
      <c r="BC56" s="252"/>
      <c r="BD56" s="252"/>
      <c r="BE56" s="252"/>
      <c r="BF56" s="253"/>
      <c r="BG56" s="252"/>
      <c r="BH56" s="252"/>
      <c r="BI56" s="252"/>
      <c r="BJ56" s="253"/>
      <c r="BK56" s="252"/>
      <c r="BL56" s="252"/>
      <c r="BM56" s="252"/>
      <c r="BN56" s="253"/>
      <c r="BO56" s="252"/>
      <c r="BP56" s="252"/>
      <c r="BQ56" s="252"/>
      <c r="BR56" s="253"/>
      <c r="BS56" s="252"/>
      <c r="BT56" s="252"/>
      <c r="BU56" s="252"/>
      <c r="BV56" s="253"/>
      <c r="BW56" s="252"/>
      <c r="BX56" s="252"/>
      <c r="BY56" s="252"/>
      <c r="BZ56" s="253"/>
      <c r="CA56" s="252"/>
      <c r="CB56" s="252"/>
      <c r="CC56" s="252"/>
      <c r="CD56" s="253"/>
      <c r="CE56" s="3"/>
      <c r="CF56" s="3"/>
      <c r="CG56" s="3"/>
      <c r="CH56" s="3"/>
      <c r="CI56" s="3"/>
      <c r="CJ56" s="3"/>
      <c r="CK56" s="3"/>
      <c r="CL56" s="3"/>
      <c r="CM56" s="3"/>
      <c r="CN56" s="3"/>
      <c r="CO56" s="3"/>
      <c r="CP56" s="3"/>
      <c r="CQ56" s="3"/>
      <c r="CR56" s="3"/>
      <c r="CS56" s="3"/>
      <c r="CT56" s="3"/>
    </row>
    <row r="57" spans="2:98" x14ac:dyDescent="0.2">
      <c r="B57" s="138"/>
      <c r="C57" s="248"/>
      <c r="D57" s="248"/>
      <c r="E57" s="249"/>
      <c r="F57" s="251"/>
      <c r="G57" s="249"/>
      <c r="H57" s="249"/>
      <c r="I57" s="249"/>
      <c r="J57" s="251"/>
      <c r="K57" s="249"/>
      <c r="L57" s="250"/>
      <c r="M57" s="249"/>
      <c r="N57" s="251"/>
      <c r="O57" s="249"/>
      <c r="P57" s="249"/>
      <c r="Q57" s="249"/>
      <c r="R57" s="251"/>
      <c r="S57" s="249"/>
      <c r="T57" s="252"/>
      <c r="U57" s="249"/>
      <c r="V57" s="251"/>
      <c r="W57" s="249"/>
      <c r="X57" s="249"/>
      <c r="Y57" s="249"/>
      <c r="Z57" s="251"/>
      <c r="AA57" s="249"/>
      <c r="AB57" s="249"/>
      <c r="AC57" s="249"/>
      <c r="AD57" s="251"/>
      <c r="AE57" s="252"/>
      <c r="AF57" s="252"/>
      <c r="AG57" s="249"/>
      <c r="AH57" s="251"/>
      <c r="AI57" s="248"/>
      <c r="AJ57" s="248"/>
      <c r="AK57" s="249"/>
      <c r="AL57" s="249"/>
      <c r="AM57" s="252"/>
      <c r="AN57" s="252"/>
      <c r="AO57" s="252"/>
      <c r="AP57" s="253"/>
      <c r="AQ57" s="248"/>
      <c r="AR57" s="248"/>
      <c r="AS57" s="249"/>
      <c r="AT57" s="248"/>
      <c r="AU57" s="252"/>
      <c r="AV57" s="252"/>
      <c r="AW57" s="252"/>
      <c r="AX57" s="253"/>
      <c r="AY57" s="252"/>
      <c r="AZ57" s="252"/>
      <c r="BA57" s="252"/>
      <c r="BB57" s="253"/>
      <c r="BC57" s="252"/>
      <c r="BD57" s="252"/>
      <c r="BE57" s="252"/>
      <c r="BF57" s="253"/>
      <c r="BG57" s="252"/>
      <c r="BH57" s="252"/>
      <c r="BI57" s="252"/>
      <c r="BJ57" s="253"/>
      <c r="BK57" s="252"/>
      <c r="BL57" s="252"/>
      <c r="BM57" s="252"/>
      <c r="BN57" s="253"/>
      <c r="BO57" s="252"/>
      <c r="BP57" s="252"/>
      <c r="BQ57" s="252"/>
      <c r="BR57" s="253"/>
      <c r="BS57" s="252"/>
      <c r="BT57" s="252"/>
      <c r="BU57" s="252"/>
      <c r="BV57" s="253"/>
      <c r="BW57" s="252"/>
      <c r="BX57" s="252"/>
      <c r="BY57" s="252"/>
      <c r="BZ57" s="253"/>
      <c r="CA57" s="252"/>
      <c r="CB57" s="252"/>
      <c r="CC57" s="252"/>
      <c r="CD57" s="253"/>
      <c r="CE57" s="3"/>
      <c r="CF57" s="3"/>
      <c r="CG57" s="3"/>
      <c r="CH57" s="3"/>
      <c r="CI57" s="3"/>
      <c r="CJ57" s="3"/>
      <c r="CK57" s="3"/>
      <c r="CL57" s="3"/>
      <c r="CM57" s="3"/>
      <c r="CN57" s="3"/>
      <c r="CO57" s="3"/>
      <c r="CP57" s="3"/>
      <c r="CQ57" s="3"/>
      <c r="CR57" s="3"/>
      <c r="CS57" s="3"/>
      <c r="CT57" s="3"/>
    </row>
    <row r="58" spans="2:98" x14ac:dyDescent="0.2">
      <c r="B58" s="138"/>
      <c r="C58" s="248"/>
      <c r="D58" s="248"/>
      <c r="E58" s="249"/>
      <c r="F58" s="251"/>
      <c r="G58" s="249"/>
      <c r="H58" s="249"/>
      <c r="I58" s="249"/>
      <c r="J58" s="251"/>
      <c r="K58" s="248"/>
      <c r="L58" s="254"/>
      <c r="M58" s="249"/>
      <c r="N58" s="251"/>
      <c r="O58" s="249"/>
      <c r="P58" s="249"/>
      <c r="Q58" s="249"/>
      <c r="R58" s="251"/>
      <c r="S58" s="249"/>
      <c r="T58" s="252"/>
      <c r="U58" s="249"/>
      <c r="V58" s="251"/>
      <c r="W58" s="249"/>
      <c r="X58" s="249"/>
      <c r="Y58" s="249"/>
      <c r="Z58" s="251"/>
      <c r="AA58" s="249"/>
      <c r="AB58" s="249"/>
      <c r="AC58" s="249"/>
      <c r="AD58" s="251"/>
      <c r="AE58" s="252"/>
      <c r="AF58" s="252"/>
      <c r="AG58" s="249"/>
      <c r="AH58" s="251"/>
      <c r="AI58" s="248"/>
      <c r="AJ58" s="248"/>
      <c r="AK58" s="249"/>
      <c r="AL58" s="249"/>
      <c r="AM58" s="252"/>
      <c r="AN58" s="252"/>
      <c r="AO58" s="252"/>
      <c r="AP58" s="253"/>
      <c r="AQ58" s="248"/>
      <c r="AR58" s="248"/>
      <c r="AS58" s="248"/>
      <c r="AT58" s="248"/>
      <c r="AU58" s="252"/>
      <c r="AV58" s="252"/>
      <c r="AW58" s="252"/>
      <c r="AX58" s="253"/>
      <c r="AY58" s="252"/>
      <c r="AZ58" s="252"/>
      <c r="BA58" s="252"/>
      <c r="BB58" s="253"/>
      <c r="BC58" s="252"/>
      <c r="BD58" s="252"/>
      <c r="BE58" s="252"/>
      <c r="BF58" s="253"/>
      <c r="BG58" s="252"/>
      <c r="BH58" s="252"/>
      <c r="BI58" s="252"/>
      <c r="BJ58" s="253"/>
      <c r="BK58" s="252"/>
      <c r="BL58" s="252"/>
      <c r="BM58" s="252"/>
      <c r="BN58" s="253"/>
      <c r="BO58" s="252"/>
      <c r="BP58" s="252"/>
      <c r="BQ58" s="252"/>
      <c r="BR58" s="253"/>
      <c r="BS58" s="252"/>
      <c r="BT58" s="252"/>
      <c r="BU58" s="252"/>
      <c r="BV58" s="253"/>
      <c r="BW58" s="252"/>
      <c r="BX58" s="252"/>
      <c r="BY58" s="252"/>
      <c r="BZ58" s="253"/>
      <c r="CA58" s="252"/>
      <c r="CB58" s="252"/>
      <c r="CC58" s="252"/>
      <c r="CD58" s="253"/>
      <c r="CE58" s="3"/>
      <c r="CF58" s="3"/>
      <c r="CG58" s="3"/>
      <c r="CH58" s="3"/>
      <c r="CI58" s="3"/>
      <c r="CJ58" s="3"/>
      <c r="CK58" s="3"/>
      <c r="CL58" s="3"/>
      <c r="CM58" s="3"/>
      <c r="CN58" s="3"/>
      <c r="CO58" s="3"/>
      <c r="CP58" s="3"/>
      <c r="CQ58" s="3"/>
      <c r="CR58" s="3"/>
      <c r="CS58" s="3"/>
      <c r="CT58" s="3"/>
    </row>
    <row r="59" spans="2:98" x14ac:dyDescent="0.2">
      <c r="B59" s="138"/>
      <c r="C59" s="248"/>
      <c r="D59" s="248"/>
      <c r="E59" s="249"/>
      <c r="F59" s="251"/>
      <c r="G59" s="249"/>
      <c r="H59" s="249"/>
      <c r="I59" s="249"/>
      <c r="J59" s="251"/>
      <c r="K59" s="248"/>
      <c r="L59" s="254"/>
      <c r="M59" s="249"/>
      <c r="N59" s="251"/>
      <c r="O59" s="249"/>
      <c r="P59" s="249"/>
      <c r="Q59" s="249"/>
      <c r="R59" s="251"/>
      <c r="S59" s="249"/>
      <c r="T59" s="252"/>
      <c r="U59" s="249"/>
      <c r="V59" s="251"/>
      <c r="W59" s="249"/>
      <c r="X59" s="249"/>
      <c r="Y59" s="249"/>
      <c r="Z59" s="251"/>
      <c r="AA59" s="249"/>
      <c r="AB59" s="249"/>
      <c r="AC59" s="249"/>
      <c r="AD59" s="251"/>
      <c r="AE59" s="252"/>
      <c r="AF59" s="252"/>
      <c r="AG59" s="249"/>
      <c r="AH59" s="251"/>
      <c r="AI59" s="248"/>
      <c r="AJ59" s="248"/>
      <c r="AK59" s="249"/>
      <c r="AL59" s="249"/>
      <c r="AM59" s="252"/>
      <c r="AN59" s="252"/>
      <c r="AO59" s="252"/>
      <c r="AP59" s="253"/>
      <c r="AQ59" s="248"/>
      <c r="AR59" s="248"/>
      <c r="AS59" s="248"/>
      <c r="AT59" s="248"/>
      <c r="AU59" s="252"/>
      <c r="AV59" s="252"/>
      <c r="AW59" s="252"/>
      <c r="AX59" s="253"/>
      <c r="AY59" s="252"/>
      <c r="AZ59" s="252"/>
      <c r="BA59" s="252"/>
      <c r="BB59" s="253"/>
      <c r="BC59" s="252"/>
      <c r="BD59" s="252"/>
      <c r="BE59" s="252"/>
      <c r="BF59" s="253"/>
      <c r="BG59" s="252"/>
      <c r="BH59" s="252"/>
      <c r="BI59" s="252"/>
      <c r="BJ59" s="253"/>
      <c r="BK59" s="252"/>
      <c r="BL59" s="252"/>
      <c r="BM59" s="252"/>
      <c r="BN59" s="253"/>
      <c r="BO59" s="252"/>
      <c r="BP59" s="252"/>
      <c r="BQ59" s="252"/>
      <c r="BR59" s="253"/>
      <c r="BS59" s="252"/>
      <c r="BT59" s="252"/>
      <c r="BU59" s="252"/>
      <c r="BV59" s="253"/>
      <c r="BW59" s="252"/>
      <c r="BX59" s="252"/>
      <c r="BY59" s="252"/>
      <c r="BZ59" s="253"/>
      <c r="CA59" s="252"/>
      <c r="CB59" s="252"/>
      <c r="CC59" s="252"/>
      <c r="CD59" s="253"/>
      <c r="CE59" s="3"/>
      <c r="CF59" s="3"/>
      <c r="CG59" s="3"/>
      <c r="CH59" s="3"/>
      <c r="CI59" s="3"/>
      <c r="CJ59" s="3"/>
      <c r="CK59" s="3"/>
      <c r="CL59" s="3"/>
      <c r="CM59" s="3"/>
      <c r="CN59" s="3"/>
      <c r="CO59" s="3"/>
      <c r="CP59" s="3"/>
      <c r="CQ59" s="3"/>
      <c r="CR59" s="3"/>
      <c r="CS59" s="3"/>
      <c r="CT59" s="3"/>
    </row>
    <row r="60" spans="2:98" x14ac:dyDescent="0.2">
      <c r="B60" s="138"/>
      <c r="C60" s="248"/>
      <c r="D60" s="248"/>
      <c r="E60" s="249"/>
      <c r="F60" s="251"/>
      <c r="G60" s="249"/>
      <c r="H60" s="249"/>
      <c r="I60" s="249"/>
      <c r="J60" s="251"/>
      <c r="K60" s="248"/>
      <c r="L60" s="254"/>
      <c r="M60" s="249"/>
      <c r="N60" s="251"/>
      <c r="O60" s="249"/>
      <c r="P60" s="249"/>
      <c r="Q60" s="249"/>
      <c r="R60" s="251"/>
      <c r="S60" s="249"/>
      <c r="T60" s="252"/>
      <c r="U60" s="249"/>
      <c r="V60" s="251"/>
      <c r="W60" s="249"/>
      <c r="X60" s="249"/>
      <c r="Y60" s="249"/>
      <c r="Z60" s="251"/>
      <c r="AA60" s="249"/>
      <c r="AB60" s="249"/>
      <c r="AC60" s="249"/>
      <c r="AD60" s="251"/>
      <c r="AE60" s="252"/>
      <c r="AF60" s="252"/>
      <c r="AG60" s="249"/>
      <c r="AH60" s="251"/>
      <c r="AI60" s="248"/>
      <c r="AJ60" s="248"/>
      <c r="AK60" s="249"/>
      <c r="AL60" s="249"/>
      <c r="AM60" s="252"/>
      <c r="AN60" s="252"/>
      <c r="AO60" s="252"/>
      <c r="AP60" s="253"/>
      <c r="AQ60" s="248"/>
      <c r="AR60" s="248"/>
      <c r="AS60" s="248"/>
      <c r="AT60" s="248"/>
      <c r="AU60" s="252"/>
      <c r="AV60" s="252"/>
      <c r="AW60" s="252"/>
      <c r="AX60" s="253"/>
      <c r="AY60" s="252"/>
      <c r="AZ60" s="252"/>
      <c r="BA60" s="252"/>
      <c r="BB60" s="253"/>
      <c r="BC60" s="252"/>
      <c r="BD60" s="252"/>
      <c r="BE60" s="252"/>
      <c r="BF60" s="253"/>
      <c r="BG60" s="252"/>
      <c r="BH60" s="252"/>
      <c r="BI60" s="252"/>
      <c r="BJ60" s="253"/>
      <c r="BK60" s="252"/>
      <c r="BL60" s="252"/>
      <c r="BM60" s="252"/>
      <c r="BN60" s="253"/>
      <c r="BO60" s="252"/>
      <c r="BP60" s="252"/>
      <c r="BQ60" s="252"/>
      <c r="BR60" s="253"/>
      <c r="BS60" s="252"/>
      <c r="BT60" s="252"/>
      <c r="BU60" s="252"/>
      <c r="BV60" s="253"/>
      <c r="BW60" s="252"/>
      <c r="BX60" s="252"/>
      <c r="BY60" s="252"/>
      <c r="BZ60" s="253"/>
      <c r="CA60" s="252"/>
      <c r="CB60" s="252"/>
      <c r="CC60" s="252"/>
      <c r="CD60" s="253"/>
      <c r="CE60" s="3"/>
      <c r="CF60" s="3"/>
      <c r="CG60" s="3"/>
      <c r="CH60" s="3"/>
      <c r="CI60" s="3"/>
      <c r="CJ60" s="3"/>
      <c r="CK60" s="3"/>
      <c r="CL60" s="3"/>
      <c r="CM60" s="3"/>
      <c r="CN60" s="3"/>
      <c r="CO60" s="3"/>
      <c r="CP60" s="3"/>
      <c r="CQ60" s="3"/>
      <c r="CR60" s="3"/>
      <c r="CS60" s="3"/>
      <c r="CT60" s="3"/>
    </row>
    <row r="61" spans="2:98" x14ac:dyDescent="0.2">
      <c r="B61" s="138"/>
      <c r="C61" s="248"/>
      <c r="D61" s="248"/>
      <c r="E61" s="249"/>
      <c r="F61" s="251"/>
      <c r="G61" s="249"/>
      <c r="H61" s="249"/>
      <c r="I61" s="249"/>
      <c r="J61" s="251"/>
      <c r="K61" s="248"/>
      <c r="L61" s="254"/>
      <c r="M61" s="249"/>
      <c r="N61" s="251"/>
      <c r="O61" s="252"/>
      <c r="P61" s="252"/>
      <c r="Q61" s="249"/>
      <c r="R61" s="251"/>
      <c r="S61" s="249"/>
      <c r="T61" s="252"/>
      <c r="U61" s="249"/>
      <c r="V61" s="251"/>
      <c r="W61" s="249"/>
      <c r="X61" s="249"/>
      <c r="Y61" s="249"/>
      <c r="Z61" s="251"/>
      <c r="AA61" s="252"/>
      <c r="AB61" s="249"/>
      <c r="AC61" s="249"/>
      <c r="AD61" s="251"/>
      <c r="AE61" s="252"/>
      <c r="AF61" s="252"/>
      <c r="AG61" s="249"/>
      <c r="AH61" s="251"/>
      <c r="AI61" s="248"/>
      <c r="AJ61" s="248"/>
      <c r="AK61" s="249"/>
      <c r="AL61" s="249"/>
      <c r="AM61" s="252"/>
      <c r="AN61" s="252"/>
      <c r="AO61" s="252"/>
      <c r="AP61" s="253"/>
      <c r="AQ61" s="248"/>
      <c r="AR61" s="248"/>
      <c r="AS61" s="248"/>
      <c r="AT61" s="248"/>
      <c r="AU61" s="252"/>
      <c r="AV61" s="252"/>
      <c r="AW61" s="252"/>
      <c r="AX61" s="253"/>
      <c r="AY61" s="252"/>
      <c r="AZ61" s="252"/>
      <c r="BA61" s="252"/>
      <c r="BB61" s="253"/>
      <c r="BC61" s="252"/>
      <c r="BD61" s="252"/>
      <c r="BE61" s="252"/>
      <c r="BF61" s="253"/>
      <c r="BG61" s="252"/>
      <c r="BH61" s="252"/>
      <c r="BI61" s="252"/>
      <c r="BJ61" s="253"/>
      <c r="BK61" s="252"/>
      <c r="BL61" s="252"/>
      <c r="BM61" s="252"/>
      <c r="BN61" s="253"/>
      <c r="BO61" s="252"/>
      <c r="BP61" s="252"/>
      <c r="BQ61" s="252"/>
      <c r="BR61" s="253"/>
      <c r="BS61" s="252"/>
      <c r="BT61" s="252"/>
      <c r="BU61" s="252"/>
      <c r="BV61" s="253"/>
      <c r="BW61" s="252"/>
      <c r="BX61" s="252"/>
      <c r="BY61" s="252"/>
      <c r="BZ61" s="253"/>
      <c r="CA61" s="252"/>
      <c r="CB61" s="252"/>
      <c r="CC61" s="252"/>
      <c r="CD61" s="253"/>
      <c r="CE61" s="3"/>
      <c r="CF61" s="3"/>
      <c r="CG61" s="3"/>
      <c r="CH61" s="3"/>
      <c r="CI61" s="3"/>
      <c r="CJ61" s="3"/>
      <c r="CK61" s="3"/>
      <c r="CL61" s="3"/>
      <c r="CM61" s="3"/>
      <c r="CN61" s="3"/>
      <c r="CO61" s="3"/>
      <c r="CP61" s="3"/>
      <c r="CQ61" s="3"/>
      <c r="CR61" s="3"/>
      <c r="CS61" s="3"/>
      <c r="CT61" s="3"/>
    </row>
    <row r="62" spans="2:98" x14ac:dyDescent="0.2">
      <c r="B62" s="138"/>
      <c r="C62" s="248"/>
      <c r="D62" s="248"/>
      <c r="E62" s="249"/>
      <c r="F62" s="251"/>
      <c r="G62" s="252"/>
      <c r="H62" s="252"/>
      <c r="I62" s="249"/>
      <c r="J62" s="251"/>
      <c r="K62" s="248"/>
      <c r="L62" s="254"/>
      <c r="M62" s="249"/>
      <c r="N62" s="251"/>
      <c r="O62" s="249"/>
      <c r="P62" s="249"/>
      <c r="Q62" s="249"/>
      <c r="R62" s="251"/>
      <c r="S62" s="252"/>
      <c r="T62" s="252"/>
      <c r="U62" s="249"/>
      <c r="V62" s="251"/>
      <c r="W62" s="252"/>
      <c r="X62" s="252"/>
      <c r="Y62" s="249"/>
      <c r="Z62" s="251"/>
      <c r="AA62" s="252"/>
      <c r="AB62" s="249"/>
      <c r="AC62" s="249"/>
      <c r="AD62" s="251"/>
      <c r="AE62" s="252"/>
      <c r="AF62" s="252"/>
      <c r="AG62" s="249"/>
      <c r="AH62" s="251"/>
      <c r="AI62" s="252"/>
      <c r="AJ62" s="252"/>
      <c r="AK62" s="249"/>
      <c r="AL62" s="249"/>
      <c r="AM62" s="252"/>
      <c r="AN62" s="252"/>
      <c r="AO62" s="252"/>
      <c r="AP62" s="253"/>
      <c r="AQ62" s="252"/>
      <c r="AR62" s="252"/>
      <c r="AS62" s="248"/>
      <c r="AT62" s="248"/>
      <c r="AU62" s="252"/>
      <c r="AV62" s="252"/>
      <c r="AW62" s="252"/>
      <c r="AX62" s="253"/>
      <c r="AY62" s="252"/>
      <c r="AZ62" s="252"/>
      <c r="BA62" s="252"/>
      <c r="BB62" s="253"/>
      <c r="BC62" s="252"/>
      <c r="BD62" s="252"/>
      <c r="BE62" s="252"/>
      <c r="BF62" s="253"/>
      <c r="BG62" s="252"/>
      <c r="BH62" s="252"/>
      <c r="BI62" s="252"/>
      <c r="BJ62" s="253"/>
      <c r="BK62" s="252"/>
      <c r="BL62" s="252"/>
      <c r="BM62" s="252"/>
      <c r="BN62" s="253"/>
      <c r="BO62" s="252"/>
      <c r="BP62" s="252"/>
      <c r="BQ62" s="252"/>
      <c r="BR62" s="253"/>
      <c r="BS62" s="252"/>
      <c r="BT62" s="252"/>
      <c r="BU62" s="252"/>
      <c r="BV62" s="253"/>
      <c r="BW62" s="252"/>
      <c r="BX62" s="252"/>
      <c r="BY62" s="252"/>
      <c r="BZ62" s="253"/>
      <c r="CA62" s="252"/>
      <c r="CB62" s="252"/>
      <c r="CC62" s="252"/>
      <c r="CD62" s="253"/>
      <c r="CE62" s="3"/>
      <c r="CF62" s="3"/>
      <c r="CG62" s="3"/>
      <c r="CH62" s="3"/>
      <c r="CI62" s="3"/>
      <c r="CJ62" s="3"/>
      <c r="CK62" s="3"/>
      <c r="CL62" s="3"/>
      <c r="CM62" s="3"/>
      <c r="CN62" s="3"/>
      <c r="CO62" s="3"/>
      <c r="CP62" s="3"/>
      <c r="CQ62" s="3"/>
      <c r="CR62" s="3"/>
      <c r="CS62" s="3"/>
      <c r="CT62" s="3"/>
    </row>
    <row r="63" spans="2:98" x14ac:dyDescent="0.2">
      <c r="B63" s="138"/>
      <c r="C63" s="249"/>
      <c r="D63" s="249"/>
      <c r="E63" s="252"/>
      <c r="F63" s="253"/>
      <c r="G63" s="252"/>
      <c r="H63" s="252"/>
      <c r="I63" s="249"/>
      <c r="J63" s="251"/>
      <c r="K63" s="249"/>
      <c r="L63" s="250"/>
      <c r="M63" s="249"/>
      <c r="N63" s="251"/>
      <c r="O63" s="252"/>
      <c r="P63" s="249"/>
      <c r="Q63" s="249"/>
      <c r="R63" s="251"/>
      <c r="S63" s="252"/>
      <c r="T63" s="252"/>
      <c r="U63" s="249"/>
      <c r="V63" s="251"/>
      <c r="W63" s="252"/>
      <c r="X63" s="252"/>
      <c r="Y63" s="249"/>
      <c r="Z63" s="251"/>
      <c r="AA63" s="252"/>
      <c r="AB63" s="252"/>
      <c r="AC63" s="249"/>
      <c r="AD63" s="251"/>
      <c r="AE63" s="252"/>
      <c r="AF63" s="252"/>
      <c r="AG63" s="249"/>
      <c r="AH63" s="251"/>
      <c r="AI63" s="252"/>
      <c r="AJ63" s="252"/>
      <c r="AK63" s="249"/>
      <c r="AL63" s="249"/>
      <c r="AM63" s="252"/>
      <c r="AN63" s="252"/>
      <c r="AO63" s="252"/>
      <c r="AP63" s="253"/>
      <c r="AQ63" s="252"/>
      <c r="AR63" s="252"/>
      <c r="AS63" s="248"/>
      <c r="AT63" s="248"/>
      <c r="AU63" s="252"/>
      <c r="AV63" s="252"/>
      <c r="AW63" s="252"/>
      <c r="AX63" s="253"/>
      <c r="AY63" s="252"/>
      <c r="AZ63" s="252"/>
      <c r="BA63" s="252"/>
      <c r="BB63" s="253"/>
      <c r="BC63" s="252"/>
      <c r="BD63" s="252"/>
      <c r="BE63" s="252"/>
      <c r="BF63" s="253"/>
      <c r="BG63" s="252"/>
      <c r="BH63" s="252"/>
      <c r="BI63" s="252"/>
      <c r="BJ63" s="253"/>
      <c r="BK63" s="252"/>
      <c r="BL63" s="252"/>
      <c r="BM63" s="252"/>
      <c r="BN63" s="253"/>
      <c r="BO63" s="252"/>
      <c r="BP63" s="252"/>
      <c r="BQ63" s="252"/>
      <c r="BR63" s="253"/>
      <c r="BS63" s="252"/>
      <c r="BT63" s="252"/>
      <c r="BU63" s="252"/>
      <c r="BV63" s="253"/>
      <c r="BW63" s="252"/>
      <c r="BX63" s="252"/>
      <c r="BY63" s="252"/>
      <c r="BZ63" s="253"/>
      <c r="CA63" s="252"/>
      <c r="CB63" s="252"/>
      <c r="CC63" s="252"/>
      <c r="CD63" s="253"/>
      <c r="CE63" s="3"/>
      <c r="CF63" s="3"/>
      <c r="CG63" s="3"/>
      <c r="CH63" s="3"/>
      <c r="CI63" s="3"/>
      <c r="CJ63" s="3"/>
      <c r="CK63" s="3"/>
      <c r="CL63" s="3"/>
      <c r="CM63" s="3"/>
      <c r="CN63" s="3"/>
      <c r="CO63" s="3"/>
      <c r="CP63" s="3"/>
      <c r="CQ63" s="3"/>
      <c r="CR63" s="3"/>
      <c r="CS63" s="3"/>
      <c r="CT63" s="3"/>
    </row>
    <row r="64" spans="2:98" x14ac:dyDescent="0.2">
      <c r="B64" s="138"/>
      <c r="C64" s="249"/>
      <c r="D64" s="249"/>
      <c r="E64" s="252"/>
      <c r="F64" s="253"/>
      <c r="G64" s="252"/>
      <c r="H64" s="252"/>
      <c r="I64" s="249"/>
      <c r="J64" s="251"/>
      <c r="K64" s="252"/>
      <c r="L64" s="252"/>
      <c r="M64" s="252"/>
      <c r="N64" s="253"/>
      <c r="O64" s="252"/>
      <c r="P64" s="249"/>
      <c r="Q64" s="252"/>
      <c r="R64" s="253"/>
      <c r="S64" s="252"/>
      <c r="T64" s="252"/>
      <c r="U64" s="252"/>
      <c r="V64" s="253"/>
      <c r="W64" s="252"/>
      <c r="X64" s="252"/>
      <c r="Y64" s="252"/>
      <c r="Z64" s="253"/>
      <c r="AA64" s="252"/>
      <c r="AB64" s="252"/>
      <c r="AC64" s="252"/>
      <c r="AD64" s="253"/>
      <c r="AE64" s="252"/>
      <c r="AF64" s="252"/>
      <c r="AG64" s="252"/>
      <c r="AH64" s="253"/>
      <c r="AI64" s="252"/>
      <c r="AJ64" s="252"/>
      <c r="AK64" s="249"/>
      <c r="AL64" s="249"/>
      <c r="AM64" s="252"/>
      <c r="AN64" s="252"/>
      <c r="AO64" s="252"/>
      <c r="AP64" s="253"/>
      <c r="AQ64" s="252"/>
      <c r="AR64" s="252"/>
      <c r="AS64" s="248"/>
      <c r="AT64" s="248"/>
      <c r="AU64" s="252"/>
      <c r="AV64" s="252"/>
      <c r="AW64" s="252"/>
      <c r="AX64" s="253"/>
      <c r="AY64" s="252"/>
      <c r="AZ64" s="252"/>
      <c r="BA64" s="252"/>
      <c r="BB64" s="253"/>
      <c r="BC64" s="252"/>
      <c r="BD64" s="252"/>
      <c r="BE64" s="252"/>
      <c r="BF64" s="253"/>
      <c r="BG64" s="252"/>
      <c r="BH64" s="252"/>
      <c r="BI64" s="252"/>
      <c r="BJ64" s="253"/>
      <c r="BK64" s="252"/>
      <c r="BL64" s="252"/>
      <c r="BM64" s="252"/>
      <c r="BN64" s="253"/>
      <c r="BO64" s="252"/>
      <c r="BP64" s="252"/>
      <c r="BQ64" s="252"/>
      <c r="BR64" s="253"/>
      <c r="BS64" s="252"/>
      <c r="BT64" s="252"/>
      <c r="BU64" s="252"/>
      <c r="BV64" s="253"/>
      <c r="BW64" s="252"/>
      <c r="BX64" s="252"/>
      <c r="BY64" s="252"/>
      <c r="BZ64" s="253"/>
      <c r="CA64" s="252"/>
      <c r="CB64" s="252"/>
      <c r="CC64" s="252"/>
      <c r="CD64" s="253"/>
      <c r="CE64" s="3"/>
      <c r="CF64" s="3"/>
      <c r="CG64" s="3"/>
      <c r="CH64" s="3"/>
      <c r="CI64" s="3"/>
      <c r="CJ64" s="3"/>
      <c r="CK64" s="3"/>
      <c r="CL64" s="3"/>
      <c r="CM64" s="3"/>
      <c r="CN64" s="3"/>
      <c r="CO64" s="3"/>
      <c r="CP64" s="3"/>
      <c r="CQ64" s="3"/>
      <c r="CR64" s="3"/>
      <c r="CS64" s="3"/>
      <c r="CT64" s="3"/>
    </row>
    <row r="65" spans="1:98" x14ac:dyDescent="0.2">
      <c r="B65" s="138"/>
      <c r="C65" s="252"/>
      <c r="D65" s="252"/>
      <c r="E65" s="252"/>
      <c r="F65" s="253"/>
      <c r="G65" s="252"/>
      <c r="H65" s="252"/>
      <c r="I65" s="249"/>
      <c r="J65" s="251"/>
      <c r="K65" s="252"/>
      <c r="L65" s="252"/>
      <c r="M65" s="252"/>
      <c r="N65" s="253"/>
      <c r="O65" s="252"/>
      <c r="P65" s="252"/>
      <c r="Q65" s="252"/>
      <c r="R65" s="253"/>
      <c r="S65" s="252"/>
      <c r="T65" s="252"/>
      <c r="U65" s="252"/>
      <c r="V65" s="253"/>
      <c r="W65" s="252"/>
      <c r="X65" s="252"/>
      <c r="Y65" s="252"/>
      <c r="Z65" s="253"/>
      <c r="AA65" s="252"/>
      <c r="AB65" s="252"/>
      <c r="AC65" s="252"/>
      <c r="AD65" s="253"/>
      <c r="AE65" s="252"/>
      <c r="AF65" s="252"/>
      <c r="AG65" s="252"/>
      <c r="AH65" s="253"/>
      <c r="AI65" s="252"/>
      <c r="AJ65" s="252"/>
      <c r="AK65" s="249"/>
      <c r="AL65" s="249"/>
      <c r="AM65" s="252"/>
      <c r="AN65" s="252"/>
      <c r="AO65" s="252"/>
      <c r="AP65" s="253"/>
      <c r="AQ65" s="252"/>
      <c r="AR65" s="252"/>
      <c r="AS65" s="248"/>
      <c r="AT65" s="248"/>
      <c r="AU65" s="252"/>
      <c r="AV65" s="252"/>
      <c r="AW65" s="252"/>
      <c r="AX65" s="253"/>
      <c r="AY65" s="252"/>
      <c r="AZ65" s="252"/>
      <c r="BA65" s="252"/>
      <c r="BB65" s="253"/>
      <c r="BC65" s="252"/>
      <c r="BD65" s="252"/>
      <c r="BE65" s="252"/>
      <c r="BF65" s="253"/>
      <c r="BG65" s="252"/>
      <c r="BH65" s="252"/>
      <c r="BI65" s="252"/>
      <c r="BJ65" s="253"/>
      <c r="BK65" s="252"/>
      <c r="BL65" s="252"/>
      <c r="BM65" s="252"/>
      <c r="BN65" s="253"/>
      <c r="BO65" s="252"/>
      <c r="BP65" s="252"/>
      <c r="BQ65" s="252"/>
      <c r="BR65" s="253"/>
      <c r="BS65" s="252"/>
      <c r="BT65" s="252"/>
      <c r="BU65" s="252"/>
      <c r="BV65" s="253"/>
      <c r="BW65" s="252"/>
      <c r="BX65" s="252"/>
      <c r="BY65" s="252"/>
      <c r="BZ65" s="253"/>
      <c r="CA65" s="252"/>
      <c r="CB65" s="252"/>
      <c r="CC65" s="252"/>
      <c r="CD65" s="253"/>
      <c r="CE65" s="3"/>
      <c r="CF65" s="3"/>
      <c r="CG65" s="3"/>
      <c r="CH65" s="3"/>
      <c r="CI65" s="3"/>
      <c r="CJ65" s="3"/>
      <c r="CK65" s="3"/>
      <c r="CL65" s="3"/>
      <c r="CM65" s="3"/>
      <c r="CN65" s="3"/>
      <c r="CO65" s="3"/>
      <c r="CP65" s="3"/>
      <c r="CQ65" s="3"/>
      <c r="CR65" s="3"/>
      <c r="CS65" s="3"/>
      <c r="CT65" s="3"/>
    </row>
    <row r="66" spans="1:98" x14ac:dyDescent="0.2">
      <c r="B66" s="138"/>
      <c r="C66" s="255"/>
      <c r="D66" s="252"/>
      <c r="E66" s="252"/>
      <c r="F66" s="253"/>
      <c r="G66" s="252"/>
      <c r="H66" s="252"/>
      <c r="I66" s="249"/>
      <c r="J66" s="251"/>
      <c r="K66" s="252"/>
      <c r="L66" s="252"/>
      <c r="M66" s="252"/>
      <c r="N66" s="253"/>
      <c r="O66" s="252"/>
      <c r="P66" s="252"/>
      <c r="Q66" s="252"/>
      <c r="R66" s="253"/>
      <c r="S66" s="252"/>
      <c r="T66" s="252"/>
      <c r="U66" s="252"/>
      <c r="V66" s="253"/>
      <c r="W66" s="252"/>
      <c r="X66" s="252"/>
      <c r="Y66" s="252"/>
      <c r="Z66" s="253"/>
      <c r="AA66" s="252"/>
      <c r="AB66" s="252"/>
      <c r="AC66" s="252"/>
      <c r="AD66" s="253"/>
      <c r="AE66" s="252"/>
      <c r="AF66" s="252"/>
      <c r="AG66" s="252"/>
      <c r="AH66" s="253"/>
      <c r="AI66" s="252"/>
      <c r="AJ66" s="252"/>
      <c r="AK66" s="249"/>
      <c r="AL66" s="249"/>
      <c r="AM66" s="252"/>
      <c r="AN66" s="252"/>
      <c r="AO66" s="252"/>
      <c r="AP66" s="253"/>
      <c r="AQ66" s="252"/>
      <c r="AR66" s="252"/>
      <c r="AS66" s="248"/>
      <c r="AT66" s="248"/>
      <c r="AU66" s="252"/>
      <c r="AV66" s="252"/>
      <c r="AW66" s="252"/>
      <c r="AX66" s="253"/>
      <c r="AY66" s="252"/>
      <c r="AZ66" s="252"/>
      <c r="BA66" s="252"/>
      <c r="BB66" s="253"/>
      <c r="BC66" s="252"/>
      <c r="BD66" s="252"/>
      <c r="BE66" s="252"/>
      <c r="BF66" s="253"/>
      <c r="BG66" s="252"/>
      <c r="BH66" s="252"/>
      <c r="BI66" s="252"/>
      <c r="BJ66" s="253"/>
      <c r="BK66" s="252"/>
      <c r="BL66" s="252"/>
      <c r="BM66" s="252"/>
      <c r="BN66" s="253"/>
      <c r="BO66" s="252"/>
      <c r="BP66" s="252"/>
      <c r="BQ66" s="252"/>
      <c r="BR66" s="253"/>
      <c r="BS66" s="252"/>
      <c r="BT66" s="252"/>
      <c r="BU66" s="252"/>
      <c r="BV66" s="253"/>
      <c r="BW66" s="252"/>
      <c r="BX66" s="252"/>
      <c r="BY66" s="252"/>
      <c r="BZ66" s="253"/>
      <c r="CA66" s="252"/>
      <c r="CB66" s="252"/>
      <c r="CC66" s="252"/>
      <c r="CD66" s="253"/>
      <c r="CE66" s="3"/>
      <c r="CF66" s="3"/>
      <c r="CG66" s="3"/>
      <c r="CH66" s="3"/>
      <c r="CI66" s="3"/>
      <c r="CJ66" s="3"/>
      <c r="CK66" s="3"/>
      <c r="CL66" s="3"/>
      <c r="CM66" s="3"/>
      <c r="CN66" s="3"/>
      <c r="CO66" s="3"/>
      <c r="CP66" s="3"/>
      <c r="CQ66" s="3"/>
      <c r="CR66" s="3"/>
      <c r="CS66" s="3"/>
      <c r="CT66" s="3"/>
    </row>
    <row r="67" spans="1:98" x14ac:dyDescent="0.2">
      <c r="B67" s="138"/>
      <c r="C67" s="255"/>
      <c r="D67" s="252"/>
      <c r="E67" s="252"/>
      <c r="F67" s="253"/>
      <c r="G67" s="252"/>
      <c r="H67" s="252"/>
      <c r="I67" s="249"/>
      <c r="J67" s="251"/>
      <c r="K67" s="252"/>
      <c r="L67" s="252"/>
      <c r="M67" s="252"/>
      <c r="N67" s="253"/>
      <c r="O67" s="252"/>
      <c r="P67" s="252"/>
      <c r="Q67" s="252"/>
      <c r="R67" s="253"/>
      <c r="S67" s="252"/>
      <c r="T67" s="252"/>
      <c r="U67" s="252"/>
      <c r="V67" s="253"/>
      <c r="W67" s="252"/>
      <c r="X67" s="252"/>
      <c r="Y67" s="252"/>
      <c r="Z67" s="253"/>
      <c r="AA67" s="252"/>
      <c r="AB67" s="252"/>
      <c r="AC67" s="252"/>
      <c r="AD67" s="253"/>
      <c r="AE67" s="252"/>
      <c r="AF67" s="252"/>
      <c r="AG67" s="252"/>
      <c r="AH67" s="253"/>
      <c r="AI67" s="252"/>
      <c r="AJ67" s="252"/>
      <c r="AK67" s="249"/>
      <c r="AL67" s="249"/>
      <c r="AM67" s="252"/>
      <c r="AN67" s="252"/>
      <c r="AO67" s="252"/>
      <c r="AP67" s="253"/>
      <c r="AQ67" s="252"/>
      <c r="AR67" s="252"/>
      <c r="AS67" s="248"/>
      <c r="AT67" s="248"/>
      <c r="AU67" s="252"/>
      <c r="AV67" s="252"/>
      <c r="AW67" s="252"/>
      <c r="AX67" s="253"/>
      <c r="AY67" s="252"/>
      <c r="AZ67" s="252"/>
      <c r="BA67" s="252"/>
      <c r="BB67" s="253"/>
      <c r="BC67" s="252"/>
      <c r="BD67" s="252"/>
      <c r="BE67" s="252"/>
      <c r="BF67" s="253"/>
      <c r="BG67" s="252"/>
      <c r="BH67" s="252"/>
      <c r="BI67" s="252"/>
      <c r="BJ67" s="253"/>
      <c r="BK67" s="252"/>
      <c r="BL67" s="252"/>
      <c r="BM67" s="252"/>
      <c r="BN67" s="253"/>
      <c r="BO67" s="252"/>
      <c r="BP67" s="252"/>
      <c r="BQ67" s="252"/>
      <c r="BR67" s="253"/>
      <c r="BS67" s="252"/>
      <c r="BT67" s="252"/>
      <c r="BU67" s="252"/>
      <c r="BV67" s="253"/>
      <c r="BW67" s="252"/>
      <c r="BX67" s="252"/>
      <c r="BY67" s="252"/>
      <c r="BZ67" s="253"/>
      <c r="CA67" s="252"/>
      <c r="CB67" s="252"/>
      <c r="CC67" s="252"/>
      <c r="CD67" s="253"/>
      <c r="CE67" s="3"/>
      <c r="CF67" s="3"/>
      <c r="CG67" s="3"/>
      <c r="CH67" s="3"/>
      <c r="CI67" s="3"/>
      <c r="CJ67" s="3"/>
      <c r="CK67" s="3"/>
      <c r="CL67" s="3"/>
      <c r="CM67" s="3"/>
      <c r="CN67" s="3"/>
      <c r="CO67" s="3"/>
      <c r="CP67" s="3"/>
      <c r="CQ67" s="3"/>
      <c r="CR67" s="3"/>
      <c r="CS67" s="3"/>
      <c r="CT67" s="3"/>
    </row>
    <row r="68" spans="1:98" x14ac:dyDescent="0.2">
      <c r="B68" s="138"/>
      <c r="C68" s="255"/>
      <c r="D68" s="252"/>
      <c r="E68" s="252"/>
      <c r="F68" s="253"/>
      <c r="G68" s="252"/>
      <c r="H68" s="252"/>
      <c r="I68" s="248"/>
      <c r="J68" s="256"/>
      <c r="K68" s="252"/>
      <c r="L68" s="252"/>
      <c r="M68" s="252"/>
      <c r="N68" s="253"/>
      <c r="O68" s="252"/>
      <c r="P68" s="252"/>
      <c r="Q68" s="252"/>
      <c r="R68" s="253"/>
      <c r="S68" s="252"/>
      <c r="T68" s="252"/>
      <c r="U68" s="252"/>
      <c r="V68" s="253"/>
      <c r="W68" s="252"/>
      <c r="X68" s="252"/>
      <c r="Y68" s="252"/>
      <c r="Z68" s="253"/>
      <c r="AA68" s="252"/>
      <c r="AB68" s="252"/>
      <c r="AC68" s="252"/>
      <c r="AD68" s="253"/>
      <c r="AE68" s="252"/>
      <c r="AF68" s="252"/>
      <c r="AG68" s="252"/>
      <c r="AH68" s="253"/>
      <c r="AI68" s="252"/>
      <c r="AJ68" s="252"/>
      <c r="AK68" s="252"/>
      <c r="AL68" s="253"/>
      <c r="AM68" s="252"/>
      <c r="AN68" s="252"/>
      <c r="AO68" s="252"/>
      <c r="AP68" s="253"/>
      <c r="AQ68" s="252"/>
      <c r="AR68" s="252"/>
      <c r="AS68" s="252"/>
      <c r="AT68" s="253"/>
      <c r="AU68" s="252"/>
      <c r="AV68" s="252"/>
      <c r="AW68" s="252"/>
      <c r="AX68" s="253"/>
      <c r="AY68" s="252"/>
      <c r="AZ68" s="252"/>
      <c r="BA68" s="252"/>
      <c r="BB68" s="253"/>
      <c r="BC68" s="252"/>
      <c r="BD68" s="252"/>
      <c r="BE68" s="252"/>
      <c r="BF68" s="253"/>
      <c r="BG68" s="252"/>
      <c r="BH68" s="252"/>
      <c r="BI68" s="252"/>
      <c r="BJ68" s="253"/>
      <c r="BK68" s="252"/>
      <c r="BL68" s="252"/>
      <c r="BM68" s="252"/>
      <c r="BN68" s="253"/>
      <c r="BO68" s="252"/>
      <c r="BP68" s="252"/>
      <c r="BQ68" s="252"/>
      <c r="BR68" s="253"/>
      <c r="BS68" s="252"/>
      <c r="BT68" s="252"/>
      <c r="BU68" s="252"/>
      <c r="BV68" s="253"/>
      <c r="BW68" s="252"/>
      <c r="BX68" s="252"/>
      <c r="BY68" s="252"/>
      <c r="BZ68" s="253"/>
      <c r="CA68" s="252"/>
      <c r="CB68" s="252"/>
      <c r="CC68" s="252"/>
      <c r="CD68" s="253"/>
      <c r="CE68" s="3"/>
      <c r="CF68" s="3"/>
      <c r="CG68" s="3"/>
      <c r="CH68" s="3"/>
      <c r="CI68" s="3"/>
      <c r="CJ68" s="3"/>
      <c r="CK68" s="3"/>
      <c r="CL68" s="3"/>
      <c r="CM68" s="3"/>
      <c r="CN68" s="3"/>
      <c r="CO68" s="3"/>
      <c r="CP68" s="3"/>
      <c r="CQ68" s="3"/>
      <c r="CR68" s="3"/>
      <c r="CS68" s="3"/>
      <c r="CT68" s="3"/>
    </row>
    <row r="69" spans="1:98" ht="13.5" thickBot="1" x14ac:dyDescent="0.25">
      <c r="B69" s="138"/>
      <c r="C69" s="255"/>
      <c r="D69" s="252"/>
      <c r="E69" s="252"/>
      <c r="F69" s="253"/>
      <c r="G69" s="252"/>
      <c r="H69" s="252"/>
      <c r="I69" s="248"/>
      <c r="J69" s="256"/>
      <c r="K69" s="252"/>
      <c r="L69" s="252"/>
      <c r="M69" s="252"/>
      <c r="N69" s="253"/>
      <c r="O69" s="252"/>
      <c r="P69" s="252"/>
      <c r="Q69" s="252"/>
      <c r="R69" s="253"/>
      <c r="S69" s="252"/>
      <c r="T69" s="252"/>
      <c r="U69" s="252"/>
      <c r="V69" s="253"/>
      <c r="W69" s="252"/>
      <c r="X69" s="252"/>
      <c r="Y69" s="252"/>
      <c r="Z69" s="253"/>
      <c r="AA69" s="252"/>
      <c r="AB69" s="252"/>
      <c r="AC69" s="252"/>
      <c r="AD69" s="253"/>
      <c r="AE69" s="252"/>
      <c r="AF69" s="252"/>
      <c r="AG69" s="252"/>
      <c r="AH69" s="253"/>
      <c r="AI69" s="252"/>
      <c r="AJ69" s="252"/>
      <c r="AK69" s="252"/>
      <c r="AL69" s="253"/>
      <c r="AM69" s="252"/>
      <c r="AN69" s="252"/>
      <c r="AO69" s="252"/>
      <c r="AP69" s="253"/>
      <c r="AQ69" s="252"/>
      <c r="AR69" s="252"/>
      <c r="AS69" s="252"/>
      <c r="AT69" s="253"/>
      <c r="AU69" s="252"/>
      <c r="AV69" s="252"/>
      <c r="AW69" s="252"/>
      <c r="AX69" s="253"/>
      <c r="AY69" s="252"/>
      <c r="AZ69" s="252"/>
      <c r="BA69" s="252"/>
      <c r="BB69" s="253"/>
      <c r="BC69" s="252"/>
      <c r="BD69" s="252"/>
      <c r="BE69" s="252"/>
      <c r="BF69" s="253"/>
      <c r="BG69" s="252"/>
      <c r="BH69" s="252"/>
      <c r="BI69" s="252"/>
      <c r="BJ69" s="253"/>
      <c r="BK69" s="252"/>
      <c r="BL69" s="252"/>
      <c r="BM69" s="252"/>
      <c r="BN69" s="253"/>
      <c r="BO69" s="252"/>
      <c r="BP69" s="252"/>
      <c r="BQ69" s="252"/>
      <c r="BR69" s="253"/>
      <c r="BS69" s="252"/>
      <c r="BT69" s="252"/>
      <c r="BU69" s="252"/>
      <c r="BV69" s="253"/>
      <c r="BW69" s="252"/>
      <c r="BX69" s="252"/>
      <c r="BY69" s="252"/>
      <c r="BZ69" s="253"/>
      <c r="CA69" s="252"/>
      <c r="CB69" s="252"/>
      <c r="CC69" s="252"/>
      <c r="CD69" s="253"/>
      <c r="CE69" s="3"/>
      <c r="CF69" s="3"/>
      <c r="CG69" s="3"/>
      <c r="CH69" s="3"/>
      <c r="CI69" s="3"/>
      <c r="CJ69" s="3"/>
      <c r="CK69" s="3"/>
      <c r="CL69" s="3"/>
      <c r="CM69" s="3"/>
      <c r="CN69" s="3"/>
      <c r="CO69" s="3"/>
      <c r="CP69" s="3"/>
      <c r="CQ69" s="3"/>
      <c r="CR69" s="3"/>
      <c r="CS69" s="3"/>
      <c r="CT69" s="3"/>
    </row>
    <row r="70" spans="1:98" x14ac:dyDescent="0.2">
      <c r="B70" s="266"/>
      <c r="C70" s="252"/>
      <c r="D70" s="252"/>
      <c r="E70" s="252"/>
      <c r="F70" s="253"/>
      <c r="G70" s="252"/>
      <c r="H70" s="252"/>
      <c r="I70" s="252"/>
      <c r="J70" s="253"/>
      <c r="K70" s="252"/>
      <c r="L70" s="252"/>
      <c r="M70" s="252"/>
      <c r="N70" s="253"/>
      <c r="O70" s="252"/>
      <c r="P70" s="252"/>
      <c r="Q70" s="252"/>
      <c r="R70" s="253"/>
      <c r="S70" s="252"/>
      <c r="T70" s="252"/>
      <c r="U70" s="252"/>
      <c r="V70" s="253"/>
      <c r="W70" s="252"/>
      <c r="X70" s="252"/>
      <c r="Y70" s="252"/>
      <c r="Z70" s="253"/>
      <c r="AA70" s="252"/>
      <c r="AB70" s="252"/>
      <c r="AC70" s="252"/>
      <c r="AD70" s="253"/>
      <c r="AE70" s="252"/>
      <c r="AF70" s="252"/>
      <c r="AG70" s="252"/>
      <c r="AH70" s="253"/>
      <c r="AI70" s="252"/>
      <c r="AJ70" s="252"/>
      <c r="AK70" s="252"/>
      <c r="AL70" s="253"/>
      <c r="AM70" s="252"/>
      <c r="AN70" s="252"/>
      <c r="AO70" s="252"/>
      <c r="AP70" s="253"/>
      <c r="AQ70" s="252"/>
      <c r="AR70" s="252"/>
      <c r="AS70" s="252"/>
      <c r="AT70" s="253"/>
      <c r="AU70" s="252"/>
      <c r="AV70" s="252"/>
      <c r="AW70" s="252"/>
      <c r="AX70" s="253"/>
      <c r="AY70" s="252"/>
      <c r="AZ70" s="252"/>
      <c r="BA70" s="252"/>
      <c r="BB70" s="253"/>
      <c r="BC70" s="252"/>
      <c r="BD70" s="252"/>
      <c r="BE70" s="252"/>
      <c r="BF70" s="253"/>
      <c r="BG70" s="252"/>
      <c r="BH70" s="252"/>
      <c r="BI70" s="252"/>
      <c r="BJ70" s="253"/>
      <c r="BK70" s="252"/>
      <c r="BL70" s="252"/>
      <c r="BM70" s="252"/>
      <c r="BN70" s="253"/>
      <c r="BO70" s="252"/>
      <c r="BP70" s="252"/>
      <c r="BQ70" s="252"/>
      <c r="BR70" s="253"/>
      <c r="BS70" s="252"/>
      <c r="BT70" s="252"/>
      <c r="BU70" s="252"/>
      <c r="BV70" s="253"/>
      <c r="BW70" s="252"/>
      <c r="BX70" s="252"/>
      <c r="BY70" s="252"/>
      <c r="BZ70" s="253"/>
      <c r="CA70" s="252"/>
      <c r="CB70" s="252"/>
      <c r="CC70" s="252"/>
      <c r="CD70" s="253"/>
      <c r="CE70" s="3"/>
      <c r="CF70" s="3"/>
      <c r="CG70" s="3"/>
      <c r="CH70" s="3"/>
      <c r="CI70" s="3"/>
      <c r="CJ70" s="3"/>
      <c r="CK70" s="3"/>
      <c r="CL70" s="3"/>
      <c r="CM70" s="3"/>
      <c r="CN70" s="3"/>
      <c r="CO70" s="3"/>
      <c r="CP70" s="3"/>
      <c r="CQ70" s="3"/>
      <c r="CR70" s="3"/>
      <c r="CS70" s="3"/>
      <c r="CT70" s="3"/>
    </row>
    <row r="71" spans="1:98" x14ac:dyDescent="0.2">
      <c r="B71" s="267" t="s">
        <v>182</v>
      </c>
      <c r="C71" s="252"/>
      <c r="D71" s="252"/>
      <c r="E71" s="252"/>
      <c r="F71" s="253"/>
      <c r="G71" s="252"/>
      <c r="H71" s="252"/>
      <c r="I71" s="252"/>
      <c r="J71" s="253"/>
      <c r="K71" s="252"/>
      <c r="L71" s="252"/>
      <c r="M71" s="252"/>
      <c r="N71" s="253"/>
      <c r="O71" s="252"/>
      <c r="P71" s="252"/>
      <c r="Q71" s="252"/>
      <c r="R71" s="253"/>
      <c r="S71" s="252"/>
      <c r="T71" s="252"/>
      <c r="U71" s="252"/>
      <c r="V71" s="253"/>
      <c r="W71" s="252"/>
      <c r="X71" s="252"/>
      <c r="Y71" s="252"/>
      <c r="Z71" s="253"/>
      <c r="AA71" s="252"/>
      <c r="AB71" s="252"/>
      <c r="AC71" s="252"/>
      <c r="AD71" s="253"/>
      <c r="AE71" s="252"/>
      <c r="AF71" s="252"/>
      <c r="AG71" s="252"/>
      <c r="AH71" s="253"/>
      <c r="AI71" s="252"/>
      <c r="AJ71" s="252"/>
      <c r="AK71" s="252"/>
      <c r="AL71" s="253"/>
      <c r="AM71" s="252"/>
      <c r="AN71" s="252"/>
      <c r="AO71" s="252"/>
      <c r="AP71" s="253"/>
      <c r="AQ71" s="252"/>
      <c r="AR71" s="252"/>
      <c r="AS71" s="252"/>
      <c r="AT71" s="253"/>
      <c r="AU71" s="252"/>
      <c r="AV71" s="252"/>
      <c r="AW71" s="252"/>
      <c r="AX71" s="253"/>
      <c r="AY71" s="252"/>
      <c r="AZ71" s="252"/>
      <c r="BA71" s="252"/>
      <c r="BB71" s="253"/>
      <c r="BC71" s="252"/>
      <c r="BD71" s="252"/>
      <c r="BE71" s="252"/>
      <c r="BF71" s="253"/>
      <c r="BG71" s="252"/>
      <c r="BH71" s="252"/>
      <c r="BI71" s="252"/>
      <c r="BJ71" s="253"/>
      <c r="BK71" s="252"/>
      <c r="BL71" s="252"/>
      <c r="BM71" s="252"/>
      <c r="BN71" s="253"/>
      <c r="BO71" s="252"/>
      <c r="BP71" s="252"/>
      <c r="BQ71" s="252"/>
      <c r="BR71" s="253"/>
      <c r="BS71" s="252"/>
      <c r="BT71" s="252"/>
      <c r="BU71" s="252"/>
      <c r="BV71" s="253"/>
      <c r="BW71" s="252"/>
      <c r="BX71" s="252"/>
      <c r="BY71" s="252"/>
      <c r="BZ71" s="253"/>
      <c r="CA71" s="252"/>
      <c r="CB71" s="252"/>
      <c r="CC71" s="252"/>
      <c r="CD71" s="253"/>
      <c r="CE71" s="3"/>
      <c r="CF71" s="3"/>
      <c r="CG71" s="3"/>
      <c r="CH71" s="3"/>
      <c r="CI71" s="3"/>
      <c r="CJ71" s="3"/>
      <c r="CK71" s="3"/>
      <c r="CL71" s="3"/>
      <c r="CM71" s="3"/>
      <c r="CN71" s="3"/>
      <c r="CO71" s="3"/>
      <c r="CP71" s="3"/>
      <c r="CQ71" s="3"/>
      <c r="CR71" s="3"/>
      <c r="CS71" s="3"/>
      <c r="CT71" s="3"/>
    </row>
    <row r="72" spans="1:98" x14ac:dyDescent="0.2">
      <c r="B72" s="267" t="s">
        <v>183</v>
      </c>
      <c r="C72" s="252"/>
      <c r="D72" s="252"/>
      <c r="E72" s="252"/>
      <c r="F72" s="253"/>
      <c r="G72" s="252"/>
      <c r="H72" s="252"/>
      <c r="I72" s="252"/>
      <c r="J72" s="253"/>
      <c r="K72" s="252"/>
      <c r="L72" s="252"/>
      <c r="M72" s="252"/>
      <c r="N72" s="253"/>
      <c r="O72" s="252"/>
      <c r="P72" s="252"/>
      <c r="Q72" s="252"/>
      <c r="R72" s="253"/>
      <c r="S72" s="252"/>
      <c r="T72" s="252"/>
      <c r="U72" s="252"/>
      <c r="V72" s="253"/>
      <c r="W72" s="252"/>
      <c r="X72" s="252"/>
      <c r="Y72" s="252"/>
      <c r="Z72" s="253"/>
      <c r="AA72" s="252"/>
      <c r="AB72" s="252"/>
      <c r="AC72" s="252"/>
      <c r="AD72" s="253"/>
      <c r="AE72" s="252"/>
      <c r="AF72" s="252"/>
      <c r="AG72" s="252"/>
      <c r="AH72" s="253"/>
      <c r="AI72" s="252"/>
      <c r="AJ72" s="252"/>
      <c r="AK72" s="252"/>
      <c r="AL72" s="253"/>
      <c r="AM72" s="252"/>
      <c r="AN72" s="252"/>
      <c r="AO72" s="252"/>
      <c r="AP72" s="253"/>
      <c r="AQ72" s="252"/>
      <c r="AR72" s="252"/>
      <c r="AS72" s="252"/>
      <c r="AT72" s="253"/>
      <c r="AU72" s="252"/>
      <c r="AV72" s="252"/>
      <c r="AW72" s="252"/>
      <c r="AX72" s="253"/>
      <c r="AY72" s="252"/>
      <c r="AZ72" s="252"/>
      <c r="BA72" s="252"/>
      <c r="BB72" s="253"/>
      <c r="BC72" s="252"/>
      <c r="BD72" s="252"/>
      <c r="BE72" s="252"/>
      <c r="BF72" s="253"/>
      <c r="BG72" s="252"/>
      <c r="BH72" s="252"/>
      <c r="BI72" s="252"/>
      <c r="BJ72" s="253"/>
      <c r="BK72" s="252"/>
      <c r="BL72" s="252"/>
      <c r="BM72" s="252"/>
      <c r="BN72" s="253"/>
      <c r="BO72" s="252"/>
      <c r="BP72" s="252"/>
      <c r="BQ72" s="252"/>
      <c r="BR72" s="253"/>
      <c r="BS72" s="252"/>
      <c r="BT72" s="252"/>
      <c r="BU72" s="252"/>
      <c r="BV72" s="253"/>
      <c r="BW72" s="252"/>
      <c r="BX72" s="252"/>
      <c r="BY72" s="252"/>
      <c r="BZ72" s="253"/>
      <c r="CA72" s="252"/>
      <c r="CB72" s="252"/>
      <c r="CC72" s="252"/>
      <c r="CD72" s="253"/>
      <c r="CE72" s="3"/>
      <c r="CF72" s="3"/>
      <c r="CG72" s="3"/>
      <c r="CH72" s="3"/>
      <c r="CI72" s="3"/>
      <c r="CJ72" s="3"/>
      <c r="CK72" s="3"/>
      <c r="CL72" s="3"/>
      <c r="CM72" s="3"/>
      <c r="CN72" s="3"/>
      <c r="CO72" s="3"/>
      <c r="CP72" s="3"/>
      <c r="CQ72" s="3"/>
      <c r="CR72" s="3"/>
      <c r="CS72" s="3"/>
      <c r="CT72" s="3"/>
    </row>
    <row r="73" spans="1:98" x14ac:dyDescent="0.2">
      <c r="B73" s="267" t="s">
        <v>184</v>
      </c>
      <c r="C73" s="252"/>
      <c r="D73" s="252"/>
      <c r="E73" s="252"/>
      <c r="F73" s="253"/>
      <c r="G73" s="252"/>
      <c r="H73" s="252"/>
      <c r="I73" s="252"/>
      <c r="J73" s="253"/>
      <c r="K73" s="252"/>
      <c r="L73" s="252"/>
      <c r="M73" s="252"/>
      <c r="N73" s="253"/>
      <c r="O73" s="252"/>
      <c r="P73" s="252"/>
      <c r="Q73" s="252"/>
      <c r="R73" s="253"/>
      <c r="S73" s="252"/>
      <c r="T73" s="252"/>
      <c r="U73" s="252"/>
      <c r="V73" s="253"/>
      <c r="W73" s="252"/>
      <c r="X73" s="252"/>
      <c r="Y73" s="252"/>
      <c r="Z73" s="253"/>
      <c r="AA73" s="252"/>
      <c r="AB73" s="252"/>
      <c r="AC73" s="252"/>
      <c r="AD73" s="253"/>
      <c r="AE73" s="252"/>
      <c r="AF73" s="252"/>
      <c r="AG73" s="252"/>
      <c r="AH73" s="253"/>
      <c r="AI73" s="252"/>
      <c r="AJ73" s="252"/>
      <c r="AK73" s="252"/>
      <c r="AL73" s="252"/>
      <c r="AM73" s="252"/>
      <c r="AN73" s="252"/>
      <c r="AO73" s="252"/>
      <c r="AP73" s="253"/>
      <c r="AQ73" s="252"/>
      <c r="AR73" s="252"/>
      <c r="AS73" s="252"/>
      <c r="AT73" s="253"/>
      <c r="AU73" s="252"/>
      <c r="AV73" s="252"/>
      <c r="AW73" s="252"/>
      <c r="AX73" s="253"/>
      <c r="AY73" s="252"/>
      <c r="AZ73" s="252"/>
      <c r="BA73" s="252"/>
      <c r="BB73" s="253"/>
      <c r="BC73" s="252"/>
      <c r="BD73" s="252"/>
      <c r="BE73" s="252"/>
      <c r="BF73" s="253"/>
      <c r="BG73" s="252"/>
      <c r="BH73" s="252"/>
      <c r="BI73" s="252"/>
      <c r="BJ73" s="253"/>
      <c r="BK73" s="252"/>
      <c r="BL73" s="252"/>
      <c r="BM73" s="252"/>
      <c r="BN73" s="253"/>
      <c r="BO73" s="252"/>
      <c r="BP73" s="252"/>
      <c r="BQ73" s="252"/>
      <c r="BR73" s="253"/>
      <c r="BS73" s="252"/>
      <c r="BT73" s="252"/>
      <c r="BU73" s="252"/>
      <c r="BV73" s="253"/>
      <c r="BW73" s="252"/>
      <c r="BX73" s="252"/>
      <c r="BY73" s="252"/>
      <c r="BZ73" s="253"/>
      <c r="CA73" s="252"/>
      <c r="CB73" s="252"/>
      <c r="CC73" s="252"/>
      <c r="CD73" s="253"/>
      <c r="CE73" s="3"/>
      <c r="CF73" s="3"/>
      <c r="CG73" s="3"/>
      <c r="CH73" s="3"/>
      <c r="CI73" s="3"/>
      <c r="CJ73" s="3"/>
      <c r="CK73" s="3"/>
      <c r="CL73" s="3"/>
      <c r="CM73" s="3"/>
      <c r="CN73" s="3"/>
      <c r="CO73" s="3"/>
      <c r="CP73" s="3"/>
      <c r="CQ73" s="3"/>
      <c r="CR73" s="3"/>
      <c r="CS73" s="3"/>
      <c r="CT73" s="3"/>
    </row>
    <row r="74" spans="1:98" x14ac:dyDescent="0.2">
      <c r="B74" s="267" t="s">
        <v>185</v>
      </c>
      <c r="C74" s="23"/>
      <c r="D74" s="23"/>
      <c r="E74" s="23"/>
      <c r="F74" s="11"/>
      <c r="G74" s="92"/>
      <c r="H74" s="23"/>
      <c r="I74" s="23"/>
      <c r="J74" s="11"/>
      <c r="K74" s="92"/>
      <c r="L74" s="23"/>
      <c r="M74" s="23"/>
      <c r="N74" s="11"/>
      <c r="O74" s="23"/>
      <c r="P74" s="23"/>
      <c r="Q74" s="23"/>
      <c r="R74" s="11"/>
      <c r="S74" s="23"/>
      <c r="T74" s="23"/>
      <c r="U74" s="23"/>
      <c r="V74" s="11"/>
      <c r="W74" s="23"/>
      <c r="X74" s="23"/>
      <c r="Y74" s="23"/>
      <c r="Z74" s="11"/>
      <c r="AA74" s="23"/>
      <c r="AB74" s="23"/>
      <c r="AC74" s="23"/>
      <c r="AD74" s="11"/>
      <c r="AE74" s="23"/>
      <c r="AF74" s="23"/>
      <c r="AG74" s="23"/>
      <c r="AH74" s="11"/>
      <c r="AI74" s="23"/>
      <c r="AJ74" s="23"/>
      <c r="AK74" s="23"/>
      <c r="AL74" s="11"/>
      <c r="AM74" s="23"/>
      <c r="AN74" s="23"/>
      <c r="AO74" s="23"/>
      <c r="AP74" s="11"/>
      <c r="AQ74" s="23"/>
      <c r="AR74" s="23"/>
      <c r="AS74" s="23"/>
      <c r="AT74" s="11"/>
      <c r="AU74" s="23"/>
      <c r="AV74" s="23"/>
      <c r="AW74" s="23"/>
      <c r="AX74" s="11"/>
      <c r="AY74" s="23"/>
      <c r="AZ74" s="23"/>
      <c r="BA74" s="23"/>
      <c r="BB74" s="11"/>
      <c r="BC74" s="23"/>
      <c r="BD74" s="23"/>
      <c r="BE74" s="23"/>
      <c r="BF74" s="11"/>
      <c r="BG74" s="23"/>
      <c r="BH74" s="23"/>
      <c r="BI74" s="23"/>
      <c r="BJ74" s="11"/>
      <c r="BK74" s="23"/>
      <c r="BL74" s="23"/>
      <c r="BM74" s="23"/>
      <c r="BN74" s="11"/>
      <c r="BO74" s="23"/>
      <c r="BP74" s="23"/>
      <c r="BQ74" s="23"/>
      <c r="BR74" s="11"/>
      <c r="BS74" s="23"/>
      <c r="BT74" s="23"/>
      <c r="BU74" s="23"/>
      <c r="BV74" s="11"/>
      <c r="BW74" s="23"/>
      <c r="BX74" s="23"/>
      <c r="BY74" s="23"/>
      <c r="BZ74" s="11"/>
      <c r="CA74" s="23"/>
      <c r="CB74" s="23"/>
      <c r="CC74" s="23"/>
      <c r="CD74" s="11"/>
      <c r="CE74" s="3"/>
      <c r="CF74" s="3"/>
      <c r="CG74" s="3"/>
      <c r="CH74" s="3"/>
      <c r="CI74" s="3"/>
      <c r="CJ74" s="3"/>
      <c r="CK74" s="3"/>
      <c r="CL74" s="3"/>
      <c r="CM74" s="3"/>
      <c r="CN74" s="3"/>
      <c r="CO74" s="3"/>
      <c r="CP74" s="3"/>
      <c r="CQ74" s="3"/>
      <c r="CR74" s="3"/>
      <c r="CS74" s="3"/>
      <c r="CT74" s="3"/>
    </row>
    <row r="75" spans="1:98" ht="13.5" thickBot="1" x14ac:dyDescent="0.25">
      <c r="A75" s="93"/>
      <c r="B75" s="268" t="s">
        <v>68</v>
      </c>
      <c r="C75" s="265"/>
      <c r="D75" s="23"/>
      <c r="E75" s="106"/>
      <c r="F75" s="11"/>
      <c r="G75" s="104"/>
      <c r="H75" s="23"/>
      <c r="I75" s="23"/>
      <c r="J75" s="11"/>
      <c r="K75" s="104"/>
      <c r="L75" s="23"/>
      <c r="M75" s="23"/>
      <c r="N75" s="11"/>
      <c r="O75" s="104" t="s">
        <v>186</v>
      </c>
      <c r="P75" s="23"/>
      <c r="Q75" s="23"/>
      <c r="R75" s="11"/>
      <c r="S75" s="104" t="s">
        <v>177</v>
      </c>
      <c r="T75" s="23"/>
      <c r="U75" s="23"/>
      <c r="V75" s="11"/>
      <c r="W75" s="104" t="s">
        <v>177</v>
      </c>
      <c r="X75" s="23"/>
      <c r="Y75" s="23"/>
      <c r="Z75" s="11"/>
      <c r="AA75" s="104"/>
      <c r="AB75" s="23"/>
      <c r="AC75" s="23"/>
      <c r="AD75" s="11"/>
      <c r="AE75" s="104" t="s">
        <v>177</v>
      </c>
      <c r="AF75" s="23"/>
      <c r="AG75" s="23"/>
      <c r="AH75" s="11"/>
      <c r="AI75" s="104"/>
      <c r="AJ75" s="23"/>
      <c r="AK75" s="23"/>
      <c r="AL75" s="11"/>
      <c r="AM75" s="41"/>
      <c r="AN75" s="23"/>
      <c r="AO75" s="23"/>
      <c r="AP75" s="11"/>
      <c r="AQ75" s="104"/>
      <c r="AR75" s="23"/>
      <c r="AS75" s="23"/>
      <c r="AT75" s="11"/>
      <c r="AU75" s="41"/>
      <c r="AV75" s="23"/>
      <c r="AW75" s="23"/>
      <c r="AX75" s="11"/>
      <c r="AY75" s="41"/>
      <c r="AZ75" s="23"/>
      <c r="BA75" s="23"/>
      <c r="BB75" s="11"/>
      <c r="BC75" s="41"/>
      <c r="BD75" s="23"/>
      <c r="BE75" s="23"/>
      <c r="BF75" s="11"/>
      <c r="BG75" s="41"/>
      <c r="BH75" s="23"/>
      <c r="BI75" s="23"/>
      <c r="BJ75" s="11"/>
      <c r="BK75" s="41"/>
      <c r="BL75" s="23"/>
      <c r="BM75" s="23"/>
      <c r="BN75" s="11"/>
      <c r="BO75" s="41"/>
      <c r="BP75" s="23"/>
      <c r="BQ75" s="23"/>
      <c r="BR75" s="11"/>
      <c r="BS75" s="41"/>
      <c r="BT75" s="23"/>
      <c r="BU75" s="23"/>
      <c r="BV75" s="11"/>
      <c r="BW75" s="41"/>
      <c r="BX75" s="23"/>
      <c r="BY75" s="23"/>
      <c r="BZ75" s="11"/>
      <c r="CA75" s="41"/>
      <c r="CB75" s="23"/>
      <c r="CC75" s="23"/>
      <c r="CD75" s="11"/>
      <c r="CE75" s="118"/>
      <c r="CF75" s="3"/>
      <c r="CG75" s="3"/>
      <c r="CH75" s="3"/>
      <c r="CI75" s="118"/>
      <c r="CJ75" s="3"/>
      <c r="CK75" s="3"/>
      <c r="CL75" s="3"/>
      <c r="CM75" s="118"/>
      <c r="CN75" s="3"/>
      <c r="CO75" s="3"/>
      <c r="CP75" s="3"/>
      <c r="CQ75" s="118"/>
      <c r="CR75" s="3"/>
      <c r="CS75" s="3"/>
      <c r="CT75" s="3"/>
    </row>
    <row r="76" spans="1:98" x14ac:dyDescent="0.2">
      <c r="B76" s="10"/>
      <c r="C76" s="23"/>
      <c r="D76" s="23"/>
      <c r="E76" s="23"/>
      <c r="F76" s="11"/>
      <c r="G76" s="23"/>
      <c r="H76" s="23"/>
      <c r="I76" s="23"/>
      <c r="J76" s="11"/>
      <c r="K76" s="23"/>
      <c r="L76" s="23"/>
      <c r="M76" s="23"/>
      <c r="N76" s="11"/>
      <c r="O76" s="23"/>
      <c r="P76" s="23"/>
      <c r="Q76" s="23"/>
      <c r="R76" s="11"/>
      <c r="S76" s="23"/>
      <c r="T76" s="23"/>
      <c r="U76" s="23"/>
      <c r="V76" s="11"/>
      <c r="W76" s="23"/>
      <c r="X76" s="23"/>
      <c r="Y76" s="23"/>
      <c r="Z76" s="11"/>
      <c r="AA76" s="23"/>
      <c r="AB76" s="23"/>
      <c r="AC76" s="23"/>
      <c r="AD76" s="11"/>
      <c r="AE76" s="23"/>
      <c r="AF76" s="23"/>
      <c r="AG76" s="23"/>
      <c r="AH76" s="11"/>
      <c r="AI76" s="23"/>
      <c r="AJ76" s="23"/>
      <c r="AK76" s="23"/>
      <c r="AL76" s="11"/>
      <c r="AM76" s="23"/>
      <c r="AN76" s="23"/>
      <c r="AO76" s="23"/>
      <c r="AP76" s="11"/>
      <c r="AQ76" s="23"/>
      <c r="AR76" s="23"/>
      <c r="AS76" s="23"/>
      <c r="AT76" s="11"/>
      <c r="AU76" s="23"/>
      <c r="AV76" s="23"/>
      <c r="AW76" s="23"/>
      <c r="AX76" s="11"/>
      <c r="AY76" s="23"/>
      <c r="AZ76" s="23"/>
      <c r="BA76" s="23"/>
      <c r="BB76" s="11"/>
      <c r="BC76" s="23"/>
      <c r="BD76" s="23"/>
      <c r="BE76" s="23"/>
      <c r="BF76" s="11"/>
      <c r="BG76" s="23"/>
      <c r="BH76" s="23"/>
      <c r="BI76" s="23"/>
      <c r="BJ76" s="11"/>
      <c r="BK76" s="23"/>
      <c r="BL76" s="23"/>
      <c r="BM76" s="23"/>
      <c r="BN76" s="11"/>
      <c r="BO76" s="23"/>
      <c r="BP76" s="23"/>
      <c r="BQ76" s="23"/>
      <c r="BR76" s="11"/>
      <c r="BS76" s="23"/>
      <c r="BT76" s="23"/>
      <c r="BU76" s="23"/>
      <c r="BV76" s="11"/>
      <c r="BW76" s="23"/>
      <c r="BX76" s="23"/>
      <c r="BY76" s="23"/>
      <c r="BZ76" s="11"/>
      <c r="CA76" s="23"/>
      <c r="CB76" s="23"/>
      <c r="CC76" s="23"/>
      <c r="CD76" s="11"/>
      <c r="CE76" s="3"/>
      <c r="CF76" s="3"/>
      <c r="CG76" s="3"/>
      <c r="CH76" s="3"/>
      <c r="CI76" s="3"/>
      <c r="CJ76" s="3"/>
      <c r="CK76" s="3"/>
      <c r="CL76" s="3"/>
      <c r="CM76" s="3"/>
      <c r="CN76" s="3"/>
      <c r="CO76" s="3"/>
      <c r="CP76" s="3"/>
      <c r="CQ76" s="3"/>
      <c r="CR76" s="3"/>
      <c r="CS76" s="3"/>
      <c r="CT76" s="3"/>
    </row>
    <row r="77" spans="1:98" x14ac:dyDescent="0.2">
      <c r="B77" s="138"/>
      <c r="C77" s="23"/>
      <c r="D77" s="23"/>
      <c r="E77" s="23"/>
      <c r="F77" s="11"/>
      <c r="G77" s="23"/>
      <c r="H77" s="23"/>
      <c r="I77" s="23"/>
      <c r="J77" s="11"/>
      <c r="K77" s="23"/>
      <c r="L77" s="23"/>
      <c r="M77" s="23"/>
      <c r="N77" s="11"/>
      <c r="O77" s="23"/>
      <c r="P77" s="23"/>
      <c r="Q77" s="23"/>
      <c r="R77" s="11"/>
      <c r="S77" s="23"/>
      <c r="T77" s="23"/>
      <c r="U77" s="23"/>
      <c r="V77" s="11"/>
      <c r="W77" s="23"/>
      <c r="X77" s="23"/>
      <c r="Y77" s="23"/>
      <c r="Z77" s="11"/>
      <c r="AA77" s="23"/>
      <c r="AB77" s="23"/>
      <c r="AC77" s="23"/>
      <c r="AD77" s="11"/>
      <c r="AE77" s="23"/>
      <c r="AF77" s="23"/>
      <c r="AG77" s="23"/>
      <c r="AH77" s="11"/>
      <c r="AI77" s="23"/>
      <c r="AJ77" s="23"/>
      <c r="AK77" s="23"/>
      <c r="AL77" s="11"/>
      <c r="AM77" s="23"/>
      <c r="AN77" s="23"/>
      <c r="AO77" s="23"/>
      <c r="AP77" s="11"/>
      <c r="AQ77" s="23"/>
      <c r="AR77" s="23"/>
      <c r="AS77" s="23"/>
      <c r="AT77" s="11"/>
      <c r="AU77" s="23"/>
      <c r="AV77" s="23"/>
      <c r="AW77" s="23"/>
      <c r="AX77" s="11"/>
      <c r="AY77" s="23"/>
      <c r="AZ77" s="23"/>
      <c r="BA77" s="23"/>
      <c r="BB77" s="11"/>
      <c r="BC77" s="23"/>
      <c r="BD77" s="23"/>
      <c r="BE77" s="23"/>
      <c r="BF77" s="11"/>
      <c r="BG77" s="23"/>
      <c r="BH77" s="23"/>
      <c r="BI77" s="23"/>
      <c r="BJ77" s="11"/>
      <c r="BK77" s="23"/>
      <c r="BL77" s="23"/>
      <c r="BM77" s="23"/>
      <c r="BN77" s="11"/>
      <c r="BO77" s="23"/>
      <c r="BP77" s="23"/>
      <c r="BQ77" s="23"/>
      <c r="BR77" s="11"/>
      <c r="BS77" s="23"/>
      <c r="BT77" s="23"/>
      <c r="BU77" s="23"/>
      <c r="BV77" s="11"/>
      <c r="BW77" s="23"/>
      <c r="BX77" s="23"/>
      <c r="BY77" s="23"/>
      <c r="BZ77" s="11"/>
      <c r="CA77" s="23"/>
      <c r="CB77" s="23"/>
      <c r="CC77" s="23"/>
      <c r="CD77" s="11"/>
      <c r="CE77" s="3"/>
      <c r="CF77" s="3"/>
      <c r="CG77" s="3"/>
      <c r="CH77" s="3"/>
      <c r="CI77" s="3"/>
      <c r="CJ77" s="3"/>
      <c r="CK77" s="3"/>
      <c r="CL77" s="3"/>
      <c r="CM77" s="3"/>
      <c r="CN77" s="3"/>
      <c r="CO77" s="3"/>
      <c r="CP77" s="3"/>
      <c r="CQ77" s="3"/>
      <c r="CR77" s="3"/>
      <c r="CS77" s="3"/>
      <c r="CT77" s="3"/>
    </row>
    <row r="78" spans="1:98" ht="15.75" x14ac:dyDescent="0.3">
      <c r="B78" s="173" t="s">
        <v>99</v>
      </c>
      <c r="C78" s="23"/>
      <c r="D78" s="23"/>
      <c r="E78" s="23"/>
      <c r="F78" s="11"/>
      <c r="G78" s="23"/>
      <c r="H78" s="23"/>
      <c r="I78" s="23"/>
      <c r="J78" s="11"/>
      <c r="K78" s="23"/>
      <c r="L78" s="23"/>
      <c r="M78" s="23"/>
      <c r="N78" s="11"/>
      <c r="O78" s="23"/>
      <c r="P78" s="23"/>
      <c r="Q78" s="23"/>
      <c r="R78" s="11"/>
      <c r="S78" s="23"/>
      <c r="T78" s="23"/>
      <c r="U78" s="23"/>
      <c r="V78" s="11"/>
      <c r="W78" s="23"/>
      <c r="X78" s="23"/>
      <c r="Y78" s="23"/>
      <c r="Z78" s="11"/>
      <c r="AA78" s="23"/>
      <c r="AB78" s="23"/>
      <c r="AC78" s="23"/>
      <c r="AD78" s="11"/>
      <c r="AE78" s="23"/>
      <c r="AF78" s="23"/>
      <c r="AG78" s="23"/>
      <c r="AH78" s="11"/>
      <c r="AI78" s="23"/>
      <c r="AJ78" s="23"/>
      <c r="AK78" s="23"/>
      <c r="AL78" s="11"/>
      <c r="AM78" s="23"/>
      <c r="AN78" s="23"/>
      <c r="AO78" s="23"/>
      <c r="AP78" s="11"/>
      <c r="AQ78" s="23"/>
      <c r="AR78" s="23"/>
      <c r="AS78" s="23"/>
      <c r="AT78" s="11"/>
      <c r="AU78" s="23"/>
      <c r="AV78" s="23"/>
      <c r="AW78" s="23"/>
      <c r="AX78" s="11"/>
      <c r="AY78" s="23"/>
      <c r="AZ78" s="23"/>
      <c r="BA78" s="23"/>
      <c r="BB78" s="11"/>
      <c r="BC78" s="23"/>
      <c r="BD78" s="23"/>
      <c r="BE78" s="23"/>
      <c r="BF78" s="11"/>
      <c r="BG78" s="23"/>
      <c r="BH78" s="23"/>
      <c r="BI78" s="23"/>
      <c r="BJ78" s="11"/>
      <c r="BK78" s="23"/>
      <c r="BL78" s="23"/>
      <c r="BM78" s="23"/>
      <c r="BN78" s="11"/>
      <c r="BO78" s="23"/>
      <c r="BP78" s="23"/>
      <c r="BQ78" s="23"/>
      <c r="BR78" s="11"/>
      <c r="BS78" s="23"/>
      <c r="BT78" s="23"/>
      <c r="BU78" s="23"/>
      <c r="BV78" s="11"/>
      <c r="BW78" s="23"/>
      <c r="BX78" s="23"/>
      <c r="BY78" s="23"/>
      <c r="BZ78" s="11"/>
      <c r="CA78" s="23"/>
      <c r="CB78" s="23"/>
      <c r="CC78" s="23"/>
      <c r="CD78" s="11"/>
      <c r="CE78" s="3"/>
      <c r="CF78" s="3"/>
      <c r="CG78" s="3"/>
      <c r="CH78" s="3"/>
      <c r="CI78" s="3"/>
      <c r="CJ78" s="3"/>
      <c r="CK78" s="3"/>
      <c r="CL78" s="3"/>
      <c r="CM78" s="3"/>
      <c r="CN78" s="3"/>
      <c r="CO78" s="3"/>
      <c r="CP78" s="3"/>
      <c r="CQ78" s="3"/>
      <c r="CR78" s="3"/>
      <c r="CS78" s="3"/>
      <c r="CT78" s="3"/>
    </row>
    <row r="79" spans="1:98" ht="15.75" x14ac:dyDescent="0.3">
      <c r="B79" s="173" t="s">
        <v>64</v>
      </c>
      <c r="C79" s="23"/>
      <c r="D79" s="23"/>
      <c r="E79" s="23"/>
      <c r="F79" s="11"/>
      <c r="G79" s="23"/>
      <c r="H79" s="23"/>
      <c r="I79" s="23"/>
      <c r="J79" s="11"/>
      <c r="K79" s="23"/>
      <c r="L79" s="23"/>
      <c r="M79" s="23"/>
      <c r="N79" s="11"/>
      <c r="O79" s="23"/>
      <c r="P79" s="23"/>
      <c r="Q79" s="23"/>
      <c r="R79" s="11"/>
      <c r="S79" s="23"/>
      <c r="T79" s="23"/>
      <c r="U79" s="23"/>
      <c r="V79" s="11"/>
      <c r="W79" s="23"/>
      <c r="X79" s="23"/>
      <c r="Y79" s="23"/>
      <c r="Z79" s="11"/>
      <c r="AA79" s="23"/>
      <c r="AB79" s="23"/>
      <c r="AC79" s="23"/>
      <c r="AD79" s="11"/>
      <c r="AE79" s="23"/>
      <c r="AF79" s="23"/>
      <c r="AG79" s="23"/>
      <c r="AH79" s="11"/>
      <c r="AI79" s="23"/>
      <c r="AJ79" s="23"/>
      <c r="AK79" s="23"/>
      <c r="AL79" s="11"/>
      <c r="AM79" s="23"/>
      <c r="AN79" s="23"/>
      <c r="AO79" s="23"/>
      <c r="AP79" s="11"/>
      <c r="AQ79" s="23"/>
      <c r="AR79" s="23"/>
      <c r="AS79" s="23"/>
      <c r="AT79" s="11"/>
      <c r="AU79" s="23"/>
      <c r="AV79" s="23"/>
      <c r="AW79" s="23"/>
      <c r="AX79" s="11"/>
      <c r="AY79" s="23"/>
      <c r="AZ79" s="23"/>
      <c r="BA79" s="23"/>
      <c r="BB79" s="11"/>
      <c r="BC79" s="23"/>
      <c r="BD79" s="23"/>
      <c r="BE79" s="23"/>
      <c r="BF79" s="11"/>
      <c r="BG79" s="23"/>
      <c r="BH79" s="23"/>
      <c r="BI79" s="23"/>
      <c r="BJ79" s="11"/>
      <c r="BK79" s="23"/>
      <c r="BL79" s="23"/>
      <c r="BM79" s="23"/>
      <c r="BN79" s="11"/>
      <c r="BO79" s="23"/>
      <c r="BP79" s="23"/>
      <c r="BQ79" s="23"/>
      <c r="BR79" s="11"/>
      <c r="BS79" s="23"/>
      <c r="BT79" s="23"/>
      <c r="BU79" s="23"/>
      <c r="BV79" s="11"/>
      <c r="BW79" s="23"/>
      <c r="BX79" s="23"/>
      <c r="BY79" s="23"/>
      <c r="BZ79" s="11"/>
      <c r="CA79" s="23"/>
      <c r="CB79" s="23"/>
      <c r="CC79" s="23"/>
      <c r="CD79" s="11"/>
      <c r="CE79" s="3"/>
      <c r="CF79" s="3"/>
      <c r="CG79" s="3"/>
      <c r="CH79" s="3"/>
      <c r="CI79" s="3"/>
      <c r="CJ79" s="3"/>
      <c r="CK79" s="3"/>
      <c r="CL79" s="3"/>
      <c r="CM79" s="3"/>
      <c r="CN79" s="3"/>
      <c r="CO79" s="3"/>
      <c r="CP79" s="3"/>
      <c r="CQ79" s="3"/>
      <c r="CR79" s="3"/>
      <c r="CS79" s="3"/>
      <c r="CT79" s="3"/>
    </row>
    <row r="80" spans="1:98" x14ac:dyDescent="0.2">
      <c r="B80" s="139" t="s">
        <v>181</v>
      </c>
      <c r="C80" s="23"/>
      <c r="D80" s="23"/>
      <c r="E80" s="23"/>
      <c r="F80" s="11"/>
      <c r="G80" s="23"/>
      <c r="H80" s="23"/>
      <c r="I80" s="23"/>
      <c r="J80" s="11"/>
      <c r="K80" s="23"/>
      <c r="L80" s="23"/>
      <c r="M80" s="23"/>
      <c r="N80" s="11"/>
      <c r="O80" s="23"/>
      <c r="P80" s="23"/>
      <c r="Q80" s="23"/>
      <c r="R80" s="11"/>
      <c r="S80" s="23"/>
      <c r="T80" s="23"/>
      <c r="U80" s="23"/>
      <c r="V80" s="11"/>
      <c r="W80" s="23"/>
      <c r="X80" s="23"/>
      <c r="Y80" s="23"/>
      <c r="Z80" s="11"/>
      <c r="AA80" s="23"/>
      <c r="AB80" s="23"/>
      <c r="AC80" s="23"/>
      <c r="AD80" s="11"/>
      <c r="AE80" s="23"/>
      <c r="AF80" s="23"/>
      <c r="AG80" s="23"/>
      <c r="AH80" s="11"/>
      <c r="AI80" s="23"/>
      <c r="AJ80" s="23"/>
      <c r="AK80" s="23"/>
      <c r="AL80" s="11"/>
      <c r="AM80" s="23"/>
      <c r="AN80" s="23"/>
      <c r="AO80" s="23"/>
      <c r="AP80" s="11"/>
      <c r="AQ80" s="23"/>
      <c r="AR80" s="23"/>
      <c r="AS80" s="23"/>
      <c r="AT80" s="11"/>
      <c r="AU80" s="23"/>
      <c r="AV80" s="23"/>
      <c r="AW80" s="23"/>
      <c r="AX80" s="11"/>
      <c r="AY80" s="23"/>
      <c r="AZ80" s="23"/>
      <c r="BA80" s="23"/>
      <c r="BB80" s="11"/>
      <c r="BC80" s="23"/>
      <c r="BD80" s="23"/>
      <c r="BE80" s="23"/>
      <c r="BF80" s="11"/>
      <c r="BG80" s="23"/>
      <c r="BH80" s="23"/>
      <c r="BI80" s="23"/>
      <c r="BJ80" s="11"/>
      <c r="BK80" s="23"/>
      <c r="BL80" s="23"/>
      <c r="BM80" s="23"/>
      <c r="BN80" s="11"/>
      <c r="BO80" s="23"/>
      <c r="BP80" s="23"/>
      <c r="BQ80" s="23"/>
      <c r="BR80" s="11"/>
      <c r="BS80" s="23"/>
      <c r="BT80" s="23"/>
      <c r="BU80" s="23"/>
      <c r="BV80" s="11"/>
      <c r="BW80" s="23"/>
      <c r="BX80" s="23"/>
      <c r="BY80" s="23"/>
      <c r="BZ80" s="11"/>
      <c r="CA80" s="23"/>
      <c r="CB80" s="23"/>
      <c r="CC80" s="23"/>
      <c r="CD80" s="11"/>
      <c r="CE80" s="3"/>
      <c r="CF80" s="3"/>
      <c r="CG80" s="3"/>
      <c r="CH80" s="3"/>
      <c r="CI80" s="3"/>
      <c r="CJ80" s="3"/>
      <c r="CK80" s="3"/>
      <c r="CL80" s="3"/>
      <c r="CM80" s="3"/>
      <c r="CN80" s="3"/>
      <c r="CO80" s="3"/>
      <c r="CP80" s="3"/>
      <c r="CQ80" s="3"/>
      <c r="CR80" s="3"/>
      <c r="CS80" s="3"/>
      <c r="CT80" s="3"/>
    </row>
    <row r="81" spans="2:98" x14ac:dyDescent="0.2">
      <c r="B81" s="138"/>
      <c r="C81" s="23"/>
      <c r="D81" s="23"/>
      <c r="E81" s="23"/>
      <c r="F81" s="11"/>
      <c r="G81" s="23"/>
      <c r="H81" s="23"/>
      <c r="I81" s="23"/>
      <c r="J81" s="11"/>
      <c r="K81" s="23"/>
      <c r="L81" s="23"/>
      <c r="M81" s="23"/>
      <c r="N81" s="11"/>
      <c r="O81" s="23"/>
      <c r="P81" s="23"/>
      <c r="Q81" s="23"/>
      <c r="R81" s="11"/>
      <c r="S81" s="23"/>
      <c r="T81" s="23"/>
      <c r="U81" s="23"/>
      <c r="V81" s="11"/>
      <c r="W81" s="23"/>
      <c r="X81" s="23"/>
      <c r="Y81" s="23"/>
      <c r="Z81" s="11"/>
      <c r="AA81" s="23"/>
      <c r="AB81" s="23"/>
      <c r="AC81" s="23"/>
      <c r="AD81" s="11"/>
      <c r="AE81" s="23"/>
      <c r="AF81" s="23"/>
      <c r="AG81" s="23"/>
      <c r="AH81" s="11"/>
      <c r="AI81" s="23"/>
      <c r="AJ81" s="23"/>
      <c r="AK81" s="23"/>
      <c r="AL81" s="11"/>
      <c r="AM81" s="23"/>
      <c r="AN81" s="23"/>
      <c r="AO81" s="23"/>
      <c r="AP81" s="11"/>
      <c r="AQ81" s="23"/>
      <c r="AR81" s="23"/>
      <c r="AS81" s="23"/>
      <c r="AT81" s="11"/>
      <c r="AU81" s="23"/>
      <c r="AV81" s="23"/>
      <c r="AW81" s="23"/>
      <c r="AX81" s="11"/>
      <c r="AY81" s="23"/>
      <c r="AZ81" s="23"/>
      <c r="BA81" s="23"/>
      <c r="BB81" s="11"/>
      <c r="BC81" s="23"/>
      <c r="BD81" s="23"/>
      <c r="BE81" s="23"/>
      <c r="BF81" s="11"/>
      <c r="BG81" s="23"/>
      <c r="BH81" s="23"/>
      <c r="BI81" s="23"/>
      <c r="BJ81" s="11"/>
      <c r="BK81" s="23"/>
      <c r="BL81" s="23"/>
      <c r="BM81" s="23"/>
      <c r="BN81" s="11"/>
      <c r="BO81" s="23"/>
      <c r="BP81" s="23"/>
      <c r="BQ81" s="23"/>
      <c r="BR81" s="11"/>
      <c r="BS81" s="23"/>
      <c r="BT81" s="23"/>
      <c r="BU81" s="23"/>
      <c r="BV81" s="11"/>
      <c r="BW81" s="23"/>
      <c r="BX81" s="23"/>
      <c r="BY81" s="23"/>
      <c r="BZ81" s="11"/>
      <c r="CA81" s="23"/>
      <c r="CB81" s="23"/>
      <c r="CC81" s="23"/>
      <c r="CD81" s="11"/>
      <c r="CE81" s="3"/>
      <c r="CF81" s="3"/>
      <c r="CG81" s="3"/>
      <c r="CH81" s="3"/>
      <c r="CI81" s="3"/>
      <c r="CJ81" s="3"/>
      <c r="CK81" s="3"/>
      <c r="CL81" s="3"/>
      <c r="CM81" s="3"/>
      <c r="CN81" s="3"/>
      <c r="CO81" s="3"/>
      <c r="CP81" s="3"/>
      <c r="CQ81" s="3"/>
      <c r="CR81" s="3"/>
      <c r="CS81" s="3"/>
      <c r="CT81" s="3"/>
    </row>
    <row r="82" spans="2:98" x14ac:dyDescent="0.2">
      <c r="B82" s="140"/>
      <c r="C82" s="23"/>
      <c r="D82" s="23"/>
      <c r="E82" s="23"/>
      <c r="F82" s="11"/>
      <c r="G82" s="23"/>
      <c r="H82" s="23"/>
      <c r="I82" s="23"/>
      <c r="J82" s="11"/>
      <c r="K82" s="23"/>
      <c r="L82" s="23"/>
      <c r="M82" s="23"/>
      <c r="N82" s="11"/>
      <c r="O82" s="23"/>
      <c r="P82" s="23"/>
      <c r="Q82" s="23"/>
      <c r="R82" s="11"/>
      <c r="S82" s="23"/>
      <c r="T82" s="23"/>
      <c r="U82" s="23"/>
      <c r="V82" s="11"/>
      <c r="W82" s="23"/>
      <c r="X82" s="23"/>
      <c r="Y82" s="23"/>
      <c r="Z82" s="11"/>
      <c r="AA82" s="23"/>
      <c r="AB82" s="23"/>
      <c r="AC82" s="23"/>
      <c r="AD82" s="11"/>
      <c r="AE82" s="23"/>
      <c r="AF82" s="23"/>
      <c r="AG82" s="23"/>
      <c r="AH82" s="11"/>
      <c r="AI82" s="23"/>
      <c r="AJ82" s="23"/>
      <c r="AK82" s="23"/>
      <c r="AL82" s="11"/>
      <c r="AM82" s="23"/>
      <c r="AN82" s="23"/>
      <c r="AO82" s="23"/>
      <c r="AP82" s="11"/>
      <c r="AQ82" s="23"/>
      <c r="AR82" s="23"/>
      <c r="AS82" s="23"/>
      <c r="AT82" s="11"/>
      <c r="AU82" s="23"/>
      <c r="AV82" s="23"/>
      <c r="AW82" s="23"/>
      <c r="AX82" s="11"/>
      <c r="AY82" s="23"/>
      <c r="AZ82" s="23"/>
      <c r="BA82" s="23"/>
      <c r="BB82" s="11"/>
      <c r="BC82" s="23"/>
      <c r="BD82" s="23"/>
      <c r="BE82" s="23"/>
      <c r="BF82" s="11"/>
      <c r="BG82" s="23"/>
      <c r="BH82" s="23"/>
      <c r="BI82" s="23"/>
      <c r="BJ82" s="11"/>
      <c r="BK82" s="23"/>
      <c r="BL82" s="23"/>
      <c r="BM82" s="23"/>
      <c r="BN82" s="11"/>
      <c r="BO82" s="23"/>
      <c r="BP82" s="23"/>
      <c r="BQ82" s="23"/>
      <c r="BR82" s="11"/>
      <c r="BS82" s="23"/>
      <c r="BT82" s="23"/>
      <c r="BU82" s="23"/>
      <c r="BV82" s="11"/>
      <c r="BW82" s="23"/>
      <c r="BX82" s="23"/>
      <c r="BY82" s="23"/>
      <c r="BZ82" s="11"/>
      <c r="CA82" s="23"/>
      <c r="CB82" s="23"/>
      <c r="CC82" s="23"/>
      <c r="CD82" s="11"/>
      <c r="CE82" s="3"/>
      <c r="CF82" s="3"/>
      <c r="CG82" s="3"/>
      <c r="CH82" s="3"/>
      <c r="CI82" s="3"/>
      <c r="CJ82" s="3"/>
      <c r="CK82" s="3"/>
      <c r="CL82" s="3"/>
      <c r="CM82" s="3"/>
      <c r="CN82" s="3"/>
      <c r="CO82" s="3"/>
      <c r="CP82" s="3"/>
      <c r="CQ82" s="3"/>
      <c r="CR82" s="3"/>
      <c r="CS82" s="3"/>
      <c r="CT82" s="3"/>
    </row>
    <row r="83" spans="2:98" x14ac:dyDescent="0.2">
      <c r="B83" s="260" t="s">
        <v>76</v>
      </c>
      <c r="C83" s="23"/>
      <c r="D83" s="23"/>
      <c r="E83" s="23"/>
      <c r="F83" s="11"/>
      <c r="G83" s="23"/>
      <c r="H83" s="23"/>
      <c r="I83" s="23"/>
      <c r="J83" s="11"/>
      <c r="K83" s="23"/>
      <c r="L83" s="23"/>
      <c r="M83" s="23"/>
      <c r="N83" s="11"/>
      <c r="O83" s="23"/>
      <c r="P83" s="23"/>
      <c r="Q83" s="23"/>
      <c r="R83" s="11"/>
      <c r="S83" s="23"/>
      <c r="T83" s="23"/>
      <c r="U83" s="23"/>
      <c r="V83" s="11"/>
      <c r="W83" s="23"/>
      <c r="X83" s="23"/>
      <c r="Y83" s="23"/>
      <c r="Z83" s="11"/>
      <c r="AA83" s="23"/>
      <c r="AB83" s="23"/>
      <c r="AC83" s="23"/>
      <c r="AD83" s="11"/>
      <c r="AE83" s="23"/>
      <c r="AF83" s="23"/>
      <c r="AG83" s="23"/>
      <c r="AH83" s="11"/>
      <c r="AI83" s="23"/>
      <c r="AJ83" s="23"/>
      <c r="AK83" s="23"/>
      <c r="AL83" s="11"/>
      <c r="AM83" s="23"/>
      <c r="AN83" s="23"/>
      <c r="AO83" s="23"/>
      <c r="AP83" s="11"/>
      <c r="AQ83" s="23"/>
      <c r="AR83" s="23"/>
      <c r="AS83" s="23"/>
      <c r="AT83" s="11"/>
      <c r="AU83" s="23"/>
      <c r="AV83" s="23"/>
      <c r="AW83" s="23"/>
      <c r="AX83" s="11"/>
      <c r="AY83" s="23"/>
      <c r="AZ83" s="23"/>
      <c r="BA83" s="23"/>
      <c r="BB83" s="11"/>
      <c r="BC83" s="23"/>
      <c r="BD83" s="23"/>
      <c r="BE83" s="23"/>
      <c r="BF83" s="11"/>
      <c r="BG83" s="23"/>
      <c r="BH83" s="23"/>
      <c r="BI83" s="23"/>
      <c r="BJ83" s="11"/>
      <c r="BK83" s="23"/>
      <c r="BL83" s="23"/>
      <c r="BM83" s="23"/>
      <c r="BN83" s="11"/>
      <c r="BO83" s="23"/>
      <c r="BP83" s="23"/>
      <c r="BQ83" s="23"/>
      <c r="BR83" s="11"/>
      <c r="BS83" s="23"/>
      <c r="BT83" s="23"/>
      <c r="BU83" s="23"/>
      <c r="BV83" s="11"/>
      <c r="BW83" s="23"/>
      <c r="BX83" s="23"/>
      <c r="BY83" s="23"/>
      <c r="BZ83" s="11"/>
      <c r="CA83" s="23"/>
      <c r="CB83" s="23"/>
      <c r="CC83" s="23"/>
      <c r="CD83" s="11"/>
      <c r="CE83" s="3"/>
      <c r="CF83" s="3"/>
      <c r="CG83" s="3"/>
      <c r="CH83" s="3"/>
      <c r="CI83" s="3"/>
      <c r="CJ83" s="3"/>
      <c r="CK83" s="3"/>
      <c r="CL83" s="3"/>
      <c r="CM83" s="3"/>
      <c r="CN83" s="3"/>
      <c r="CO83" s="3"/>
      <c r="CP83" s="3"/>
      <c r="CQ83" s="3"/>
      <c r="CR83" s="3"/>
      <c r="CS83" s="3"/>
      <c r="CT83" s="3"/>
    </row>
    <row r="84" spans="2:98" x14ac:dyDescent="0.2">
      <c r="B84" s="140" t="s">
        <v>180</v>
      </c>
      <c r="C84" s="23"/>
      <c r="D84" s="23"/>
      <c r="E84" s="23"/>
      <c r="F84" s="11"/>
      <c r="G84" s="23"/>
      <c r="H84" s="23"/>
      <c r="I84" s="23"/>
      <c r="J84" s="11"/>
      <c r="K84" s="23"/>
      <c r="L84" s="23"/>
      <c r="M84" s="23"/>
      <c r="N84" s="11"/>
      <c r="O84" s="23"/>
      <c r="P84" s="23"/>
      <c r="Q84" s="23"/>
      <c r="R84" s="11"/>
      <c r="S84" s="23"/>
      <c r="T84" s="23"/>
      <c r="U84" s="23"/>
      <c r="V84" s="11"/>
      <c r="W84" s="23"/>
      <c r="X84" s="23"/>
      <c r="Y84" s="23"/>
      <c r="Z84" s="11"/>
      <c r="AA84" s="23"/>
      <c r="AB84" s="23"/>
      <c r="AC84" s="23"/>
      <c r="AD84" s="11"/>
      <c r="AE84" s="23"/>
      <c r="AF84" s="23"/>
      <c r="AG84" s="23"/>
      <c r="AH84" s="11"/>
      <c r="AI84" s="23"/>
      <c r="AJ84" s="23"/>
      <c r="AK84" s="23"/>
      <c r="AL84" s="11"/>
      <c r="AM84" s="23"/>
      <c r="AN84" s="23"/>
      <c r="AO84" s="23"/>
      <c r="AP84" s="11"/>
      <c r="AQ84" s="23"/>
      <c r="AR84" s="23"/>
      <c r="AS84" s="23"/>
      <c r="AT84" s="11"/>
      <c r="AU84" s="23"/>
      <c r="AV84" s="23"/>
      <c r="AW84" s="23"/>
      <c r="AX84" s="11"/>
      <c r="AY84" s="23"/>
      <c r="AZ84" s="23"/>
      <c r="BA84" s="23"/>
      <c r="BB84" s="11"/>
      <c r="BC84" s="23"/>
      <c r="BD84" s="23"/>
      <c r="BE84" s="23"/>
      <c r="BF84" s="11"/>
      <c r="BG84" s="23"/>
      <c r="BH84" s="23"/>
      <c r="BI84" s="23"/>
      <c r="BJ84" s="11"/>
      <c r="BK84" s="23"/>
      <c r="BL84" s="23"/>
      <c r="BM84" s="23"/>
      <c r="BN84" s="11"/>
      <c r="BO84" s="23"/>
      <c r="BP84" s="23"/>
      <c r="BQ84" s="23"/>
      <c r="BR84" s="11"/>
      <c r="BS84" s="23"/>
      <c r="BT84" s="23"/>
      <c r="BU84" s="23"/>
      <c r="BV84" s="11"/>
      <c r="BW84" s="23"/>
      <c r="BX84" s="23"/>
      <c r="BY84" s="23"/>
      <c r="BZ84" s="11"/>
      <c r="CA84" s="23"/>
      <c r="CB84" s="23"/>
      <c r="CC84" s="23"/>
      <c r="CD84" s="11"/>
      <c r="CE84" s="3"/>
      <c r="CF84" s="3"/>
      <c r="CG84" s="3"/>
      <c r="CH84" s="3"/>
      <c r="CI84" s="3"/>
      <c r="CJ84" s="3"/>
      <c r="CK84" s="3"/>
      <c r="CL84" s="3"/>
      <c r="CM84" s="3"/>
      <c r="CN84" s="3"/>
      <c r="CO84" s="3"/>
      <c r="CP84" s="3"/>
      <c r="CQ84" s="3"/>
      <c r="CR84" s="3"/>
      <c r="CS84" s="3"/>
      <c r="CT84" s="3"/>
    </row>
    <row r="85" spans="2:98" x14ac:dyDescent="0.2">
      <c r="B85" s="261" t="s">
        <v>179</v>
      </c>
      <c r="C85" s="23"/>
      <c r="D85" s="23"/>
      <c r="E85" s="23"/>
      <c r="F85" s="11"/>
      <c r="G85" s="23"/>
      <c r="H85" s="23"/>
      <c r="I85" s="23"/>
      <c r="J85" s="11"/>
      <c r="K85" s="23"/>
      <c r="L85" s="23"/>
      <c r="M85" s="23"/>
      <c r="N85" s="11"/>
      <c r="O85" s="23"/>
      <c r="P85" s="23"/>
      <c r="Q85" s="23"/>
      <c r="R85" s="11"/>
      <c r="S85" s="23"/>
      <c r="T85" s="23"/>
      <c r="U85" s="23"/>
      <c r="V85" s="11"/>
      <c r="W85" s="23"/>
      <c r="X85" s="23"/>
      <c r="Y85" s="23"/>
      <c r="Z85" s="11"/>
      <c r="AA85" s="23"/>
      <c r="AB85" s="23"/>
      <c r="AC85" s="23"/>
      <c r="AD85" s="11"/>
      <c r="AE85" s="23"/>
      <c r="AF85" s="23"/>
      <c r="AG85" s="23"/>
      <c r="AH85" s="11"/>
      <c r="AI85" s="23"/>
      <c r="AJ85" s="23"/>
      <c r="AK85" s="23"/>
      <c r="AL85" s="11"/>
      <c r="AM85" s="23"/>
      <c r="AN85" s="23"/>
      <c r="AO85" s="23"/>
      <c r="AP85" s="11"/>
      <c r="AQ85" s="23"/>
      <c r="AR85" s="23"/>
      <c r="AS85" s="23"/>
      <c r="AT85" s="11"/>
      <c r="AU85" s="23"/>
      <c r="AV85" s="23"/>
      <c r="AW85" s="23"/>
      <c r="AX85" s="11"/>
      <c r="AY85" s="23"/>
      <c r="AZ85" s="23"/>
      <c r="BA85" s="23"/>
      <c r="BB85" s="11"/>
      <c r="BC85" s="23"/>
      <c r="BD85" s="23"/>
      <c r="BE85" s="23"/>
      <c r="BF85" s="11"/>
      <c r="BG85" s="23"/>
      <c r="BH85" s="23"/>
      <c r="BI85" s="23"/>
      <c r="BJ85" s="11"/>
      <c r="BK85" s="23"/>
      <c r="BL85" s="23"/>
      <c r="BM85" s="23"/>
      <c r="BN85" s="11"/>
      <c r="BO85" s="23"/>
      <c r="BP85" s="23"/>
      <c r="BQ85" s="23"/>
      <c r="BR85" s="11"/>
      <c r="BS85" s="23"/>
      <c r="BT85" s="23"/>
      <c r="BU85" s="23"/>
      <c r="BV85" s="11"/>
      <c r="BW85" s="23"/>
      <c r="BX85" s="23"/>
      <c r="BY85" s="23"/>
      <c r="BZ85" s="11"/>
      <c r="CA85" s="23"/>
      <c r="CB85" s="23"/>
      <c r="CC85" s="23"/>
      <c r="CD85" s="11"/>
      <c r="CE85" s="3"/>
      <c r="CF85" s="3"/>
      <c r="CG85" s="3"/>
      <c r="CH85" s="3"/>
      <c r="CI85" s="3"/>
      <c r="CJ85" s="3"/>
      <c r="CK85" s="3"/>
      <c r="CL85" s="3"/>
      <c r="CM85" s="3"/>
      <c r="CN85" s="3"/>
      <c r="CO85" s="3"/>
      <c r="CP85" s="3"/>
      <c r="CQ85" s="3"/>
      <c r="CR85" s="3"/>
      <c r="CS85" s="3"/>
      <c r="CT85" s="3"/>
    </row>
    <row r="86" spans="2:98" x14ac:dyDescent="0.2">
      <c r="B86" s="257"/>
      <c r="C86" s="83"/>
      <c r="D86" s="83"/>
      <c r="E86" s="83"/>
      <c r="F86" s="11"/>
      <c r="G86" s="83"/>
      <c r="H86" s="83"/>
      <c r="I86" s="83"/>
      <c r="J86" s="11"/>
      <c r="K86" s="83"/>
      <c r="L86" s="83"/>
      <c r="M86" s="83"/>
      <c r="N86" s="11"/>
      <c r="O86" s="83"/>
      <c r="P86" s="83"/>
      <c r="Q86" s="83"/>
      <c r="R86" s="11"/>
      <c r="S86" s="83"/>
      <c r="T86" s="83"/>
      <c r="U86" s="83"/>
      <c r="V86" s="11"/>
      <c r="W86" s="83"/>
      <c r="X86" s="83"/>
      <c r="Y86" s="83"/>
      <c r="Z86" s="11"/>
      <c r="AA86" s="83"/>
      <c r="AB86" s="83"/>
      <c r="AC86" s="83"/>
      <c r="AD86" s="11"/>
      <c r="AE86" s="83"/>
      <c r="AF86" s="83"/>
      <c r="AG86" s="83"/>
      <c r="AH86" s="11"/>
      <c r="AI86" s="83"/>
      <c r="AJ86" s="83"/>
      <c r="AK86" s="83"/>
      <c r="AL86" s="11"/>
      <c r="AM86" s="83"/>
      <c r="AN86" s="83"/>
      <c r="AO86" s="83"/>
      <c r="AP86" s="11"/>
      <c r="AQ86" s="84"/>
      <c r="AR86" s="84"/>
      <c r="AS86" s="84"/>
      <c r="AT86" s="91"/>
      <c r="AU86" s="84"/>
      <c r="AV86" s="84"/>
      <c r="AW86" s="84"/>
      <c r="AX86" s="91"/>
      <c r="AY86" s="84"/>
      <c r="AZ86" s="84"/>
      <c r="BA86" s="84"/>
      <c r="BB86" s="91"/>
      <c r="BC86" s="84"/>
      <c r="BD86" s="84"/>
      <c r="BE86" s="84"/>
      <c r="BF86" s="91"/>
      <c r="BG86" s="84"/>
      <c r="BH86" s="84"/>
      <c r="BI86" s="84"/>
      <c r="BJ86" s="91"/>
      <c r="BK86" s="84"/>
      <c r="BL86" s="84"/>
      <c r="BM86" s="84"/>
      <c r="BN86" s="91"/>
      <c r="BO86" s="84"/>
      <c r="BP86" s="84"/>
      <c r="BQ86" s="84"/>
      <c r="BR86" s="91"/>
      <c r="BS86" s="84"/>
      <c r="BT86" s="84"/>
      <c r="BU86" s="84"/>
      <c r="BV86" s="91"/>
      <c r="BW86" s="84"/>
      <c r="BX86" s="84"/>
      <c r="BY86" s="84"/>
      <c r="BZ86" s="91"/>
      <c r="CA86" s="84"/>
      <c r="CB86" s="84"/>
      <c r="CC86" s="84"/>
      <c r="CD86" s="91"/>
      <c r="CE86" s="4"/>
      <c r="CF86" s="4"/>
      <c r="CG86" s="4"/>
      <c r="CH86" s="4"/>
      <c r="CI86" s="4"/>
      <c r="CJ86" s="4"/>
      <c r="CK86" s="4"/>
      <c r="CL86" s="4"/>
      <c r="CM86" s="4"/>
      <c r="CN86" s="4"/>
      <c r="CO86" s="4"/>
      <c r="CP86" s="4"/>
      <c r="CQ86" s="4"/>
      <c r="CR86" s="4"/>
      <c r="CS86" s="4"/>
      <c r="CT86" s="4"/>
    </row>
    <row r="87" spans="2:98" ht="15.75" x14ac:dyDescent="0.3">
      <c r="B87" s="173" t="s">
        <v>100</v>
      </c>
      <c r="C87" s="83"/>
      <c r="D87" s="83"/>
      <c r="E87" s="83"/>
      <c r="F87" s="11"/>
      <c r="G87" s="83"/>
      <c r="H87" s="83"/>
      <c r="I87" s="83"/>
      <c r="J87" s="11"/>
      <c r="K87" s="83"/>
      <c r="L87" s="83"/>
      <c r="M87" s="83"/>
      <c r="N87" s="11"/>
      <c r="O87" s="83"/>
      <c r="P87" s="83"/>
      <c r="Q87" s="83"/>
      <c r="R87" s="11"/>
      <c r="S87" s="83"/>
      <c r="T87" s="83"/>
      <c r="U87" s="83"/>
      <c r="V87" s="11"/>
      <c r="W87" s="83"/>
      <c r="X87" s="83"/>
      <c r="Y87" s="83"/>
      <c r="Z87" s="11"/>
      <c r="AA87" s="83"/>
      <c r="AB87" s="83"/>
      <c r="AC87" s="83"/>
      <c r="AD87" s="11"/>
      <c r="AE87" s="83"/>
      <c r="AF87" s="83"/>
      <c r="AG87" s="83"/>
      <c r="AH87" s="11"/>
      <c r="AI87" s="83"/>
      <c r="AJ87" s="83"/>
      <c r="AK87" s="83"/>
      <c r="AL87" s="11"/>
      <c r="AM87" s="83"/>
      <c r="AN87" s="83"/>
      <c r="AO87" s="83"/>
      <c r="AP87" s="11"/>
      <c r="AQ87" s="84"/>
      <c r="AR87" s="84"/>
      <c r="AS87" s="84"/>
      <c r="AT87" s="91"/>
      <c r="AU87" s="84"/>
      <c r="AV87" s="84"/>
      <c r="AW87" s="84"/>
      <c r="AX87" s="91"/>
      <c r="AY87" s="84"/>
      <c r="AZ87" s="84"/>
      <c r="BA87" s="84"/>
      <c r="BB87" s="91"/>
      <c r="BC87" s="84"/>
      <c r="BD87" s="84"/>
      <c r="BE87" s="84"/>
      <c r="BF87" s="91"/>
      <c r="BG87" s="84"/>
      <c r="BH87" s="84"/>
      <c r="BI87" s="84"/>
      <c r="BJ87" s="91"/>
      <c r="BK87" s="84"/>
      <c r="BL87" s="84"/>
      <c r="BM87" s="84"/>
      <c r="BN87" s="91"/>
      <c r="BO87" s="84"/>
      <c r="BP87" s="84"/>
      <c r="BQ87" s="84"/>
      <c r="BR87" s="91"/>
      <c r="BS87" s="84"/>
      <c r="BT87" s="84"/>
      <c r="BU87" s="84"/>
      <c r="BV87" s="91"/>
      <c r="BW87" s="84"/>
      <c r="BX87" s="84"/>
      <c r="BY87" s="84"/>
      <c r="BZ87" s="91"/>
      <c r="CA87" s="84"/>
      <c r="CB87" s="84"/>
      <c r="CC87" s="84"/>
      <c r="CD87" s="91"/>
      <c r="CE87" s="4"/>
      <c r="CF87" s="4"/>
      <c r="CG87" s="4"/>
      <c r="CH87" s="4"/>
      <c r="CI87" s="4"/>
      <c r="CJ87" s="4"/>
      <c r="CK87" s="4"/>
      <c r="CL87" s="4"/>
      <c r="CM87" s="4"/>
      <c r="CN87" s="4"/>
      <c r="CO87" s="4"/>
      <c r="CP87" s="4"/>
      <c r="CQ87" s="4"/>
      <c r="CR87" s="4"/>
      <c r="CS87" s="4"/>
      <c r="CT87" s="4"/>
    </row>
    <row r="88" spans="2:98" ht="15.75" x14ac:dyDescent="0.3">
      <c r="B88" s="173" t="s">
        <v>65</v>
      </c>
      <c r="C88" s="83"/>
      <c r="D88" s="83"/>
      <c r="E88" s="83"/>
      <c r="F88" s="11"/>
      <c r="G88" s="83"/>
      <c r="H88" s="83"/>
      <c r="I88" s="83"/>
      <c r="J88" s="11"/>
      <c r="K88" s="83"/>
      <c r="L88" s="83"/>
      <c r="M88" s="83"/>
      <c r="N88" s="11"/>
      <c r="O88" s="83"/>
      <c r="P88" s="83"/>
      <c r="Q88" s="83"/>
      <c r="R88" s="11"/>
      <c r="S88" s="83"/>
      <c r="T88" s="83"/>
      <c r="U88" s="83"/>
      <c r="V88" s="11"/>
      <c r="W88" s="83"/>
      <c r="X88" s="83"/>
      <c r="Y88" s="83"/>
      <c r="Z88" s="11"/>
      <c r="AA88" s="83"/>
      <c r="AB88" s="83"/>
      <c r="AC88" s="83"/>
      <c r="AD88" s="11"/>
      <c r="AE88" s="83"/>
      <c r="AF88" s="83"/>
      <c r="AG88" s="83"/>
      <c r="AH88" s="11"/>
      <c r="AI88" s="83"/>
      <c r="AJ88" s="83"/>
      <c r="AK88" s="83"/>
      <c r="AL88" s="11"/>
      <c r="AM88" s="83"/>
      <c r="AN88" s="83"/>
      <c r="AO88" s="83"/>
      <c r="AP88" s="11"/>
      <c r="AQ88" s="84"/>
      <c r="AR88" s="84"/>
      <c r="AS88" s="84"/>
      <c r="AT88" s="91"/>
      <c r="AU88" s="84"/>
      <c r="AV88" s="84"/>
      <c r="AW88" s="84"/>
      <c r="AX88" s="91"/>
      <c r="AY88" s="84"/>
      <c r="AZ88" s="84"/>
      <c r="BA88" s="84"/>
      <c r="BB88" s="91"/>
      <c r="BC88" s="84"/>
      <c r="BD88" s="84"/>
      <c r="BE88" s="84"/>
      <c r="BF88" s="91"/>
      <c r="BG88" s="84"/>
      <c r="BH88" s="84"/>
      <c r="BI88" s="84"/>
      <c r="BJ88" s="91"/>
      <c r="BK88" s="84"/>
      <c r="BL88" s="84"/>
      <c r="BM88" s="84"/>
      <c r="BN88" s="91"/>
      <c r="BO88" s="84"/>
      <c r="BP88" s="84"/>
      <c r="BQ88" s="84"/>
      <c r="BR88" s="91"/>
      <c r="BS88" s="84"/>
      <c r="BT88" s="84"/>
      <c r="BU88" s="84"/>
      <c r="BV88" s="91"/>
      <c r="BW88" s="84"/>
      <c r="BX88" s="84"/>
      <c r="BY88" s="84"/>
      <c r="BZ88" s="91"/>
      <c r="CA88" s="84"/>
      <c r="CB88" s="84"/>
      <c r="CC88" s="84"/>
      <c r="CD88" s="91"/>
      <c r="CE88" s="4"/>
      <c r="CF88" s="4"/>
      <c r="CG88" s="4"/>
      <c r="CH88" s="4"/>
      <c r="CI88" s="4"/>
      <c r="CJ88" s="4"/>
      <c r="CK88" s="4"/>
      <c r="CL88" s="4"/>
      <c r="CM88" s="4"/>
      <c r="CN88" s="4"/>
      <c r="CO88" s="4"/>
      <c r="CP88" s="4"/>
      <c r="CQ88" s="4"/>
      <c r="CR88" s="4"/>
      <c r="CS88" s="4"/>
      <c r="CT88" s="4"/>
    </row>
    <row r="89" spans="2:98" x14ac:dyDescent="0.2">
      <c r="B89" s="138"/>
      <c r="C89" s="83"/>
      <c r="D89" s="83"/>
      <c r="E89" s="83"/>
      <c r="F89" s="11"/>
      <c r="G89" s="83"/>
      <c r="H89" s="83"/>
      <c r="I89" s="83"/>
      <c r="J89" s="11"/>
      <c r="K89" s="83"/>
      <c r="L89" s="83"/>
      <c r="M89" s="83"/>
      <c r="N89" s="11"/>
      <c r="O89" s="83"/>
      <c r="P89" s="83"/>
      <c r="Q89" s="83"/>
      <c r="R89" s="11"/>
      <c r="S89" s="83"/>
      <c r="T89" s="83"/>
      <c r="U89" s="83"/>
      <c r="V89" s="11"/>
      <c r="W89" s="83"/>
      <c r="X89" s="83"/>
      <c r="Y89" s="83"/>
      <c r="Z89" s="11"/>
      <c r="AA89" s="83"/>
      <c r="AB89" s="83"/>
      <c r="AC89" s="83"/>
      <c r="AD89" s="11"/>
      <c r="AE89" s="83"/>
      <c r="AF89" s="83"/>
      <c r="AG89" s="83"/>
      <c r="AH89" s="11"/>
      <c r="AI89" s="83"/>
      <c r="AJ89" s="83"/>
      <c r="AK89" s="83"/>
      <c r="AL89" s="11"/>
      <c r="AM89" s="83"/>
      <c r="AN89" s="83"/>
      <c r="AO89" s="83"/>
      <c r="AP89" s="11"/>
      <c r="AQ89" s="84"/>
      <c r="AR89" s="84"/>
      <c r="AS89" s="84"/>
      <c r="AT89" s="91"/>
      <c r="AU89" s="84"/>
      <c r="AV89" s="84"/>
      <c r="AW89" s="84"/>
      <c r="AX89" s="91"/>
      <c r="AY89" s="84"/>
      <c r="AZ89" s="84"/>
      <c r="BA89" s="84"/>
      <c r="BB89" s="91"/>
      <c r="BC89" s="84"/>
      <c r="BD89" s="84"/>
      <c r="BE89" s="84"/>
      <c r="BF89" s="91"/>
      <c r="BG89" s="84"/>
      <c r="BH89" s="84"/>
      <c r="BI89" s="84"/>
      <c r="BJ89" s="91"/>
      <c r="BK89" s="84"/>
      <c r="BL89" s="84"/>
      <c r="BM89" s="84"/>
      <c r="BN89" s="91"/>
      <c r="BO89" s="84"/>
      <c r="BP89" s="84"/>
      <c r="BQ89" s="84"/>
      <c r="BR89" s="91"/>
      <c r="BS89" s="84"/>
      <c r="BT89" s="84"/>
      <c r="BU89" s="84"/>
      <c r="BV89" s="91"/>
      <c r="BW89" s="84"/>
      <c r="BX89" s="84"/>
      <c r="BY89" s="84"/>
      <c r="BZ89" s="91"/>
      <c r="CA89" s="84"/>
      <c r="CB89" s="84"/>
      <c r="CC89" s="84"/>
      <c r="CD89" s="91"/>
      <c r="CE89" s="4"/>
      <c r="CF89" s="4"/>
      <c r="CG89" s="4"/>
      <c r="CH89" s="4"/>
      <c r="CI89" s="4"/>
      <c r="CJ89" s="4"/>
      <c r="CK89" s="4"/>
      <c r="CL89" s="4"/>
      <c r="CM89" s="4"/>
      <c r="CN89" s="4"/>
      <c r="CO89" s="4"/>
      <c r="CP89" s="4"/>
      <c r="CQ89" s="4"/>
      <c r="CR89" s="4"/>
      <c r="CS89" s="4"/>
      <c r="CT89" s="4"/>
    </row>
    <row r="90" spans="2:98" x14ac:dyDescent="0.2">
      <c r="B90" s="172" t="s">
        <v>192</v>
      </c>
      <c r="C90" s="83"/>
      <c r="D90" s="83"/>
      <c r="E90" s="83"/>
      <c r="F90" s="11"/>
      <c r="G90" s="83"/>
      <c r="H90" s="83"/>
      <c r="I90" s="83"/>
      <c r="J90" s="11"/>
      <c r="K90" s="83"/>
      <c r="L90" s="83"/>
      <c r="M90" s="83"/>
      <c r="N90" s="11"/>
      <c r="O90" s="83"/>
      <c r="P90" s="83"/>
      <c r="Q90" s="83"/>
      <c r="R90" s="11"/>
      <c r="S90" s="83"/>
      <c r="T90" s="83"/>
      <c r="U90" s="83"/>
      <c r="V90" s="11"/>
      <c r="W90" s="83"/>
      <c r="X90" s="83"/>
      <c r="Y90" s="83"/>
      <c r="Z90" s="11"/>
      <c r="AA90" s="83"/>
      <c r="AB90" s="83"/>
      <c r="AC90" s="83"/>
      <c r="AD90" s="11"/>
      <c r="AE90" s="83"/>
      <c r="AF90" s="83"/>
      <c r="AG90" s="83"/>
      <c r="AH90" s="11"/>
      <c r="AI90" s="83"/>
      <c r="AJ90" s="83"/>
      <c r="AK90" s="83"/>
      <c r="AL90" s="11"/>
      <c r="AM90" s="83"/>
      <c r="AN90" s="83"/>
      <c r="AO90" s="83"/>
      <c r="AP90" s="11"/>
      <c r="AQ90" s="84"/>
      <c r="AR90" s="84"/>
      <c r="AS90" s="84"/>
      <c r="AT90" s="91"/>
      <c r="AU90" s="84"/>
      <c r="AV90" s="84"/>
      <c r="AW90" s="84"/>
      <c r="AX90" s="91"/>
      <c r="AY90" s="84"/>
      <c r="AZ90" s="84"/>
      <c r="BA90" s="84"/>
      <c r="BB90" s="91"/>
      <c r="BC90" s="84"/>
      <c r="BD90" s="84"/>
      <c r="BE90" s="84"/>
      <c r="BF90" s="91"/>
      <c r="BG90" s="84"/>
      <c r="BH90" s="84"/>
      <c r="BI90" s="84"/>
      <c r="BJ90" s="91"/>
      <c r="BK90" s="84"/>
      <c r="BL90" s="84"/>
      <c r="BM90" s="84"/>
      <c r="BN90" s="91"/>
      <c r="BO90" s="84"/>
      <c r="BP90" s="84"/>
      <c r="BQ90" s="84"/>
      <c r="BR90" s="91"/>
      <c r="BS90" s="84"/>
      <c r="BT90" s="84"/>
      <c r="BU90" s="84"/>
      <c r="BV90" s="91"/>
      <c r="BW90" s="84"/>
      <c r="BX90" s="84"/>
      <c r="BY90" s="84"/>
      <c r="BZ90" s="91"/>
      <c r="CA90" s="84"/>
      <c r="CB90" s="84"/>
      <c r="CC90" s="84"/>
      <c r="CD90" s="91"/>
      <c r="CE90" s="4"/>
      <c r="CF90" s="4"/>
      <c r="CG90" s="4"/>
      <c r="CH90" s="4"/>
      <c r="CI90" s="4"/>
      <c r="CJ90" s="4"/>
      <c r="CK90" s="4"/>
      <c r="CL90" s="4"/>
      <c r="CM90" s="4"/>
      <c r="CN90" s="4"/>
      <c r="CO90" s="4"/>
      <c r="CP90" s="4"/>
      <c r="CQ90" s="4"/>
      <c r="CR90" s="4"/>
      <c r="CS90" s="4"/>
      <c r="CT90" s="4"/>
    </row>
    <row r="91" spans="2:98" x14ac:dyDescent="0.2">
      <c r="B91" s="138"/>
      <c r="C91" s="83"/>
      <c r="D91" s="83"/>
      <c r="E91" s="83"/>
      <c r="F91" s="11"/>
      <c r="G91" s="83"/>
      <c r="H91" s="83"/>
      <c r="I91" s="83"/>
      <c r="J91" s="11"/>
      <c r="K91" s="83"/>
      <c r="L91" s="83"/>
      <c r="M91" s="83"/>
      <c r="N91" s="11"/>
      <c r="O91" s="83"/>
      <c r="P91" s="83"/>
      <c r="Q91" s="83"/>
      <c r="R91" s="11"/>
      <c r="S91" s="83"/>
      <c r="T91" s="83"/>
      <c r="U91" s="83"/>
      <c r="V91" s="11"/>
      <c r="W91" s="83"/>
      <c r="X91" s="83"/>
      <c r="Y91" s="83"/>
      <c r="Z91" s="11"/>
      <c r="AA91" s="83"/>
      <c r="AB91" s="83"/>
      <c r="AC91" s="83"/>
      <c r="AD91" s="11"/>
      <c r="AE91" s="83"/>
      <c r="AF91" s="83"/>
      <c r="AG91" s="83"/>
      <c r="AH91" s="11"/>
      <c r="AI91" s="83"/>
      <c r="AJ91" s="83"/>
      <c r="AK91" s="83"/>
      <c r="AL91" s="11"/>
      <c r="AM91" s="83"/>
      <c r="AN91" s="83"/>
      <c r="AO91" s="83"/>
      <c r="AP91" s="11"/>
      <c r="AQ91" s="84"/>
      <c r="AR91" s="84"/>
      <c r="AS91" s="84"/>
      <c r="AT91" s="91"/>
      <c r="AU91" s="84"/>
      <c r="AV91" s="84"/>
      <c r="AW91" s="84"/>
      <c r="AX91" s="91"/>
      <c r="AY91" s="84"/>
      <c r="AZ91" s="84"/>
      <c r="BA91" s="84"/>
      <c r="BB91" s="91"/>
      <c r="BC91" s="84"/>
      <c r="BD91" s="84"/>
      <c r="BE91" s="84"/>
      <c r="BF91" s="91"/>
      <c r="BG91" s="84"/>
      <c r="BH91" s="84"/>
      <c r="BI91" s="84"/>
      <c r="BJ91" s="91"/>
      <c r="BK91" s="84"/>
      <c r="BL91" s="84"/>
      <c r="BM91" s="84"/>
      <c r="BN91" s="91"/>
      <c r="BO91" s="84"/>
      <c r="BP91" s="84"/>
      <c r="BQ91" s="84"/>
      <c r="BR91" s="91"/>
      <c r="BS91" s="84"/>
      <c r="BT91" s="84"/>
      <c r="BU91" s="84"/>
      <c r="BV91" s="91"/>
      <c r="BW91" s="84"/>
      <c r="BX91" s="84"/>
      <c r="BY91" s="84"/>
      <c r="BZ91" s="91"/>
      <c r="CA91" s="84"/>
      <c r="CB91" s="84"/>
      <c r="CC91" s="84"/>
      <c r="CD91" s="91"/>
      <c r="CE91" s="4"/>
      <c r="CF91" s="4"/>
      <c r="CG91" s="4"/>
      <c r="CH91" s="4"/>
      <c r="CI91" s="4"/>
      <c r="CJ91" s="4"/>
      <c r="CK91" s="4"/>
      <c r="CL91" s="4"/>
      <c r="CM91" s="4"/>
      <c r="CN91" s="4"/>
      <c r="CO91" s="4"/>
      <c r="CP91" s="4"/>
      <c r="CQ91" s="4"/>
      <c r="CR91" s="4"/>
      <c r="CS91" s="4"/>
      <c r="CT91" s="4"/>
    </row>
    <row r="92" spans="2:98" x14ac:dyDescent="0.2">
      <c r="B92" s="138"/>
      <c r="C92" s="83"/>
      <c r="D92" s="83"/>
      <c r="E92" s="83"/>
      <c r="F92" s="11"/>
      <c r="G92" s="83"/>
      <c r="H92" s="83"/>
      <c r="I92" s="83"/>
      <c r="J92" s="11"/>
      <c r="K92" s="83"/>
      <c r="L92" s="83"/>
      <c r="M92" s="83"/>
      <c r="N92" s="11"/>
      <c r="O92" s="83"/>
      <c r="P92" s="83"/>
      <c r="Q92" s="83"/>
      <c r="R92" s="11"/>
      <c r="S92" s="83"/>
      <c r="T92" s="83"/>
      <c r="U92" s="83"/>
      <c r="V92" s="11"/>
      <c r="W92" s="83"/>
      <c r="X92" s="83"/>
      <c r="Y92" s="83"/>
      <c r="Z92" s="11"/>
      <c r="AA92" s="83"/>
      <c r="AB92" s="83"/>
      <c r="AC92" s="83"/>
      <c r="AD92" s="11"/>
      <c r="AE92" s="83"/>
      <c r="AF92" s="83"/>
      <c r="AG92" s="83"/>
      <c r="AH92" s="11"/>
      <c r="AI92" s="83"/>
      <c r="AJ92" s="83"/>
      <c r="AK92" s="83"/>
      <c r="AL92" s="11"/>
      <c r="AM92" s="83"/>
      <c r="AN92" s="83"/>
      <c r="AO92" s="83"/>
      <c r="AP92" s="11"/>
      <c r="AQ92" s="84"/>
      <c r="AR92" s="84"/>
      <c r="AS92" s="84"/>
      <c r="AT92" s="91"/>
      <c r="AU92" s="84"/>
      <c r="AV92" s="84"/>
      <c r="AW92" s="84"/>
      <c r="AX92" s="91"/>
      <c r="AY92" s="84"/>
      <c r="AZ92" s="84"/>
      <c r="BA92" s="84"/>
      <c r="BB92" s="91"/>
      <c r="BC92" s="84"/>
      <c r="BD92" s="84"/>
      <c r="BE92" s="84"/>
      <c r="BF92" s="91"/>
      <c r="BG92" s="84"/>
      <c r="BH92" s="84"/>
      <c r="BI92" s="84"/>
      <c r="BJ92" s="91"/>
      <c r="BK92" s="84"/>
      <c r="BL92" s="84"/>
      <c r="BM92" s="84"/>
      <c r="BN92" s="91"/>
      <c r="BO92" s="84"/>
      <c r="BP92" s="84"/>
      <c r="BQ92" s="84"/>
      <c r="BR92" s="91"/>
      <c r="BS92" s="84"/>
      <c r="BT92" s="84"/>
      <c r="BU92" s="84"/>
      <c r="BV92" s="91"/>
      <c r="BW92" s="84"/>
      <c r="BX92" s="84"/>
      <c r="BY92" s="84"/>
      <c r="BZ92" s="91"/>
      <c r="CA92" s="84"/>
      <c r="CB92" s="84"/>
      <c r="CC92" s="84"/>
      <c r="CD92" s="91"/>
      <c r="CE92" s="4"/>
      <c r="CF92" s="4"/>
      <c r="CG92" s="4"/>
      <c r="CH92" s="4"/>
      <c r="CI92" s="4"/>
      <c r="CJ92" s="4"/>
      <c r="CK92" s="4"/>
      <c r="CL92" s="4"/>
      <c r="CM92" s="4"/>
      <c r="CN92" s="4"/>
      <c r="CO92" s="4"/>
      <c r="CP92" s="4"/>
      <c r="CQ92" s="4"/>
      <c r="CR92" s="4"/>
      <c r="CS92" s="4"/>
      <c r="CT92" s="4"/>
    </row>
    <row r="93" spans="2:98" x14ac:dyDescent="0.2">
      <c r="B93" s="138"/>
      <c r="C93" s="83"/>
      <c r="D93" s="83"/>
      <c r="E93" s="83"/>
      <c r="F93" s="11"/>
      <c r="G93" s="83"/>
      <c r="H93" s="83"/>
      <c r="I93" s="83"/>
      <c r="J93" s="11"/>
      <c r="K93" s="83"/>
      <c r="L93" s="83"/>
      <c r="M93" s="83"/>
      <c r="N93" s="11"/>
      <c r="O93" s="83"/>
      <c r="P93" s="83"/>
      <c r="Q93" s="83"/>
      <c r="R93" s="11"/>
      <c r="S93" s="83"/>
      <c r="T93" s="83"/>
      <c r="U93" s="83"/>
      <c r="V93" s="11"/>
      <c r="W93" s="83"/>
      <c r="X93" s="83"/>
      <c r="Y93" s="83"/>
      <c r="Z93" s="11"/>
      <c r="AA93" s="83"/>
      <c r="AB93" s="83"/>
      <c r="AC93" s="83"/>
      <c r="AD93" s="11"/>
      <c r="AE93" s="83"/>
      <c r="AF93" s="83"/>
      <c r="AG93" s="83"/>
      <c r="AH93" s="11"/>
      <c r="AI93" s="83"/>
      <c r="AJ93" s="83"/>
      <c r="AK93" s="83"/>
      <c r="AL93" s="11"/>
      <c r="AM93" s="83"/>
      <c r="AN93" s="83"/>
      <c r="AO93" s="83"/>
      <c r="AP93" s="11"/>
      <c r="AQ93" s="84"/>
      <c r="AR93" s="84"/>
      <c r="AS93" s="84"/>
      <c r="AT93" s="91"/>
      <c r="AU93" s="84"/>
      <c r="AV93" s="84"/>
      <c r="AW93" s="84"/>
      <c r="AX93" s="91"/>
      <c r="AY93" s="84"/>
      <c r="AZ93" s="84"/>
      <c r="BA93" s="84"/>
      <c r="BB93" s="91"/>
      <c r="BC93" s="84"/>
      <c r="BD93" s="84"/>
      <c r="BE93" s="84"/>
      <c r="BF93" s="91"/>
      <c r="BG93" s="84"/>
      <c r="BH93" s="84"/>
      <c r="BI93" s="84"/>
      <c r="BJ93" s="91"/>
      <c r="BK93" s="84"/>
      <c r="BL93" s="84"/>
      <c r="BM93" s="84"/>
      <c r="BN93" s="91"/>
      <c r="BO93" s="84"/>
      <c r="BP93" s="84"/>
      <c r="BQ93" s="84"/>
      <c r="BR93" s="91"/>
      <c r="BS93" s="84"/>
      <c r="BT93" s="84"/>
      <c r="BU93" s="84"/>
      <c r="BV93" s="91"/>
      <c r="BW93" s="84"/>
      <c r="BX93" s="84"/>
      <c r="BY93" s="84"/>
      <c r="BZ93" s="91"/>
      <c r="CA93" s="84"/>
      <c r="CB93" s="84"/>
      <c r="CC93" s="84"/>
      <c r="CD93" s="91"/>
      <c r="CE93" s="4"/>
      <c r="CF93" s="4"/>
      <c r="CG93" s="4"/>
      <c r="CH93" s="4"/>
      <c r="CI93" s="4"/>
      <c r="CJ93" s="4"/>
      <c r="CK93" s="4"/>
      <c r="CL93" s="4"/>
      <c r="CM93" s="4"/>
      <c r="CN93" s="4"/>
      <c r="CO93" s="4"/>
      <c r="CP93" s="4"/>
      <c r="CQ93" s="4"/>
      <c r="CR93" s="4"/>
      <c r="CS93" s="4"/>
      <c r="CT93" s="4"/>
    </row>
    <row r="94" spans="2:98" x14ac:dyDescent="0.2">
      <c r="B94" s="138"/>
      <c r="C94" s="132"/>
      <c r="D94" s="133"/>
      <c r="E94" s="132"/>
      <c r="F94" s="11"/>
      <c r="G94" s="83"/>
      <c r="H94" s="83"/>
      <c r="I94" s="83"/>
      <c r="J94" s="11"/>
      <c r="K94" s="83"/>
      <c r="L94" s="83"/>
      <c r="M94" s="83"/>
      <c r="N94" s="11"/>
      <c r="O94" s="83"/>
      <c r="P94" s="83"/>
      <c r="Q94" s="83"/>
      <c r="R94" s="11"/>
      <c r="S94" s="83"/>
      <c r="T94" s="83"/>
      <c r="U94" s="83"/>
      <c r="V94" s="11"/>
      <c r="W94" s="83"/>
      <c r="X94" s="83"/>
      <c r="Y94" s="83"/>
      <c r="Z94" s="11"/>
      <c r="AA94" s="83"/>
      <c r="AB94" s="83"/>
      <c r="AC94" s="83"/>
      <c r="AD94" s="11"/>
      <c r="AE94" s="83"/>
      <c r="AF94" s="83"/>
      <c r="AG94" s="83"/>
      <c r="AH94" s="11"/>
      <c r="AI94" s="83"/>
      <c r="AJ94" s="83"/>
      <c r="AK94" s="83"/>
      <c r="AL94" s="11"/>
      <c r="AM94" s="83"/>
      <c r="AN94" s="83"/>
      <c r="AO94" s="83"/>
      <c r="AP94" s="11"/>
      <c r="AQ94" s="84"/>
      <c r="AR94" s="84"/>
      <c r="AS94" s="84"/>
      <c r="AT94" s="91"/>
      <c r="AU94" s="84"/>
      <c r="AV94" s="84"/>
      <c r="AW94" s="84"/>
      <c r="AX94" s="91"/>
      <c r="AY94" s="84"/>
      <c r="AZ94" s="84"/>
      <c r="BA94" s="84"/>
      <c r="BB94" s="91"/>
      <c r="BC94" s="84"/>
      <c r="BD94" s="84"/>
      <c r="BE94" s="84"/>
      <c r="BF94" s="91"/>
      <c r="BG94" s="84"/>
      <c r="BH94" s="84"/>
      <c r="BI94" s="84"/>
      <c r="BJ94" s="91"/>
      <c r="BK94" s="84"/>
      <c r="BL94" s="84"/>
      <c r="BM94" s="84"/>
      <c r="BN94" s="91"/>
      <c r="BO94" s="84"/>
      <c r="BP94" s="84"/>
      <c r="BQ94" s="84"/>
      <c r="BR94" s="91"/>
      <c r="BS94" s="84"/>
      <c r="BT94" s="84"/>
      <c r="BU94" s="84"/>
      <c r="BV94" s="91"/>
      <c r="BW94" s="84"/>
      <c r="BX94" s="84"/>
      <c r="BY94" s="84"/>
      <c r="BZ94" s="91"/>
      <c r="CA94" s="84"/>
      <c r="CB94" s="84"/>
      <c r="CC94" s="84"/>
      <c r="CD94" s="91"/>
      <c r="CE94" s="4"/>
      <c r="CF94" s="4"/>
      <c r="CG94" s="4"/>
      <c r="CH94" s="4"/>
      <c r="CI94" s="4"/>
      <c r="CJ94" s="4"/>
      <c r="CK94" s="4"/>
      <c r="CL94" s="4"/>
      <c r="CM94" s="4"/>
      <c r="CN94" s="4"/>
      <c r="CO94" s="4"/>
      <c r="CP94" s="4"/>
      <c r="CQ94" s="4"/>
      <c r="CR94" s="4"/>
      <c r="CS94" s="4"/>
      <c r="CT94" s="4"/>
    </row>
    <row r="95" spans="2:98" x14ac:dyDescent="0.2">
      <c r="B95" s="138"/>
      <c r="C95" s="23"/>
      <c r="D95" s="23"/>
      <c r="E95" s="83"/>
      <c r="F95" s="11"/>
      <c r="G95" s="83"/>
      <c r="H95" s="83"/>
      <c r="I95" s="83"/>
      <c r="J95" s="11"/>
      <c r="K95" s="83"/>
      <c r="L95" s="83"/>
      <c r="M95" s="83"/>
      <c r="N95" s="11"/>
      <c r="O95" s="83"/>
      <c r="P95" s="83"/>
      <c r="Q95" s="83"/>
      <c r="R95" s="11"/>
      <c r="S95" s="83"/>
      <c r="T95" s="83"/>
      <c r="U95" s="83"/>
      <c r="V95" s="11"/>
      <c r="W95" s="83"/>
      <c r="X95" s="83"/>
      <c r="Y95" s="83"/>
      <c r="Z95" s="11"/>
      <c r="AA95" s="83"/>
      <c r="AB95" s="83"/>
      <c r="AC95" s="83"/>
      <c r="AD95" s="11"/>
      <c r="AE95" s="83"/>
      <c r="AF95" s="83"/>
      <c r="AG95" s="83"/>
      <c r="AH95" s="11"/>
      <c r="AI95" s="83"/>
      <c r="AJ95" s="83"/>
      <c r="AK95" s="83"/>
      <c r="AL95" s="11"/>
      <c r="AM95" s="83"/>
      <c r="AN95" s="83"/>
      <c r="AO95" s="83"/>
      <c r="AP95" s="11"/>
      <c r="AQ95" s="84"/>
      <c r="AR95" s="84"/>
      <c r="AS95" s="84"/>
      <c r="AT95" s="91"/>
      <c r="AU95" s="84"/>
      <c r="AV95" s="84"/>
      <c r="AW95" s="84"/>
      <c r="AX95" s="91"/>
      <c r="AY95" s="84"/>
      <c r="AZ95" s="84"/>
      <c r="BA95" s="84"/>
      <c r="BB95" s="91"/>
      <c r="BC95" s="84"/>
      <c r="BD95" s="84"/>
      <c r="BE95" s="84"/>
      <c r="BF95" s="91"/>
      <c r="BG95" s="84"/>
      <c r="BH95" s="84"/>
      <c r="BI95" s="84"/>
      <c r="BJ95" s="91"/>
      <c r="BK95" s="84"/>
      <c r="BL95" s="84"/>
      <c r="BM95" s="84"/>
      <c r="BN95" s="91"/>
      <c r="BO95" s="84"/>
      <c r="BP95" s="84"/>
      <c r="BQ95" s="84"/>
      <c r="BR95" s="91"/>
      <c r="BS95" s="84"/>
      <c r="BT95" s="84"/>
      <c r="BU95" s="84"/>
      <c r="BV95" s="91"/>
      <c r="BW95" s="84"/>
      <c r="BX95" s="84"/>
      <c r="BY95" s="84"/>
      <c r="BZ95" s="91"/>
      <c r="CA95" s="84"/>
      <c r="CB95" s="84"/>
      <c r="CC95" s="84"/>
      <c r="CD95" s="91"/>
      <c r="CE95" s="4"/>
      <c r="CF95" s="4"/>
      <c r="CG95" s="4"/>
      <c r="CH95" s="4"/>
      <c r="CI95" s="4"/>
      <c r="CJ95" s="4"/>
      <c r="CK95" s="4"/>
      <c r="CL95" s="4"/>
      <c r="CM95" s="4"/>
      <c r="CN95" s="4"/>
      <c r="CO95" s="4"/>
      <c r="CP95" s="4"/>
      <c r="CQ95" s="4"/>
      <c r="CR95" s="4"/>
      <c r="CS95" s="4"/>
      <c r="CT95" s="4"/>
    </row>
    <row r="96" spans="2:98" x14ac:dyDescent="0.2">
      <c r="B96" s="138"/>
      <c r="C96" s="103" t="s">
        <v>56</v>
      </c>
      <c r="D96" s="83"/>
      <c r="E96" s="83"/>
      <c r="F96" s="11"/>
      <c r="G96" s="103" t="s">
        <v>57</v>
      </c>
      <c r="H96" s="83"/>
      <c r="I96" s="83"/>
      <c r="J96" s="11"/>
      <c r="K96" s="103" t="s">
        <v>58</v>
      </c>
      <c r="L96" s="83"/>
      <c r="M96" s="83"/>
      <c r="N96" s="11"/>
      <c r="O96" s="103" t="s">
        <v>59</v>
      </c>
      <c r="P96" s="83"/>
      <c r="Q96" s="83"/>
      <c r="R96" s="11"/>
      <c r="S96" s="103" t="s">
        <v>60</v>
      </c>
      <c r="T96" s="83"/>
      <c r="U96" s="83"/>
      <c r="V96" s="11"/>
      <c r="W96" s="103" t="s">
        <v>61</v>
      </c>
      <c r="X96" s="83"/>
      <c r="Y96" s="83"/>
      <c r="Z96" s="11"/>
      <c r="AA96" s="103" t="s">
        <v>62</v>
      </c>
      <c r="AB96" s="83"/>
      <c r="AC96" s="83"/>
      <c r="AD96" s="11"/>
      <c r="AE96" s="103" t="s">
        <v>66</v>
      </c>
      <c r="AF96" s="83"/>
      <c r="AG96" s="83"/>
      <c r="AH96" s="11"/>
      <c r="AI96" s="103" t="s">
        <v>67</v>
      </c>
      <c r="AJ96" s="83"/>
      <c r="AK96" s="83"/>
      <c r="AL96" s="11"/>
      <c r="AM96" s="103" t="s">
        <v>74</v>
      </c>
      <c r="AN96" s="83"/>
      <c r="AO96" s="83"/>
      <c r="AP96" s="11"/>
      <c r="AQ96" s="84"/>
      <c r="AR96" s="84"/>
      <c r="AS96" s="84"/>
      <c r="AT96" s="91"/>
      <c r="AU96" s="84"/>
      <c r="AV96" s="84"/>
      <c r="AW96" s="84"/>
      <c r="AX96" s="91"/>
      <c r="AY96" s="84"/>
      <c r="AZ96" s="84"/>
      <c r="BA96" s="84"/>
      <c r="BB96" s="91"/>
      <c r="BC96" s="84"/>
      <c r="BD96" s="84"/>
      <c r="BE96" s="84"/>
      <c r="BF96" s="91"/>
      <c r="BG96" s="84"/>
      <c r="BH96" s="84"/>
      <c r="BI96" s="84"/>
      <c r="BJ96" s="91"/>
      <c r="BK96" s="84"/>
      <c r="BL96" s="84"/>
      <c r="BM96" s="84"/>
      <c r="BN96" s="91"/>
      <c r="BO96" s="84"/>
      <c r="BP96" s="84"/>
      <c r="BQ96" s="84"/>
      <c r="BR96" s="91"/>
      <c r="BS96" s="84"/>
      <c r="BT96" s="84"/>
      <c r="BU96" s="84"/>
      <c r="BV96" s="91"/>
      <c r="BW96" s="84"/>
      <c r="BX96" s="84"/>
      <c r="BY96" s="84"/>
      <c r="BZ96" s="91"/>
      <c r="CA96" s="84"/>
      <c r="CB96" s="84"/>
      <c r="CC96" s="84"/>
      <c r="CD96" s="91"/>
      <c r="CE96" s="4"/>
      <c r="CF96" s="4"/>
      <c r="CG96" s="4"/>
      <c r="CH96" s="4"/>
      <c r="CI96" s="4"/>
      <c r="CJ96" s="4"/>
      <c r="CK96" s="4"/>
      <c r="CL96" s="4"/>
      <c r="CM96" s="4"/>
      <c r="CN96" s="4"/>
      <c r="CO96" s="4"/>
      <c r="CP96" s="4"/>
      <c r="CQ96" s="4"/>
      <c r="CR96" s="4"/>
      <c r="CS96" s="4"/>
      <c r="CT96" s="4"/>
    </row>
    <row r="97" spans="2:98" x14ac:dyDescent="0.2">
      <c r="B97" s="138"/>
      <c r="C97" s="83"/>
      <c r="D97" s="83"/>
      <c r="E97" s="83"/>
      <c r="F97" s="11"/>
      <c r="G97" s="83"/>
      <c r="H97" s="83"/>
      <c r="I97" s="83"/>
      <c r="J97" s="11"/>
      <c r="K97" s="83"/>
      <c r="L97" s="83"/>
      <c r="M97" s="83"/>
      <c r="N97" s="11"/>
      <c r="O97" s="83"/>
      <c r="P97" s="83"/>
      <c r="Q97" s="83"/>
      <c r="R97" s="11"/>
      <c r="S97" s="83"/>
      <c r="T97" s="83"/>
      <c r="U97" s="83"/>
      <c r="V97" s="11"/>
      <c r="W97" s="83"/>
      <c r="X97" s="83"/>
      <c r="Y97" s="83"/>
      <c r="Z97" s="11"/>
      <c r="AA97" s="83"/>
      <c r="AB97" s="83"/>
      <c r="AC97" s="83"/>
      <c r="AD97" s="11"/>
      <c r="AE97" s="83"/>
      <c r="AF97" s="83"/>
      <c r="AG97" s="83"/>
      <c r="AH97" s="11"/>
      <c r="AI97" s="83"/>
      <c r="AJ97" s="83"/>
      <c r="AK97" s="83"/>
      <c r="AL97" s="11"/>
      <c r="AM97" s="83"/>
      <c r="AN97" s="83"/>
      <c r="AO97" s="83"/>
      <c r="AP97" s="11"/>
      <c r="AQ97" s="84"/>
      <c r="AR97" s="84"/>
      <c r="AS97" s="84"/>
      <c r="AT97" s="91"/>
      <c r="AU97" s="84"/>
      <c r="AV97" s="84"/>
      <c r="AW97" s="84"/>
      <c r="AX97" s="91"/>
      <c r="AY97" s="84"/>
      <c r="AZ97" s="84"/>
      <c r="BA97" s="84"/>
      <c r="BB97" s="91"/>
      <c r="BC97" s="84"/>
      <c r="BD97" s="84"/>
      <c r="BE97" s="84"/>
      <c r="BF97" s="91"/>
      <c r="BG97" s="84"/>
      <c r="BH97" s="84"/>
      <c r="BI97" s="84"/>
      <c r="BJ97" s="91"/>
      <c r="BK97" s="84"/>
      <c r="BL97" s="84"/>
      <c r="BM97" s="84"/>
      <c r="BN97" s="91"/>
      <c r="BO97" s="84"/>
      <c r="BP97" s="84"/>
      <c r="BQ97" s="84"/>
      <c r="BR97" s="91"/>
      <c r="BS97" s="84"/>
      <c r="BT97" s="84"/>
      <c r="BU97" s="84"/>
      <c r="BV97" s="91"/>
      <c r="BW97" s="84"/>
      <c r="BX97" s="84"/>
      <c r="BY97" s="84"/>
      <c r="BZ97" s="91"/>
      <c r="CA97" s="84"/>
      <c r="CB97" s="84"/>
      <c r="CC97" s="84"/>
      <c r="CD97" s="91"/>
      <c r="CE97" s="4"/>
      <c r="CF97" s="4"/>
      <c r="CG97" s="4"/>
      <c r="CH97" s="4"/>
      <c r="CI97" s="4"/>
      <c r="CJ97" s="4"/>
      <c r="CK97" s="4"/>
      <c r="CL97" s="4"/>
      <c r="CM97" s="4"/>
      <c r="CN97" s="4"/>
      <c r="CO97" s="4"/>
      <c r="CP97" s="4"/>
      <c r="CQ97" s="4"/>
      <c r="CR97" s="4"/>
      <c r="CS97" s="4"/>
      <c r="CT97" s="4"/>
    </row>
    <row r="98" spans="2:98" x14ac:dyDescent="0.2">
      <c r="B98" s="138"/>
      <c r="C98" s="83"/>
      <c r="D98" s="83"/>
      <c r="E98" s="83"/>
      <c r="F98" s="11"/>
      <c r="G98" s="83"/>
      <c r="H98" s="83"/>
      <c r="I98" s="83"/>
      <c r="J98" s="11"/>
      <c r="K98" s="83"/>
      <c r="L98" s="83"/>
      <c r="M98" s="83"/>
      <c r="N98" s="11"/>
      <c r="O98" s="83"/>
      <c r="P98" s="83"/>
      <c r="Q98" s="83"/>
      <c r="R98" s="11"/>
      <c r="S98" s="83"/>
      <c r="T98" s="83"/>
      <c r="U98" s="83"/>
      <c r="V98" s="11"/>
      <c r="W98" s="83"/>
      <c r="X98" s="83"/>
      <c r="Y98" s="83"/>
      <c r="Z98" s="11"/>
      <c r="AA98" s="83"/>
      <c r="AB98" s="83"/>
      <c r="AC98" s="83"/>
      <c r="AD98" s="11"/>
      <c r="AE98" s="83"/>
      <c r="AF98" s="83"/>
      <c r="AG98" s="83"/>
      <c r="AH98" s="11"/>
      <c r="AI98" s="83"/>
      <c r="AJ98" s="83"/>
      <c r="AK98" s="83"/>
      <c r="AL98" s="11"/>
      <c r="AM98" s="83"/>
      <c r="AN98" s="83"/>
      <c r="AO98" s="83"/>
      <c r="AP98" s="11"/>
      <c r="AQ98" s="84"/>
      <c r="AR98" s="84"/>
      <c r="AS98" s="84"/>
      <c r="AT98" s="91"/>
      <c r="AU98" s="84"/>
      <c r="AV98" s="84"/>
      <c r="AW98" s="84"/>
      <c r="AX98" s="91"/>
      <c r="AY98" s="84"/>
      <c r="AZ98" s="84"/>
      <c r="BA98" s="84"/>
      <c r="BB98" s="91"/>
      <c r="BC98" s="84"/>
      <c r="BD98" s="84"/>
      <c r="BE98" s="84"/>
      <c r="BF98" s="91"/>
      <c r="BG98" s="84"/>
      <c r="BH98" s="84"/>
      <c r="BI98" s="84"/>
      <c r="BJ98" s="91"/>
      <c r="BK98" s="84"/>
      <c r="BL98" s="84"/>
      <c r="BM98" s="84"/>
      <c r="BN98" s="91"/>
      <c r="BO98" s="84"/>
      <c r="BP98" s="84"/>
      <c r="BQ98" s="84"/>
      <c r="BR98" s="91"/>
      <c r="BS98" s="84"/>
      <c r="BT98" s="84"/>
      <c r="BU98" s="84"/>
      <c r="BV98" s="91"/>
      <c r="BW98" s="84"/>
      <c r="BX98" s="84"/>
      <c r="BY98" s="84"/>
      <c r="BZ98" s="91"/>
      <c r="CA98" s="84"/>
      <c r="CB98" s="84"/>
      <c r="CC98" s="84"/>
      <c r="CD98" s="91"/>
      <c r="CE98" s="4"/>
      <c r="CF98" s="4"/>
      <c r="CG98" s="4"/>
      <c r="CH98" s="4"/>
      <c r="CI98" s="4"/>
      <c r="CJ98" s="4"/>
      <c r="CK98" s="4"/>
      <c r="CL98" s="4"/>
      <c r="CM98" s="4"/>
      <c r="CN98" s="4"/>
      <c r="CO98" s="4"/>
      <c r="CP98" s="4"/>
      <c r="CQ98" s="4"/>
      <c r="CR98" s="4"/>
      <c r="CS98" s="4"/>
      <c r="CT98" s="4"/>
    </row>
    <row r="99" spans="2:98" x14ac:dyDescent="0.2">
      <c r="B99" s="138"/>
      <c r="C99" s="83"/>
      <c r="D99" s="83"/>
      <c r="E99" s="83"/>
      <c r="F99" s="11"/>
      <c r="G99" s="83"/>
      <c r="H99" s="83"/>
      <c r="I99" s="83"/>
      <c r="J99" s="11"/>
      <c r="K99" s="83"/>
      <c r="L99" s="83"/>
      <c r="M99" s="83"/>
      <c r="N99" s="11"/>
      <c r="O99" s="83"/>
      <c r="P99" s="83"/>
      <c r="Q99" s="83"/>
      <c r="R99" s="11"/>
      <c r="S99" s="83"/>
      <c r="T99" s="83"/>
      <c r="U99" s="83"/>
      <c r="V99" s="11"/>
      <c r="W99" s="83"/>
      <c r="X99" s="83"/>
      <c r="Y99" s="83"/>
      <c r="Z99" s="11"/>
      <c r="AA99" s="83"/>
      <c r="AB99" s="83"/>
      <c r="AC99" s="83"/>
      <c r="AD99" s="11"/>
      <c r="AE99" s="83"/>
      <c r="AF99" s="83"/>
      <c r="AG99" s="83"/>
      <c r="AH99" s="11"/>
      <c r="AI99" s="83"/>
      <c r="AJ99" s="83"/>
      <c r="AK99" s="83"/>
      <c r="AL99" s="11"/>
      <c r="AM99" s="83"/>
      <c r="AN99" s="83"/>
      <c r="AO99" s="83"/>
      <c r="AP99" s="11"/>
      <c r="AQ99" s="84"/>
      <c r="AR99" s="84"/>
      <c r="AS99" s="84"/>
      <c r="AT99" s="91"/>
      <c r="AU99" s="84"/>
      <c r="AV99" s="84"/>
      <c r="AW99" s="84"/>
      <c r="AX99" s="91"/>
      <c r="AY99" s="84"/>
      <c r="AZ99" s="84"/>
      <c r="BA99" s="84"/>
      <c r="BB99" s="91"/>
      <c r="BC99" s="84"/>
      <c r="BD99" s="84"/>
      <c r="BE99" s="84"/>
      <c r="BF99" s="91"/>
      <c r="BG99" s="84"/>
      <c r="BH99" s="84"/>
      <c r="BI99" s="84"/>
      <c r="BJ99" s="91"/>
      <c r="BK99" s="84"/>
      <c r="BL99" s="84"/>
      <c r="BM99" s="84"/>
      <c r="BN99" s="91"/>
      <c r="BO99" s="84"/>
      <c r="BP99" s="84"/>
      <c r="BQ99" s="84"/>
      <c r="BR99" s="91"/>
      <c r="BS99" s="84"/>
      <c r="BT99" s="84"/>
      <c r="BU99" s="84"/>
      <c r="BV99" s="91"/>
      <c r="BW99" s="84"/>
      <c r="BX99" s="84"/>
      <c r="BY99" s="84"/>
      <c r="BZ99" s="91"/>
      <c r="CA99" s="84"/>
      <c r="CB99" s="84"/>
      <c r="CC99" s="84"/>
      <c r="CD99" s="91"/>
      <c r="CE99" s="4"/>
      <c r="CF99" s="4"/>
      <c r="CG99" s="4"/>
      <c r="CH99" s="4"/>
      <c r="CI99" s="4"/>
      <c r="CJ99" s="4"/>
      <c r="CK99" s="4"/>
      <c r="CL99" s="4"/>
      <c r="CM99" s="4"/>
      <c r="CN99" s="4"/>
      <c r="CO99" s="4"/>
      <c r="CP99" s="4"/>
      <c r="CQ99" s="4"/>
      <c r="CR99" s="4"/>
      <c r="CS99" s="4"/>
      <c r="CT99" s="4"/>
    </row>
    <row r="100" spans="2:98" x14ac:dyDescent="0.2">
      <c r="B100" s="258" t="s">
        <v>195</v>
      </c>
      <c r="C100" s="85"/>
      <c r="D100" s="86"/>
      <c r="E100" s="85"/>
      <c r="F100" s="90"/>
      <c r="G100" s="83"/>
      <c r="H100" s="83"/>
      <c r="I100" s="83"/>
      <c r="J100" s="11"/>
      <c r="K100" s="83"/>
      <c r="L100" s="83"/>
      <c r="M100" s="83"/>
      <c r="N100" s="11"/>
      <c r="O100" s="83"/>
      <c r="P100" s="83"/>
      <c r="Q100" s="83"/>
      <c r="R100" s="11"/>
      <c r="S100" s="83"/>
      <c r="T100" s="83"/>
      <c r="U100" s="83"/>
      <c r="V100" s="11"/>
      <c r="W100" s="83"/>
      <c r="X100" s="83"/>
      <c r="Y100" s="83"/>
      <c r="Z100" s="83"/>
      <c r="AA100" s="83"/>
      <c r="AB100" s="83"/>
      <c r="AC100" s="83"/>
      <c r="AD100" s="11"/>
      <c r="AE100" s="83"/>
      <c r="AF100" s="23"/>
      <c r="AG100" s="83"/>
      <c r="AH100" s="11"/>
      <c r="AI100" s="83"/>
      <c r="AJ100" s="23"/>
      <c r="AK100" s="83"/>
      <c r="AL100" s="11"/>
      <c r="AM100" s="83"/>
      <c r="AN100" s="11"/>
      <c r="AO100" s="83"/>
      <c r="AP100" s="11"/>
      <c r="AQ100" s="84"/>
      <c r="AR100" s="84"/>
      <c r="AS100" s="84"/>
      <c r="AT100" s="91"/>
      <c r="AU100" s="84"/>
      <c r="AV100" s="84"/>
      <c r="AW100" s="84"/>
      <c r="AX100" s="91"/>
      <c r="AY100" s="84"/>
      <c r="AZ100" s="84"/>
      <c r="BA100" s="84"/>
      <c r="BB100" s="91"/>
      <c r="BC100" s="84"/>
      <c r="BD100" s="84"/>
      <c r="BE100" s="84"/>
      <c r="BF100" s="91"/>
      <c r="BG100" s="84"/>
      <c r="BH100" s="84"/>
      <c r="BI100" s="84"/>
      <c r="BJ100" s="91"/>
      <c r="BK100" s="84"/>
      <c r="BL100" s="84"/>
      <c r="BM100" s="84"/>
      <c r="BN100" s="91"/>
      <c r="BO100" s="84"/>
      <c r="BP100" s="84"/>
      <c r="BQ100" s="84"/>
      <c r="BR100" s="91"/>
      <c r="BS100" s="84"/>
      <c r="BT100" s="84"/>
      <c r="BU100" s="84"/>
      <c r="BV100" s="91"/>
      <c r="BW100" s="84"/>
      <c r="BX100" s="84"/>
      <c r="BY100" s="84"/>
      <c r="BZ100" s="91"/>
      <c r="CA100" s="84"/>
      <c r="CB100" s="84"/>
      <c r="CC100" s="84"/>
      <c r="CD100" s="91"/>
      <c r="CE100" s="4"/>
      <c r="CF100" s="4"/>
      <c r="CG100" s="4"/>
      <c r="CH100" s="4"/>
      <c r="CI100" s="4"/>
      <c r="CJ100" s="4"/>
      <c r="CK100" s="4"/>
      <c r="CL100" s="4"/>
      <c r="CM100" s="4"/>
      <c r="CN100" s="4"/>
      <c r="CO100" s="4"/>
      <c r="CP100" s="4"/>
      <c r="CQ100" s="4"/>
      <c r="CR100" s="4"/>
      <c r="CS100" s="4"/>
      <c r="CT100" s="4"/>
    </row>
    <row r="101" spans="2:98" x14ac:dyDescent="0.2">
      <c r="B101" s="259" t="s">
        <v>193</v>
      </c>
      <c r="C101" s="85"/>
      <c r="D101" s="86"/>
      <c r="E101" s="85"/>
      <c r="F101" s="90"/>
      <c r="G101" s="83"/>
      <c r="H101" s="83"/>
      <c r="I101" s="83"/>
      <c r="J101" s="11"/>
      <c r="K101" s="83"/>
      <c r="L101" s="83"/>
      <c r="M101" s="83"/>
      <c r="N101" s="11"/>
      <c r="O101" s="83"/>
      <c r="P101" s="83"/>
      <c r="Q101" s="83"/>
      <c r="R101" s="11"/>
      <c r="S101" s="83"/>
      <c r="T101" s="83"/>
      <c r="U101" s="83"/>
      <c r="V101" s="11"/>
      <c r="W101" s="83"/>
      <c r="X101" s="83"/>
      <c r="Y101" s="83"/>
      <c r="Z101" s="83"/>
      <c r="AA101" s="83"/>
      <c r="AB101" s="83"/>
      <c r="AC101" s="83"/>
      <c r="AD101" s="11"/>
      <c r="AE101" s="83"/>
      <c r="AF101" s="23"/>
      <c r="AG101" s="83"/>
      <c r="AH101" s="11"/>
      <c r="AI101" s="83"/>
      <c r="AJ101" s="23"/>
      <c r="AK101" s="83"/>
      <c r="AL101" s="11"/>
      <c r="AM101" s="83"/>
      <c r="AN101" s="11"/>
      <c r="AO101" s="83"/>
      <c r="AP101" s="11"/>
      <c r="AQ101" s="84"/>
      <c r="AR101" s="84"/>
      <c r="AS101" s="84"/>
      <c r="AT101" s="91"/>
      <c r="AU101" s="84"/>
      <c r="AV101" s="84"/>
      <c r="AW101" s="84"/>
      <c r="AX101" s="91"/>
      <c r="AY101" s="84"/>
      <c r="AZ101" s="84"/>
      <c r="BA101" s="84"/>
      <c r="BB101" s="91"/>
      <c r="BC101" s="84"/>
      <c r="BD101" s="84"/>
      <c r="BE101" s="84"/>
      <c r="BF101" s="91"/>
      <c r="BG101" s="84"/>
      <c r="BH101" s="84"/>
      <c r="BI101" s="84"/>
      <c r="BJ101" s="91"/>
      <c r="BK101" s="84"/>
      <c r="BL101" s="84"/>
      <c r="BM101" s="84"/>
      <c r="BN101" s="91"/>
      <c r="BO101" s="84"/>
      <c r="BP101" s="84"/>
      <c r="BQ101" s="84"/>
      <c r="BR101" s="91"/>
      <c r="BS101" s="84"/>
      <c r="BT101" s="84"/>
      <c r="BU101" s="84"/>
      <c r="BV101" s="91"/>
      <c r="BW101" s="84"/>
      <c r="BX101" s="84"/>
      <c r="BY101" s="84"/>
      <c r="BZ101" s="91"/>
      <c r="CA101" s="84"/>
      <c r="CB101" s="84"/>
      <c r="CC101" s="84"/>
      <c r="CD101" s="91"/>
      <c r="CE101" s="4"/>
      <c r="CF101" s="4"/>
      <c r="CG101" s="4"/>
      <c r="CH101" s="4"/>
      <c r="CI101" s="4"/>
      <c r="CJ101" s="4"/>
      <c r="CK101" s="4"/>
      <c r="CL101" s="4"/>
      <c r="CM101" s="4"/>
      <c r="CN101" s="4"/>
      <c r="CO101" s="4"/>
      <c r="CP101" s="4"/>
      <c r="CQ101" s="4"/>
      <c r="CR101" s="4"/>
      <c r="CS101" s="4"/>
      <c r="CT101" s="4"/>
    </row>
    <row r="102" spans="2:98" x14ac:dyDescent="0.2">
      <c r="B102" s="259"/>
      <c r="C102" s="85"/>
      <c r="D102" s="86"/>
      <c r="E102" s="85"/>
      <c r="F102" s="90"/>
      <c r="G102" s="83"/>
      <c r="H102" s="83"/>
      <c r="I102" s="83"/>
      <c r="J102" s="11"/>
      <c r="K102" s="83"/>
      <c r="L102" s="83"/>
      <c r="M102" s="83"/>
      <c r="N102" s="11"/>
      <c r="O102" s="83"/>
      <c r="P102" s="83"/>
      <c r="Q102" s="83"/>
      <c r="R102" s="11"/>
      <c r="S102" s="83"/>
      <c r="T102" s="83"/>
      <c r="U102" s="83"/>
      <c r="V102" s="11"/>
      <c r="W102" s="83"/>
      <c r="X102" s="83"/>
      <c r="Y102" s="83"/>
      <c r="Z102" s="11"/>
      <c r="AA102" s="83"/>
      <c r="AB102" s="83"/>
      <c r="AC102" s="83"/>
      <c r="AD102" s="11"/>
      <c r="AE102" s="83"/>
      <c r="AF102" s="83"/>
      <c r="AG102" s="83"/>
      <c r="AH102" s="11"/>
      <c r="AI102" s="83"/>
      <c r="AJ102" s="83"/>
      <c r="AK102" s="83"/>
      <c r="AL102" s="11"/>
      <c r="AM102" s="83"/>
      <c r="AN102" s="83"/>
      <c r="AO102" s="83"/>
      <c r="AP102" s="11"/>
      <c r="AQ102" s="84"/>
      <c r="AR102" s="84"/>
      <c r="AS102" s="84"/>
      <c r="AT102" s="91"/>
      <c r="AU102" s="84"/>
      <c r="AV102" s="84"/>
      <c r="AW102" s="84"/>
      <c r="AX102" s="91"/>
      <c r="AY102" s="84"/>
      <c r="AZ102" s="84"/>
      <c r="BA102" s="84"/>
      <c r="BB102" s="91"/>
      <c r="BC102" s="84"/>
      <c r="BD102" s="84"/>
      <c r="BE102" s="84"/>
      <c r="BF102" s="91"/>
      <c r="BG102" s="84"/>
      <c r="BH102" s="84"/>
      <c r="BI102" s="84"/>
      <c r="BJ102" s="91"/>
      <c r="BK102" s="84"/>
      <c r="BL102" s="84"/>
      <c r="BM102" s="84"/>
      <c r="BN102" s="91"/>
      <c r="BO102" s="84"/>
      <c r="BP102" s="84"/>
      <c r="BQ102" s="84"/>
      <c r="BR102" s="91"/>
      <c r="BS102" s="84"/>
      <c r="BT102" s="84"/>
      <c r="BU102" s="84"/>
      <c r="BV102" s="91"/>
      <c r="BW102" s="84"/>
      <c r="BX102" s="84"/>
      <c r="BY102" s="84"/>
      <c r="BZ102" s="91"/>
      <c r="CA102" s="84"/>
      <c r="CB102" s="84"/>
      <c r="CC102" s="84"/>
      <c r="CD102" s="91"/>
      <c r="CE102" s="4"/>
      <c r="CF102" s="4"/>
      <c r="CG102" s="4"/>
      <c r="CH102" s="4"/>
      <c r="CI102" s="4"/>
      <c r="CJ102" s="4"/>
      <c r="CK102" s="4"/>
      <c r="CL102" s="4"/>
      <c r="CM102" s="4"/>
      <c r="CN102" s="4"/>
      <c r="CO102" s="4"/>
      <c r="CP102" s="4"/>
      <c r="CQ102" s="4"/>
      <c r="CR102" s="4"/>
      <c r="CS102" s="4"/>
      <c r="CT102" s="4"/>
    </row>
    <row r="103" spans="2:98" x14ac:dyDescent="0.2">
      <c r="B103" s="259"/>
      <c r="C103" s="85"/>
      <c r="D103" s="86"/>
      <c r="E103" s="85"/>
      <c r="F103" s="90"/>
      <c r="G103" s="83"/>
      <c r="H103" s="83"/>
      <c r="I103" s="83"/>
      <c r="J103" s="11"/>
      <c r="K103" s="83"/>
      <c r="L103" s="83"/>
      <c r="M103" s="83"/>
      <c r="N103" s="11"/>
      <c r="O103" s="83"/>
      <c r="P103" s="83"/>
      <c r="Q103" s="83"/>
      <c r="R103" s="11"/>
      <c r="S103" s="83"/>
      <c r="T103" s="83"/>
      <c r="U103" s="83"/>
      <c r="V103" s="11"/>
      <c r="W103" s="83"/>
      <c r="X103" s="83"/>
      <c r="Y103" s="83"/>
      <c r="Z103" s="11"/>
      <c r="AA103" s="83"/>
      <c r="AB103" s="83"/>
      <c r="AC103" s="83"/>
      <c r="AD103" s="11"/>
      <c r="AE103" s="83"/>
      <c r="AF103" s="83"/>
      <c r="AG103" s="83"/>
      <c r="AH103" s="11"/>
      <c r="AI103" s="83"/>
      <c r="AJ103" s="83"/>
      <c r="AK103" s="83"/>
      <c r="AL103" s="11"/>
      <c r="AM103" s="83"/>
      <c r="AN103" s="83"/>
      <c r="AO103" s="83"/>
      <c r="AP103" s="11"/>
      <c r="AQ103" s="84"/>
      <c r="AR103" s="84"/>
      <c r="AS103" s="84"/>
      <c r="AT103" s="91"/>
      <c r="AU103" s="84"/>
      <c r="AV103" s="84"/>
      <c r="AW103" s="84"/>
      <c r="AX103" s="91"/>
      <c r="AY103" s="84"/>
      <c r="AZ103" s="84"/>
      <c r="BA103" s="84"/>
      <c r="BB103" s="91"/>
      <c r="BC103" s="84"/>
      <c r="BD103" s="84"/>
      <c r="BE103" s="84"/>
      <c r="BF103" s="91"/>
      <c r="BG103" s="84"/>
      <c r="BH103" s="84"/>
      <c r="BI103" s="84"/>
      <c r="BJ103" s="91"/>
      <c r="BK103" s="84"/>
      <c r="BL103" s="84"/>
      <c r="BM103" s="84"/>
      <c r="BN103" s="91"/>
      <c r="BO103" s="84"/>
      <c r="BP103" s="84"/>
      <c r="BQ103" s="84"/>
      <c r="BR103" s="91"/>
      <c r="BS103" s="84"/>
      <c r="BT103" s="84"/>
      <c r="BU103" s="84"/>
      <c r="BV103" s="91"/>
      <c r="BW103" s="84"/>
      <c r="BX103" s="84"/>
      <c r="BY103" s="84"/>
      <c r="BZ103" s="91"/>
      <c r="CA103" s="84"/>
      <c r="CB103" s="84"/>
      <c r="CC103" s="84"/>
      <c r="CD103" s="91"/>
      <c r="CE103" s="4"/>
      <c r="CF103" s="4"/>
      <c r="CG103" s="4"/>
      <c r="CH103" s="4"/>
      <c r="CI103" s="4"/>
      <c r="CJ103" s="4"/>
      <c r="CK103" s="4"/>
      <c r="CL103" s="4"/>
      <c r="CM103" s="4"/>
      <c r="CN103" s="4"/>
      <c r="CO103" s="4"/>
      <c r="CP103" s="4"/>
      <c r="CQ103" s="4"/>
      <c r="CR103" s="4"/>
      <c r="CS103" s="4"/>
      <c r="CT103" s="4"/>
    </row>
    <row r="104" spans="2:98" x14ac:dyDescent="0.2">
      <c r="B104" s="259"/>
      <c r="C104" s="85"/>
      <c r="D104" s="86"/>
      <c r="E104" s="85"/>
      <c r="F104" s="90"/>
      <c r="G104" s="83"/>
      <c r="H104" s="83"/>
      <c r="I104" s="83"/>
      <c r="J104" s="11"/>
      <c r="K104" s="83"/>
      <c r="L104" s="83"/>
      <c r="M104" s="83"/>
      <c r="N104" s="11"/>
      <c r="O104" s="83"/>
      <c r="P104" s="83"/>
      <c r="Q104" s="83"/>
      <c r="R104" s="11"/>
      <c r="S104" s="83"/>
      <c r="T104" s="83"/>
      <c r="U104" s="83"/>
      <c r="V104" s="11"/>
      <c r="W104" s="83"/>
      <c r="X104" s="83"/>
      <c r="Y104" s="83"/>
      <c r="Z104" s="11"/>
      <c r="AA104" s="83"/>
      <c r="AB104" s="83"/>
      <c r="AC104" s="83"/>
      <c r="AD104" s="11"/>
      <c r="AE104" s="83"/>
      <c r="AF104" s="83"/>
      <c r="AG104" s="83"/>
      <c r="AH104" s="11"/>
      <c r="AI104" s="83"/>
      <c r="AJ104" s="83"/>
      <c r="AK104" s="83"/>
      <c r="AL104" s="11"/>
      <c r="AM104" s="83"/>
      <c r="AN104" s="83"/>
      <c r="AO104" s="83"/>
      <c r="AP104" s="11"/>
      <c r="AQ104" s="84"/>
      <c r="AR104" s="84"/>
      <c r="AS104" s="84"/>
      <c r="AT104" s="91"/>
      <c r="AU104" s="84"/>
      <c r="AV104" s="84"/>
      <c r="AW104" s="84"/>
      <c r="AX104" s="91"/>
      <c r="AY104" s="84"/>
      <c r="AZ104" s="84"/>
      <c r="BA104" s="84"/>
      <c r="BB104" s="91"/>
      <c r="BC104" s="84"/>
      <c r="BD104" s="84"/>
      <c r="BE104" s="84"/>
      <c r="BF104" s="91"/>
      <c r="BG104" s="84"/>
      <c r="BH104" s="84"/>
      <c r="BI104" s="84"/>
      <c r="BJ104" s="91"/>
      <c r="BK104" s="84"/>
      <c r="BL104" s="84"/>
      <c r="BM104" s="84"/>
      <c r="BN104" s="91"/>
      <c r="BO104" s="84"/>
      <c r="BP104" s="84"/>
      <c r="BQ104" s="84"/>
      <c r="BR104" s="91"/>
      <c r="BS104" s="84"/>
      <c r="BT104" s="84"/>
      <c r="BU104" s="84"/>
      <c r="BV104" s="91"/>
      <c r="BW104" s="84"/>
      <c r="BX104" s="84"/>
      <c r="BY104" s="84"/>
      <c r="BZ104" s="91"/>
      <c r="CA104" s="84"/>
      <c r="CB104" s="84"/>
      <c r="CC104" s="84"/>
      <c r="CD104" s="91"/>
      <c r="CE104" s="4"/>
      <c r="CF104" s="4"/>
      <c r="CG104" s="4"/>
      <c r="CH104" s="4"/>
      <c r="CI104" s="4"/>
      <c r="CJ104" s="4"/>
      <c r="CK104" s="4"/>
      <c r="CL104" s="4"/>
      <c r="CM104" s="4"/>
      <c r="CN104" s="4"/>
      <c r="CO104" s="4"/>
      <c r="CP104" s="4"/>
      <c r="CQ104" s="4"/>
      <c r="CR104" s="4"/>
      <c r="CS104" s="4"/>
      <c r="CT104" s="4"/>
    </row>
    <row r="105" spans="2:98" x14ac:dyDescent="0.2">
      <c r="B105" s="259"/>
      <c r="C105" s="85"/>
      <c r="D105" s="86"/>
      <c r="E105" s="85"/>
      <c r="F105" s="90"/>
      <c r="G105" s="83"/>
      <c r="H105" s="83"/>
      <c r="I105" s="83"/>
      <c r="J105" s="11"/>
      <c r="K105" s="83"/>
      <c r="L105" s="83"/>
      <c r="M105" s="83"/>
      <c r="N105" s="11"/>
      <c r="O105" s="83"/>
      <c r="P105" s="83"/>
      <c r="Q105" s="83"/>
      <c r="R105" s="11"/>
      <c r="S105" s="83"/>
      <c r="T105" s="83"/>
      <c r="U105" s="83"/>
      <c r="V105" s="11"/>
      <c r="W105" s="83"/>
      <c r="X105" s="83"/>
      <c r="Y105" s="83"/>
      <c r="Z105" s="11"/>
      <c r="AA105" s="83"/>
      <c r="AB105" s="83"/>
      <c r="AC105" s="83"/>
      <c r="AD105" s="11"/>
      <c r="AE105" s="83"/>
      <c r="AF105" s="83"/>
      <c r="AG105" s="83"/>
      <c r="AH105" s="11"/>
      <c r="AI105" s="83"/>
      <c r="AJ105" s="83"/>
      <c r="AK105" s="83"/>
      <c r="AL105" s="11"/>
      <c r="AM105" s="83"/>
      <c r="AN105" s="83"/>
      <c r="AO105" s="83"/>
      <c r="AP105" s="11"/>
      <c r="AQ105" s="84"/>
      <c r="AR105" s="84"/>
      <c r="AS105" s="84"/>
      <c r="AT105" s="91"/>
      <c r="AU105" s="84"/>
      <c r="AV105" s="84"/>
      <c r="AW105" s="84"/>
      <c r="AX105" s="91"/>
      <c r="AY105" s="84"/>
      <c r="AZ105" s="84"/>
      <c r="BA105" s="84"/>
      <c r="BB105" s="91"/>
      <c r="BC105" s="84"/>
      <c r="BD105" s="84"/>
      <c r="BE105" s="84"/>
      <c r="BF105" s="91"/>
      <c r="BG105" s="84"/>
      <c r="BH105" s="84"/>
      <c r="BI105" s="84"/>
      <c r="BJ105" s="91"/>
      <c r="BK105" s="84"/>
      <c r="BL105" s="84"/>
      <c r="BM105" s="84"/>
      <c r="BN105" s="91"/>
      <c r="BO105" s="84"/>
      <c r="BP105" s="84"/>
      <c r="BQ105" s="84"/>
      <c r="BR105" s="91"/>
      <c r="BS105" s="84"/>
      <c r="BT105" s="84"/>
      <c r="BU105" s="84"/>
      <c r="BV105" s="91"/>
      <c r="BW105" s="84"/>
      <c r="BX105" s="84"/>
      <c r="BY105" s="84"/>
      <c r="BZ105" s="91"/>
      <c r="CA105" s="84"/>
      <c r="CB105" s="84"/>
      <c r="CC105" s="84"/>
      <c r="CD105" s="91"/>
      <c r="CE105" s="4"/>
      <c r="CF105" s="4"/>
      <c r="CG105" s="4"/>
      <c r="CH105" s="4"/>
      <c r="CI105" s="4"/>
      <c r="CJ105" s="4"/>
      <c r="CK105" s="4"/>
      <c r="CL105" s="4"/>
      <c r="CM105" s="4"/>
      <c r="CN105" s="4"/>
      <c r="CO105" s="4"/>
      <c r="CP105" s="4"/>
      <c r="CQ105" s="4"/>
      <c r="CR105" s="4"/>
      <c r="CS105" s="4"/>
      <c r="CT105" s="4"/>
    </row>
    <row r="106" spans="2:98" x14ac:dyDescent="0.2">
      <c r="B106" s="259"/>
      <c r="C106" s="85"/>
      <c r="D106" s="86"/>
      <c r="E106" s="85"/>
      <c r="F106" s="90"/>
      <c r="G106" s="83"/>
      <c r="H106" s="83"/>
      <c r="I106" s="83"/>
      <c r="J106" s="11"/>
      <c r="K106" s="83"/>
      <c r="L106" s="83"/>
      <c r="M106" s="83"/>
      <c r="N106" s="11"/>
      <c r="O106" s="83"/>
      <c r="P106" s="83"/>
      <c r="Q106" s="83"/>
      <c r="R106" s="11"/>
      <c r="S106" s="83"/>
      <c r="T106" s="83"/>
      <c r="U106" s="83"/>
      <c r="V106" s="11"/>
      <c r="W106" s="83"/>
      <c r="X106" s="83"/>
      <c r="Y106" s="83"/>
      <c r="Z106" s="11"/>
      <c r="AA106" s="83"/>
      <c r="AB106" s="83"/>
      <c r="AC106" s="83"/>
      <c r="AD106" s="11"/>
      <c r="AE106" s="83"/>
      <c r="AF106" s="83"/>
      <c r="AG106" s="83"/>
      <c r="AH106" s="11"/>
      <c r="AI106" s="83"/>
      <c r="AJ106" s="83"/>
      <c r="AK106" s="83"/>
      <c r="AL106" s="11"/>
      <c r="AM106" s="83"/>
      <c r="AN106" s="83"/>
      <c r="AO106" s="83"/>
      <c r="AP106" s="11"/>
      <c r="AQ106" s="84"/>
      <c r="AR106" s="84"/>
      <c r="AS106" s="84"/>
      <c r="AT106" s="91"/>
      <c r="AU106" s="84"/>
      <c r="AV106" s="84"/>
      <c r="AW106" s="84"/>
      <c r="AX106" s="91"/>
      <c r="AY106" s="84"/>
      <c r="AZ106" s="84"/>
      <c r="BA106" s="84"/>
      <c r="BB106" s="91"/>
      <c r="BC106" s="84"/>
      <c r="BD106" s="84"/>
      <c r="BE106" s="84"/>
      <c r="BF106" s="91"/>
      <c r="BG106" s="84"/>
      <c r="BH106" s="84"/>
      <c r="BI106" s="84"/>
      <c r="BJ106" s="91"/>
      <c r="BK106" s="84"/>
      <c r="BL106" s="84"/>
      <c r="BM106" s="84"/>
      <c r="BN106" s="91"/>
      <c r="BO106" s="84"/>
      <c r="BP106" s="84"/>
      <c r="BQ106" s="84"/>
      <c r="BR106" s="91"/>
      <c r="BS106" s="84"/>
      <c r="BT106" s="84"/>
      <c r="BU106" s="84"/>
      <c r="BV106" s="91"/>
      <c r="BW106" s="84"/>
      <c r="BX106" s="84"/>
      <c r="BY106" s="84"/>
      <c r="BZ106" s="91"/>
      <c r="CA106" s="84"/>
      <c r="CB106" s="84"/>
      <c r="CC106" s="84"/>
      <c r="CD106" s="91"/>
      <c r="CE106" s="4"/>
      <c r="CF106" s="4"/>
      <c r="CG106" s="4"/>
      <c r="CH106" s="4"/>
      <c r="CI106" s="4"/>
      <c r="CJ106" s="4"/>
      <c r="CK106" s="4"/>
      <c r="CL106" s="4"/>
      <c r="CM106" s="4"/>
      <c r="CN106" s="4"/>
      <c r="CO106" s="4"/>
      <c r="CP106" s="4"/>
      <c r="CQ106" s="4"/>
      <c r="CR106" s="4"/>
      <c r="CS106" s="4"/>
      <c r="CT106" s="4"/>
    </row>
    <row r="107" spans="2:98" x14ac:dyDescent="0.2">
      <c r="B107" s="259"/>
      <c r="C107" s="85"/>
      <c r="D107" s="86"/>
      <c r="E107" s="85"/>
      <c r="F107" s="90"/>
      <c r="G107" s="83"/>
      <c r="H107" s="83"/>
      <c r="I107" s="83"/>
      <c r="J107" s="11"/>
      <c r="K107" s="83"/>
      <c r="L107" s="83"/>
      <c r="M107" s="83"/>
      <c r="N107" s="11"/>
      <c r="O107" s="83"/>
      <c r="P107" s="83"/>
      <c r="Q107" s="83"/>
      <c r="R107" s="11"/>
      <c r="S107" s="83"/>
      <c r="T107" s="83"/>
      <c r="U107" s="83"/>
      <c r="V107" s="11"/>
      <c r="W107" s="83"/>
      <c r="X107" s="83"/>
      <c r="Y107" s="83"/>
      <c r="Z107" s="11"/>
      <c r="AA107" s="83"/>
      <c r="AB107" s="83"/>
      <c r="AC107" s="83"/>
      <c r="AD107" s="11"/>
      <c r="AE107" s="83"/>
      <c r="AF107" s="83"/>
      <c r="AG107" s="83"/>
      <c r="AH107" s="11"/>
      <c r="AI107" s="83"/>
      <c r="AJ107" s="83"/>
      <c r="AK107" s="83"/>
      <c r="AL107" s="11"/>
      <c r="AM107" s="83"/>
      <c r="AN107" s="83"/>
      <c r="AO107" s="83"/>
      <c r="AP107" s="11"/>
      <c r="AQ107" s="84"/>
      <c r="AR107" s="84"/>
      <c r="AS107" s="84"/>
      <c r="AT107" s="91"/>
      <c r="AU107" s="84"/>
      <c r="AV107" s="84"/>
      <c r="AW107" s="84"/>
      <c r="AX107" s="91"/>
      <c r="AY107" s="84"/>
      <c r="AZ107" s="84"/>
      <c r="BA107" s="84"/>
      <c r="BB107" s="91"/>
      <c r="BC107" s="84"/>
      <c r="BD107" s="84"/>
      <c r="BE107" s="84"/>
      <c r="BF107" s="91"/>
      <c r="BG107" s="84"/>
      <c r="BH107" s="84"/>
      <c r="BI107" s="84"/>
      <c r="BJ107" s="91"/>
      <c r="BK107" s="84"/>
      <c r="BL107" s="84"/>
      <c r="BM107" s="84"/>
      <c r="BN107" s="91"/>
      <c r="BO107" s="84"/>
      <c r="BP107" s="84"/>
      <c r="BQ107" s="84"/>
      <c r="BR107" s="91"/>
      <c r="BS107" s="84"/>
      <c r="BT107" s="84"/>
      <c r="BU107" s="84"/>
      <c r="BV107" s="91"/>
      <c r="BW107" s="84"/>
      <c r="BX107" s="84"/>
      <c r="BY107" s="84"/>
      <c r="BZ107" s="91"/>
      <c r="CA107" s="84"/>
      <c r="CB107" s="84"/>
      <c r="CC107" s="84"/>
      <c r="CD107" s="91"/>
      <c r="CE107" s="4"/>
      <c r="CF107" s="4"/>
      <c r="CG107" s="4"/>
      <c r="CH107" s="4"/>
      <c r="CI107" s="4"/>
      <c r="CJ107" s="4"/>
      <c r="CK107" s="4"/>
      <c r="CL107" s="4"/>
      <c r="CM107" s="4"/>
      <c r="CN107" s="4"/>
      <c r="CO107" s="4"/>
      <c r="CP107" s="4"/>
      <c r="CQ107" s="4"/>
      <c r="CR107" s="4"/>
      <c r="CS107" s="4"/>
      <c r="CT107" s="4"/>
    </row>
    <row r="108" spans="2:98" x14ac:dyDescent="0.2">
      <c r="B108" s="259"/>
      <c r="C108" s="85"/>
      <c r="D108" s="86"/>
      <c r="E108" s="85"/>
      <c r="F108" s="90"/>
      <c r="G108" s="83"/>
      <c r="H108" s="83"/>
      <c r="I108" s="83"/>
      <c r="J108" s="11"/>
      <c r="K108" s="83"/>
      <c r="L108" s="83"/>
      <c r="M108" s="83"/>
      <c r="N108" s="11"/>
      <c r="O108" s="83"/>
      <c r="P108" s="83"/>
      <c r="Q108" s="83"/>
      <c r="R108" s="11"/>
      <c r="S108" s="83"/>
      <c r="T108" s="83"/>
      <c r="U108" s="83"/>
      <c r="V108" s="11"/>
      <c r="W108" s="83"/>
      <c r="X108" s="83"/>
      <c r="Y108" s="83"/>
      <c r="Z108" s="11"/>
      <c r="AA108" s="83"/>
      <c r="AB108" s="83"/>
      <c r="AC108" s="83"/>
      <c r="AD108" s="11"/>
      <c r="AE108" s="83"/>
      <c r="AF108" s="83"/>
      <c r="AG108" s="83"/>
      <c r="AH108" s="11"/>
      <c r="AI108" s="83"/>
      <c r="AJ108" s="83"/>
      <c r="AK108" s="83"/>
      <c r="AL108" s="11"/>
      <c r="AM108" s="83"/>
      <c r="AN108" s="83"/>
      <c r="AO108" s="83"/>
      <c r="AP108" s="11"/>
      <c r="AQ108" s="84"/>
      <c r="AR108" s="84"/>
      <c r="AS108" s="84"/>
      <c r="AT108" s="91"/>
      <c r="AU108" s="84"/>
      <c r="AV108" s="84"/>
      <c r="AW108" s="84"/>
      <c r="AX108" s="91"/>
      <c r="AY108" s="84"/>
      <c r="AZ108" s="84"/>
      <c r="BA108" s="84"/>
      <c r="BB108" s="91"/>
      <c r="BC108" s="84"/>
      <c r="BD108" s="84"/>
      <c r="BE108" s="84"/>
      <c r="BF108" s="91"/>
      <c r="BG108" s="84"/>
      <c r="BH108" s="84"/>
      <c r="BI108" s="84"/>
      <c r="BJ108" s="91"/>
      <c r="BK108" s="84"/>
      <c r="BL108" s="84"/>
      <c r="BM108" s="84"/>
      <c r="BN108" s="91"/>
      <c r="BO108" s="84"/>
      <c r="BP108" s="84"/>
      <c r="BQ108" s="84"/>
      <c r="BR108" s="91"/>
      <c r="BS108" s="84"/>
      <c r="BT108" s="84"/>
      <c r="BU108" s="84"/>
      <c r="BV108" s="91"/>
      <c r="BW108" s="84"/>
      <c r="BX108" s="84"/>
      <c r="BY108" s="84"/>
      <c r="BZ108" s="91"/>
      <c r="CA108" s="84"/>
      <c r="CB108" s="84"/>
      <c r="CC108" s="84"/>
      <c r="CD108" s="91"/>
      <c r="CE108" s="4"/>
      <c r="CF108" s="4"/>
      <c r="CG108" s="4"/>
      <c r="CH108" s="4"/>
      <c r="CI108" s="4"/>
      <c r="CJ108" s="4"/>
      <c r="CK108" s="4"/>
      <c r="CL108" s="4"/>
      <c r="CM108" s="4"/>
      <c r="CN108" s="4"/>
      <c r="CO108" s="4"/>
      <c r="CP108" s="4"/>
      <c r="CQ108" s="4"/>
      <c r="CR108" s="4"/>
      <c r="CS108" s="4"/>
      <c r="CT108" s="4"/>
    </row>
    <row r="109" spans="2:98" x14ac:dyDescent="0.2">
      <c r="B109" s="259"/>
      <c r="C109" s="85"/>
      <c r="D109" s="86"/>
      <c r="E109" s="85"/>
      <c r="F109" s="90"/>
      <c r="G109" s="83"/>
      <c r="H109" s="83"/>
      <c r="I109" s="83"/>
      <c r="J109" s="11"/>
      <c r="K109" s="83"/>
      <c r="L109" s="83"/>
      <c r="M109" s="83"/>
      <c r="N109" s="11"/>
      <c r="O109" s="83"/>
      <c r="P109" s="83"/>
      <c r="Q109" s="83"/>
      <c r="R109" s="11"/>
      <c r="S109" s="83"/>
      <c r="T109" s="83"/>
      <c r="U109" s="83"/>
      <c r="V109" s="11"/>
      <c r="W109" s="83"/>
      <c r="X109" s="83"/>
      <c r="Y109" s="83"/>
      <c r="Z109" s="11"/>
      <c r="AA109" s="83"/>
      <c r="AB109" s="83"/>
      <c r="AC109" s="83"/>
      <c r="AD109" s="11"/>
      <c r="AE109" s="83"/>
      <c r="AF109" s="83"/>
      <c r="AG109" s="83"/>
      <c r="AH109" s="11"/>
      <c r="AI109" s="83"/>
      <c r="AJ109" s="83"/>
      <c r="AK109" s="83"/>
      <c r="AL109" s="11"/>
      <c r="AM109" s="83"/>
      <c r="AN109" s="83"/>
      <c r="AO109" s="83"/>
      <c r="AP109" s="11"/>
      <c r="AQ109" s="84"/>
      <c r="AR109" s="84"/>
      <c r="AS109" s="84"/>
      <c r="AT109" s="91"/>
      <c r="AU109" s="84"/>
      <c r="AV109" s="84"/>
      <c r="AW109" s="84"/>
      <c r="AX109" s="91"/>
      <c r="AY109" s="84"/>
      <c r="AZ109" s="84"/>
      <c r="BA109" s="84"/>
      <c r="BB109" s="91"/>
      <c r="BC109" s="84"/>
      <c r="BD109" s="84"/>
      <c r="BE109" s="84"/>
      <c r="BF109" s="91"/>
      <c r="BG109" s="84"/>
      <c r="BH109" s="84"/>
      <c r="BI109" s="84"/>
      <c r="BJ109" s="91"/>
      <c r="BK109" s="84"/>
      <c r="BL109" s="84"/>
      <c r="BM109" s="84"/>
      <c r="BN109" s="91"/>
      <c r="BO109" s="84"/>
      <c r="BP109" s="84"/>
      <c r="BQ109" s="84"/>
      <c r="BR109" s="91"/>
      <c r="BS109" s="84"/>
      <c r="BT109" s="84"/>
      <c r="BU109" s="84"/>
      <c r="BV109" s="91"/>
      <c r="BW109" s="84"/>
      <c r="BX109" s="84"/>
      <c r="BY109" s="84"/>
      <c r="BZ109" s="91"/>
      <c r="CA109" s="84"/>
      <c r="CB109" s="84"/>
      <c r="CC109" s="84"/>
      <c r="CD109" s="91"/>
      <c r="CE109" s="4"/>
      <c r="CF109" s="4"/>
      <c r="CG109" s="4"/>
      <c r="CH109" s="4"/>
      <c r="CI109" s="4"/>
      <c r="CJ109" s="4"/>
      <c r="CK109" s="4"/>
      <c r="CL109" s="4"/>
      <c r="CM109" s="4"/>
      <c r="CN109" s="4"/>
      <c r="CO109" s="4"/>
      <c r="CP109" s="4"/>
      <c r="CQ109" s="4"/>
      <c r="CR109" s="4"/>
      <c r="CS109" s="4"/>
      <c r="CT109" s="4"/>
    </row>
    <row r="110" spans="2:98" x14ac:dyDescent="0.2">
      <c r="B110" s="259"/>
      <c r="C110" s="85"/>
      <c r="D110" s="86"/>
      <c r="E110" s="85"/>
      <c r="F110" s="90"/>
      <c r="G110" s="83"/>
      <c r="H110" s="83"/>
      <c r="I110" s="83"/>
      <c r="J110" s="11"/>
      <c r="K110" s="83"/>
      <c r="L110" s="83"/>
      <c r="M110" s="83"/>
      <c r="N110" s="11"/>
      <c r="O110" s="83"/>
      <c r="P110" s="83"/>
      <c r="Q110" s="83"/>
      <c r="R110" s="11"/>
      <c r="S110" s="83"/>
      <c r="T110" s="83"/>
      <c r="U110" s="83"/>
      <c r="V110" s="11"/>
      <c r="W110" s="83"/>
      <c r="X110" s="83"/>
      <c r="Y110" s="83"/>
      <c r="Z110" s="11"/>
      <c r="AA110" s="83"/>
      <c r="AB110" s="83"/>
      <c r="AC110" s="83"/>
      <c r="AD110" s="11"/>
      <c r="AE110" s="83"/>
      <c r="AF110" s="83"/>
      <c r="AG110" s="83"/>
      <c r="AH110" s="11"/>
      <c r="AI110" s="83"/>
      <c r="AJ110" s="83"/>
      <c r="AK110" s="83"/>
      <c r="AL110" s="11"/>
      <c r="AM110" s="83"/>
      <c r="AN110" s="83"/>
      <c r="AO110" s="83"/>
      <c r="AP110" s="11"/>
      <c r="AQ110" s="84"/>
      <c r="AR110" s="84"/>
      <c r="AS110" s="84"/>
      <c r="AT110" s="91"/>
      <c r="AU110" s="84"/>
      <c r="AV110" s="84"/>
      <c r="AW110" s="84"/>
      <c r="AX110" s="91"/>
      <c r="AY110" s="84"/>
      <c r="AZ110" s="84"/>
      <c r="BA110" s="84"/>
      <c r="BB110" s="91"/>
      <c r="BC110" s="84"/>
      <c r="BD110" s="84"/>
      <c r="BE110" s="84"/>
      <c r="BF110" s="91"/>
      <c r="BG110" s="84"/>
      <c r="BH110" s="84"/>
      <c r="BI110" s="84"/>
      <c r="BJ110" s="91"/>
      <c r="BK110" s="84"/>
      <c r="BL110" s="84"/>
      <c r="BM110" s="84"/>
      <c r="BN110" s="91"/>
      <c r="BO110" s="84"/>
      <c r="BP110" s="84"/>
      <c r="BQ110" s="84"/>
      <c r="BR110" s="91"/>
      <c r="BS110" s="84"/>
      <c r="BT110" s="84"/>
      <c r="BU110" s="84"/>
      <c r="BV110" s="91"/>
      <c r="BW110" s="84"/>
      <c r="BX110" s="84"/>
      <c r="BY110" s="84"/>
      <c r="BZ110" s="91"/>
      <c r="CA110" s="84"/>
      <c r="CB110" s="84"/>
      <c r="CC110" s="84"/>
      <c r="CD110" s="91"/>
      <c r="CE110" s="4"/>
      <c r="CF110" s="4"/>
      <c r="CG110" s="4"/>
      <c r="CH110" s="4"/>
      <c r="CI110" s="4"/>
      <c r="CJ110" s="4"/>
      <c r="CK110" s="4"/>
      <c r="CL110" s="4"/>
      <c r="CM110" s="4"/>
      <c r="CN110" s="4"/>
      <c r="CO110" s="4"/>
      <c r="CP110" s="4"/>
      <c r="CQ110" s="4"/>
      <c r="CR110" s="4"/>
      <c r="CS110" s="4"/>
      <c r="CT110" s="4"/>
    </row>
    <row r="111" spans="2:98" x14ac:dyDescent="0.2">
      <c r="B111" s="259"/>
      <c r="C111" s="85"/>
      <c r="D111" s="86"/>
      <c r="E111" s="85"/>
      <c r="F111" s="90"/>
      <c r="G111" s="83"/>
      <c r="H111" s="83"/>
      <c r="I111" s="83"/>
      <c r="J111" s="11"/>
      <c r="K111" s="83"/>
      <c r="L111" s="83"/>
      <c r="M111" s="83"/>
      <c r="N111" s="11"/>
      <c r="O111" s="83"/>
      <c r="P111" s="83"/>
      <c r="Q111" s="83"/>
      <c r="R111" s="11"/>
      <c r="S111" s="83"/>
      <c r="T111" s="83"/>
      <c r="U111" s="83"/>
      <c r="V111" s="11"/>
      <c r="W111" s="83"/>
      <c r="X111" s="83"/>
      <c r="Y111" s="83"/>
      <c r="Z111" s="11"/>
      <c r="AA111" s="83"/>
      <c r="AB111" s="83"/>
      <c r="AC111" s="83"/>
      <c r="AD111" s="11"/>
      <c r="AE111" s="83"/>
      <c r="AF111" s="83"/>
      <c r="AG111" s="83"/>
      <c r="AH111" s="11"/>
      <c r="AI111" s="83"/>
      <c r="AJ111" s="83"/>
      <c r="AK111" s="83"/>
      <c r="AL111" s="11"/>
      <c r="AM111" s="83"/>
      <c r="AN111" s="83"/>
      <c r="AO111" s="83"/>
      <c r="AP111" s="11"/>
      <c r="AQ111" s="84"/>
      <c r="AR111" s="84"/>
      <c r="AS111" s="84"/>
      <c r="AT111" s="91"/>
      <c r="AU111" s="84"/>
      <c r="AV111" s="84"/>
      <c r="AW111" s="84"/>
      <c r="AX111" s="91"/>
      <c r="AY111" s="84"/>
      <c r="AZ111" s="84"/>
      <c r="BA111" s="84"/>
      <c r="BB111" s="91"/>
      <c r="BC111" s="84"/>
      <c r="BD111" s="84"/>
      <c r="BE111" s="84"/>
      <c r="BF111" s="91"/>
      <c r="BG111" s="84"/>
      <c r="BH111" s="84"/>
      <c r="BI111" s="84"/>
      <c r="BJ111" s="91"/>
      <c r="BK111" s="84"/>
      <c r="BL111" s="84"/>
      <c r="BM111" s="84"/>
      <c r="BN111" s="91"/>
      <c r="BO111" s="84"/>
      <c r="BP111" s="84"/>
      <c r="BQ111" s="84"/>
      <c r="BR111" s="91"/>
      <c r="BS111" s="84"/>
      <c r="BT111" s="84"/>
      <c r="BU111" s="84"/>
      <c r="BV111" s="91"/>
      <c r="BW111" s="84"/>
      <c r="BX111" s="84"/>
      <c r="BY111" s="84"/>
      <c r="BZ111" s="91"/>
      <c r="CA111" s="84"/>
      <c r="CB111" s="84"/>
      <c r="CC111" s="84"/>
      <c r="CD111" s="91"/>
      <c r="CE111" s="4"/>
      <c r="CF111" s="4"/>
      <c r="CG111" s="4"/>
      <c r="CH111" s="4"/>
      <c r="CI111" s="4"/>
      <c r="CJ111" s="4"/>
      <c r="CK111" s="4"/>
      <c r="CL111" s="4"/>
      <c r="CM111" s="4"/>
      <c r="CN111" s="4"/>
      <c r="CO111" s="4"/>
      <c r="CP111" s="4"/>
      <c r="CQ111" s="4"/>
      <c r="CR111" s="4"/>
      <c r="CS111" s="4"/>
      <c r="CT111" s="4"/>
    </row>
    <row r="112" spans="2:98" x14ac:dyDescent="0.2">
      <c r="B112" s="259"/>
      <c r="C112" s="85"/>
      <c r="D112" s="86"/>
      <c r="E112" s="85"/>
      <c r="F112" s="90"/>
      <c r="G112" s="83"/>
      <c r="H112" s="83"/>
      <c r="I112" s="83"/>
      <c r="J112" s="11"/>
      <c r="K112" s="83"/>
      <c r="L112" s="83"/>
      <c r="M112" s="83"/>
      <c r="N112" s="11"/>
      <c r="O112" s="83"/>
      <c r="P112" s="83"/>
      <c r="Q112" s="83"/>
      <c r="R112" s="11"/>
      <c r="S112" s="83"/>
      <c r="T112" s="83"/>
      <c r="U112" s="83"/>
      <c r="V112" s="11"/>
      <c r="W112" s="83"/>
      <c r="X112" s="83"/>
      <c r="Y112" s="83"/>
      <c r="Z112" s="11"/>
      <c r="AA112" s="83"/>
      <c r="AB112" s="83"/>
      <c r="AC112" s="83"/>
      <c r="AD112" s="11"/>
      <c r="AE112" s="83"/>
      <c r="AF112" s="83"/>
      <c r="AG112" s="83"/>
      <c r="AH112" s="11"/>
      <c r="AI112" s="83"/>
      <c r="AJ112" s="83"/>
      <c r="AK112" s="83"/>
      <c r="AL112" s="11"/>
      <c r="AM112" s="83"/>
      <c r="AN112" s="83"/>
      <c r="AO112" s="83"/>
      <c r="AP112" s="11"/>
      <c r="AQ112" s="84"/>
      <c r="AR112" s="84"/>
      <c r="AS112" s="84"/>
      <c r="AT112" s="91"/>
      <c r="AU112" s="84"/>
      <c r="AV112" s="84"/>
      <c r="AW112" s="84"/>
      <c r="AX112" s="91"/>
      <c r="AY112" s="84"/>
      <c r="AZ112" s="84"/>
      <c r="BA112" s="84"/>
      <c r="BB112" s="91"/>
      <c r="BC112" s="84"/>
      <c r="BD112" s="84"/>
      <c r="BE112" s="84"/>
      <c r="BF112" s="91"/>
      <c r="BG112" s="84"/>
      <c r="BH112" s="84"/>
      <c r="BI112" s="84"/>
      <c r="BJ112" s="91"/>
      <c r="BK112" s="84"/>
      <c r="BL112" s="84"/>
      <c r="BM112" s="84"/>
      <c r="BN112" s="91"/>
      <c r="BO112" s="84"/>
      <c r="BP112" s="84"/>
      <c r="BQ112" s="84"/>
      <c r="BR112" s="91"/>
      <c r="BS112" s="84"/>
      <c r="BT112" s="84"/>
      <c r="BU112" s="84"/>
      <c r="BV112" s="91"/>
      <c r="BW112" s="84"/>
      <c r="BX112" s="84"/>
      <c r="BY112" s="84"/>
      <c r="BZ112" s="91"/>
      <c r="CA112" s="84"/>
      <c r="CB112" s="84"/>
      <c r="CC112" s="84"/>
      <c r="CD112" s="91"/>
      <c r="CE112" s="4"/>
      <c r="CF112" s="4"/>
      <c r="CG112" s="4"/>
      <c r="CH112" s="4"/>
      <c r="CI112" s="4"/>
      <c r="CJ112" s="4"/>
      <c r="CK112" s="4"/>
      <c r="CL112" s="4"/>
      <c r="CM112" s="4"/>
      <c r="CN112" s="4"/>
      <c r="CO112" s="4"/>
      <c r="CP112" s="4"/>
      <c r="CQ112" s="4"/>
      <c r="CR112" s="4"/>
      <c r="CS112" s="4"/>
      <c r="CT112" s="4"/>
    </row>
    <row r="113" spans="2:98" x14ac:dyDescent="0.2">
      <c r="B113" s="259"/>
      <c r="C113" s="85"/>
      <c r="D113" s="86"/>
      <c r="E113" s="85"/>
      <c r="F113" s="90"/>
      <c r="G113" s="83"/>
      <c r="H113" s="83"/>
      <c r="I113" s="83"/>
      <c r="J113" s="11"/>
      <c r="K113" s="83"/>
      <c r="L113" s="83"/>
      <c r="M113" s="83"/>
      <c r="N113" s="11"/>
      <c r="O113" s="83"/>
      <c r="P113" s="83"/>
      <c r="Q113" s="83"/>
      <c r="R113" s="11"/>
      <c r="S113" s="83"/>
      <c r="T113" s="83"/>
      <c r="U113" s="83"/>
      <c r="V113" s="11"/>
      <c r="W113" s="83"/>
      <c r="X113" s="83"/>
      <c r="Y113" s="83"/>
      <c r="Z113" s="11"/>
      <c r="AA113" s="83"/>
      <c r="AB113" s="83"/>
      <c r="AC113" s="83"/>
      <c r="AD113" s="11"/>
      <c r="AE113" s="83"/>
      <c r="AF113" s="83"/>
      <c r="AG113" s="83"/>
      <c r="AH113" s="11"/>
      <c r="AI113" s="83"/>
      <c r="AJ113" s="83"/>
      <c r="AK113" s="83"/>
      <c r="AL113" s="11"/>
      <c r="AM113" s="83"/>
      <c r="AN113" s="83"/>
      <c r="AO113" s="83"/>
      <c r="AP113" s="11"/>
      <c r="AQ113" s="84"/>
      <c r="AR113" s="84"/>
      <c r="AS113" s="84"/>
      <c r="AT113" s="91"/>
      <c r="AU113" s="84"/>
      <c r="AV113" s="84"/>
      <c r="AW113" s="84"/>
      <c r="AX113" s="91"/>
      <c r="AY113" s="84"/>
      <c r="AZ113" s="84"/>
      <c r="BA113" s="84"/>
      <c r="BB113" s="91"/>
      <c r="BC113" s="84"/>
      <c r="BD113" s="84"/>
      <c r="BE113" s="84"/>
      <c r="BF113" s="91"/>
      <c r="BG113" s="84"/>
      <c r="BH113" s="84"/>
      <c r="BI113" s="84"/>
      <c r="BJ113" s="91"/>
      <c r="BK113" s="84"/>
      <c r="BL113" s="84"/>
      <c r="BM113" s="84"/>
      <c r="BN113" s="91"/>
      <c r="BO113" s="84"/>
      <c r="BP113" s="84"/>
      <c r="BQ113" s="84"/>
      <c r="BR113" s="91"/>
      <c r="BS113" s="84"/>
      <c r="BT113" s="84"/>
      <c r="BU113" s="84"/>
      <c r="BV113" s="91"/>
      <c r="BW113" s="84"/>
      <c r="BX113" s="84"/>
      <c r="BY113" s="84"/>
      <c r="BZ113" s="91"/>
      <c r="CA113" s="84"/>
      <c r="CB113" s="84"/>
      <c r="CC113" s="84"/>
      <c r="CD113" s="91"/>
      <c r="CE113" s="4"/>
      <c r="CF113" s="4"/>
      <c r="CG113" s="4"/>
      <c r="CH113" s="4"/>
      <c r="CI113" s="4"/>
      <c r="CJ113" s="4"/>
      <c r="CK113" s="4"/>
      <c r="CL113" s="4"/>
      <c r="CM113" s="4"/>
      <c r="CN113" s="4"/>
      <c r="CO113" s="4"/>
      <c r="CP113" s="4"/>
      <c r="CQ113" s="4"/>
      <c r="CR113" s="4"/>
      <c r="CS113" s="4"/>
      <c r="CT113" s="4"/>
    </row>
    <row r="114" spans="2:98" x14ac:dyDescent="0.2">
      <c r="B114" s="259"/>
      <c r="C114" s="85"/>
      <c r="D114" s="86"/>
      <c r="E114" s="85"/>
      <c r="F114" s="90"/>
      <c r="G114" s="83"/>
      <c r="H114" s="83"/>
      <c r="I114" s="83"/>
      <c r="J114" s="11"/>
      <c r="K114" s="83"/>
      <c r="L114" s="83"/>
      <c r="M114" s="83"/>
      <c r="N114" s="11"/>
      <c r="O114" s="83"/>
      <c r="P114" s="83"/>
      <c r="Q114" s="83"/>
      <c r="R114" s="11"/>
      <c r="S114" s="83"/>
      <c r="T114" s="83"/>
      <c r="U114" s="83"/>
      <c r="V114" s="11"/>
      <c r="W114" s="83"/>
      <c r="X114" s="83"/>
      <c r="Y114" s="83"/>
      <c r="Z114" s="11"/>
      <c r="AA114" s="83"/>
      <c r="AB114" s="83"/>
      <c r="AC114" s="83"/>
      <c r="AD114" s="11"/>
      <c r="AE114" s="83"/>
      <c r="AF114" s="83"/>
      <c r="AG114" s="83"/>
      <c r="AH114" s="11"/>
      <c r="AI114" s="83"/>
      <c r="AJ114" s="83"/>
      <c r="AK114" s="83"/>
      <c r="AL114" s="11"/>
      <c r="AM114" s="83"/>
      <c r="AN114" s="83"/>
      <c r="AO114" s="83"/>
      <c r="AP114" s="11"/>
      <c r="AQ114" s="84"/>
      <c r="AR114" s="84"/>
      <c r="AS114" s="84"/>
      <c r="AT114" s="91"/>
      <c r="AU114" s="84"/>
      <c r="AV114" s="84"/>
      <c r="AW114" s="84"/>
      <c r="AX114" s="91"/>
      <c r="AY114" s="84"/>
      <c r="AZ114" s="84"/>
      <c r="BA114" s="84"/>
      <c r="BB114" s="91"/>
      <c r="BC114" s="84"/>
      <c r="BD114" s="84"/>
      <c r="BE114" s="84"/>
      <c r="BF114" s="91"/>
      <c r="BG114" s="84"/>
      <c r="BH114" s="84"/>
      <c r="BI114" s="84"/>
      <c r="BJ114" s="91"/>
      <c r="BK114" s="84"/>
      <c r="BL114" s="84"/>
      <c r="BM114" s="84"/>
      <c r="BN114" s="91"/>
      <c r="BO114" s="84"/>
      <c r="BP114" s="84"/>
      <c r="BQ114" s="84"/>
      <c r="BR114" s="91"/>
      <c r="BS114" s="84"/>
      <c r="BT114" s="84"/>
      <c r="BU114" s="84"/>
      <c r="BV114" s="91"/>
      <c r="BW114" s="84"/>
      <c r="BX114" s="84"/>
      <c r="BY114" s="84"/>
      <c r="BZ114" s="91"/>
      <c r="CA114" s="84"/>
      <c r="CB114" s="84"/>
      <c r="CC114" s="84"/>
      <c r="CD114" s="91"/>
      <c r="CE114" s="4"/>
      <c r="CF114" s="4"/>
      <c r="CG114" s="4"/>
      <c r="CH114" s="4"/>
      <c r="CI114" s="4"/>
      <c r="CJ114" s="4"/>
      <c r="CK114" s="4"/>
      <c r="CL114" s="4"/>
      <c r="CM114" s="4"/>
      <c r="CN114" s="4"/>
      <c r="CO114" s="4"/>
      <c r="CP114" s="4"/>
      <c r="CQ114" s="4"/>
      <c r="CR114" s="4"/>
      <c r="CS114" s="4"/>
      <c r="CT114" s="4"/>
    </row>
    <row r="115" spans="2:98" x14ac:dyDescent="0.2">
      <c r="B115" s="259"/>
      <c r="C115" s="85"/>
      <c r="D115" s="86"/>
      <c r="E115" s="85"/>
      <c r="F115" s="90"/>
      <c r="G115" s="83"/>
      <c r="H115" s="83"/>
      <c r="I115" s="83"/>
      <c r="J115" s="11"/>
      <c r="K115" s="83"/>
      <c r="L115" s="83"/>
      <c r="M115" s="83"/>
      <c r="N115" s="11"/>
      <c r="O115" s="83"/>
      <c r="P115" s="83"/>
      <c r="Q115" s="83"/>
      <c r="R115" s="11"/>
      <c r="S115" s="83"/>
      <c r="T115" s="83"/>
      <c r="U115" s="83"/>
      <c r="V115" s="11"/>
      <c r="W115" s="83"/>
      <c r="X115" s="83"/>
      <c r="Y115" s="83"/>
      <c r="Z115" s="11"/>
      <c r="AA115" s="83"/>
      <c r="AB115" s="83"/>
      <c r="AC115" s="83"/>
      <c r="AD115" s="11"/>
      <c r="AE115" s="83"/>
      <c r="AF115" s="83"/>
      <c r="AG115" s="83"/>
      <c r="AH115" s="11"/>
      <c r="AI115" s="83"/>
      <c r="AJ115" s="83"/>
      <c r="AK115" s="83"/>
      <c r="AL115" s="11"/>
      <c r="AM115" s="83"/>
      <c r="AN115" s="83"/>
      <c r="AO115" s="83"/>
      <c r="AP115" s="11"/>
      <c r="AQ115" s="84"/>
      <c r="AR115" s="84"/>
      <c r="AS115" s="84"/>
      <c r="AT115" s="91"/>
      <c r="AU115" s="84"/>
      <c r="AV115" s="84"/>
      <c r="AW115" s="84"/>
      <c r="AX115" s="91"/>
      <c r="AY115" s="84"/>
      <c r="AZ115" s="84"/>
      <c r="BA115" s="84"/>
      <c r="BB115" s="91"/>
      <c r="BC115" s="84"/>
      <c r="BD115" s="84"/>
      <c r="BE115" s="84"/>
      <c r="BF115" s="91"/>
      <c r="BG115" s="84"/>
      <c r="BH115" s="84"/>
      <c r="BI115" s="84"/>
      <c r="BJ115" s="91"/>
      <c r="BK115" s="84"/>
      <c r="BL115" s="84"/>
      <c r="BM115" s="84"/>
      <c r="BN115" s="91"/>
      <c r="BO115" s="84"/>
      <c r="BP115" s="84"/>
      <c r="BQ115" s="84"/>
      <c r="BR115" s="91"/>
      <c r="BS115" s="84"/>
      <c r="BT115" s="84"/>
      <c r="BU115" s="84"/>
      <c r="BV115" s="91"/>
      <c r="BW115" s="84"/>
      <c r="BX115" s="84"/>
      <c r="BY115" s="84"/>
      <c r="BZ115" s="91"/>
      <c r="CA115" s="84"/>
      <c r="CB115" s="84"/>
      <c r="CC115" s="84"/>
      <c r="CD115" s="91"/>
      <c r="CE115" s="4"/>
      <c r="CF115" s="4"/>
      <c r="CG115" s="4"/>
      <c r="CH115" s="4"/>
      <c r="CI115" s="4"/>
      <c r="CJ115" s="4"/>
      <c r="CK115" s="4"/>
      <c r="CL115" s="4"/>
      <c r="CM115" s="4"/>
      <c r="CN115" s="4"/>
      <c r="CO115" s="4"/>
      <c r="CP115" s="4"/>
      <c r="CQ115" s="4"/>
      <c r="CR115" s="4"/>
      <c r="CS115" s="4"/>
      <c r="CT115" s="4"/>
    </row>
    <row r="116" spans="2:98" x14ac:dyDescent="0.2">
      <c r="B116" s="259"/>
      <c r="C116" s="85"/>
      <c r="D116" s="86"/>
      <c r="E116" s="85"/>
      <c r="F116" s="90"/>
      <c r="G116" s="83"/>
      <c r="H116" s="83"/>
      <c r="I116" s="83"/>
      <c r="J116" s="11"/>
      <c r="K116" s="83"/>
      <c r="L116" s="83"/>
      <c r="M116" s="83"/>
      <c r="N116" s="11"/>
      <c r="O116" s="83"/>
      <c r="P116" s="83"/>
      <c r="Q116" s="83"/>
      <c r="R116" s="11"/>
      <c r="S116" s="83"/>
      <c r="T116" s="83"/>
      <c r="U116" s="83"/>
      <c r="V116" s="11"/>
      <c r="W116" s="83"/>
      <c r="X116" s="83"/>
      <c r="Y116" s="83"/>
      <c r="Z116" s="11"/>
      <c r="AA116" s="83"/>
      <c r="AB116" s="83"/>
      <c r="AC116" s="83"/>
      <c r="AD116" s="11"/>
      <c r="AE116" s="83"/>
      <c r="AF116" s="83"/>
      <c r="AG116" s="83"/>
      <c r="AH116" s="11"/>
      <c r="AI116" s="83"/>
      <c r="AJ116" s="83"/>
      <c r="AK116" s="83"/>
      <c r="AL116" s="11"/>
      <c r="AM116" s="83"/>
      <c r="AN116" s="83"/>
      <c r="AO116" s="83"/>
      <c r="AP116" s="11"/>
      <c r="AQ116" s="84"/>
      <c r="AR116" s="84"/>
      <c r="AS116" s="84"/>
      <c r="AT116" s="91"/>
      <c r="AU116" s="84"/>
      <c r="AV116" s="84"/>
      <c r="AW116" s="84"/>
      <c r="AX116" s="91"/>
      <c r="AY116" s="84"/>
      <c r="AZ116" s="84"/>
      <c r="BA116" s="84"/>
      <c r="BB116" s="91"/>
      <c r="BC116" s="84"/>
      <c r="BD116" s="84"/>
      <c r="BE116" s="84"/>
      <c r="BF116" s="91"/>
      <c r="BG116" s="84"/>
      <c r="BH116" s="84"/>
      <c r="BI116" s="84"/>
      <c r="BJ116" s="91"/>
      <c r="BK116" s="84"/>
      <c r="BL116" s="84"/>
      <c r="BM116" s="84"/>
      <c r="BN116" s="91"/>
      <c r="BO116" s="84"/>
      <c r="BP116" s="84"/>
      <c r="BQ116" s="84"/>
      <c r="BR116" s="91"/>
      <c r="BS116" s="84"/>
      <c r="BT116" s="84"/>
      <c r="BU116" s="84"/>
      <c r="BV116" s="91"/>
      <c r="BW116" s="84"/>
      <c r="BX116" s="84"/>
      <c r="BY116" s="84"/>
      <c r="BZ116" s="91"/>
      <c r="CA116" s="84"/>
      <c r="CB116" s="84"/>
      <c r="CC116" s="84"/>
      <c r="CD116" s="91"/>
      <c r="CE116" s="4"/>
      <c r="CF116" s="4"/>
      <c r="CG116" s="4"/>
      <c r="CH116" s="4"/>
      <c r="CI116" s="4"/>
      <c r="CJ116" s="4"/>
      <c r="CK116" s="4"/>
      <c r="CL116" s="4"/>
      <c r="CM116" s="4"/>
      <c r="CN116" s="4"/>
      <c r="CO116" s="4"/>
      <c r="CP116" s="4"/>
      <c r="CQ116" s="4"/>
      <c r="CR116" s="4"/>
      <c r="CS116" s="4"/>
      <c r="CT116" s="4"/>
    </row>
    <row r="117" spans="2:98" x14ac:dyDescent="0.2">
      <c r="B117" s="259"/>
      <c r="C117" s="85"/>
      <c r="D117" s="86"/>
      <c r="E117" s="85"/>
      <c r="F117" s="90"/>
      <c r="G117" s="83"/>
      <c r="H117" s="83"/>
      <c r="I117" s="83"/>
      <c r="J117" s="11"/>
      <c r="K117" s="83"/>
      <c r="L117" s="83"/>
      <c r="M117" s="83"/>
      <c r="N117" s="11"/>
      <c r="O117" s="83"/>
      <c r="P117" s="83"/>
      <c r="Q117" s="83"/>
      <c r="R117" s="11"/>
      <c r="S117" s="83"/>
      <c r="T117" s="83"/>
      <c r="U117" s="83"/>
      <c r="V117" s="11"/>
      <c r="W117" s="83"/>
      <c r="X117" s="83"/>
      <c r="Y117" s="83"/>
      <c r="Z117" s="11"/>
      <c r="AA117" s="83"/>
      <c r="AB117" s="83"/>
      <c r="AC117" s="83"/>
      <c r="AD117" s="11"/>
      <c r="AE117" s="83"/>
      <c r="AF117" s="83"/>
      <c r="AG117" s="83"/>
      <c r="AH117" s="11"/>
      <c r="AI117" s="83"/>
      <c r="AJ117" s="83"/>
      <c r="AK117" s="83"/>
      <c r="AL117" s="11"/>
      <c r="AM117" s="83"/>
      <c r="AN117" s="83"/>
      <c r="AO117" s="83"/>
      <c r="AP117" s="11"/>
      <c r="AQ117" s="84"/>
      <c r="AR117" s="84"/>
      <c r="AS117" s="84"/>
      <c r="AT117" s="91"/>
      <c r="AU117" s="84"/>
      <c r="AV117" s="84"/>
      <c r="AW117" s="84"/>
      <c r="AX117" s="91"/>
      <c r="AY117" s="84"/>
      <c r="AZ117" s="84"/>
      <c r="BA117" s="84"/>
      <c r="BB117" s="91"/>
      <c r="BC117" s="84"/>
      <c r="BD117" s="84"/>
      <c r="BE117" s="84"/>
      <c r="BF117" s="91"/>
      <c r="BG117" s="84"/>
      <c r="BH117" s="84"/>
      <c r="BI117" s="84"/>
      <c r="BJ117" s="91"/>
      <c r="BK117" s="84"/>
      <c r="BL117" s="84"/>
      <c r="BM117" s="84"/>
      <c r="BN117" s="91"/>
      <c r="BO117" s="84"/>
      <c r="BP117" s="84"/>
      <c r="BQ117" s="84"/>
      <c r="BR117" s="91"/>
      <c r="BS117" s="84"/>
      <c r="BT117" s="84"/>
      <c r="BU117" s="84"/>
      <c r="BV117" s="91"/>
      <c r="BW117" s="84"/>
      <c r="BX117" s="84"/>
      <c r="BY117" s="84"/>
      <c r="BZ117" s="91"/>
      <c r="CA117" s="84"/>
      <c r="CB117" s="84"/>
      <c r="CC117" s="84"/>
      <c r="CD117" s="91"/>
      <c r="CE117" s="4"/>
      <c r="CF117" s="4"/>
      <c r="CG117" s="4"/>
      <c r="CH117" s="4"/>
      <c r="CI117" s="4"/>
      <c r="CJ117" s="4"/>
      <c r="CK117" s="4"/>
      <c r="CL117" s="4"/>
      <c r="CM117" s="4"/>
      <c r="CN117" s="4"/>
      <c r="CO117" s="4"/>
      <c r="CP117" s="4"/>
      <c r="CQ117" s="4"/>
      <c r="CR117" s="4"/>
      <c r="CS117" s="4"/>
      <c r="CT117" s="4"/>
    </row>
    <row r="118" spans="2:98" x14ac:dyDescent="0.2">
      <c r="B118" s="259"/>
      <c r="C118" s="85"/>
      <c r="D118" s="86"/>
      <c r="E118" s="85"/>
      <c r="F118" s="90"/>
      <c r="G118" s="83"/>
      <c r="H118" s="83"/>
      <c r="I118" s="83"/>
      <c r="J118" s="11"/>
      <c r="K118" s="83"/>
      <c r="L118" s="83"/>
      <c r="M118" s="83"/>
      <c r="N118" s="11"/>
      <c r="O118" s="83"/>
      <c r="P118" s="83"/>
      <c r="Q118" s="83"/>
      <c r="R118" s="11"/>
      <c r="S118" s="83"/>
      <c r="T118" s="83"/>
      <c r="U118" s="83"/>
      <c r="V118" s="11"/>
      <c r="W118" s="83"/>
      <c r="X118" s="83"/>
      <c r="Y118" s="83"/>
      <c r="Z118" s="11"/>
      <c r="AA118" s="83"/>
      <c r="AB118" s="83"/>
      <c r="AC118" s="83"/>
      <c r="AD118" s="11"/>
      <c r="AE118" s="83"/>
      <c r="AF118" s="83"/>
      <c r="AG118" s="83"/>
      <c r="AH118" s="11"/>
      <c r="AI118" s="83"/>
      <c r="AJ118" s="83"/>
      <c r="AK118" s="83"/>
      <c r="AL118" s="11"/>
      <c r="AM118" s="83"/>
      <c r="AN118" s="83"/>
      <c r="AO118" s="83"/>
      <c r="AP118" s="11"/>
      <c r="AQ118" s="84"/>
      <c r="AR118" s="84"/>
      <c r="AS118" s="84"/>
      <c r="AT118" s="91"/>
      <c r="AU118" s="84"/>
      <c r="AV118" s="84"/>
      <c r="AW118" s="84"/>
      <c r="AX118" s="91"/>
      <c r="AY118" s="84"/>
      <c r="AZ118" s="84"/>
      <c r="BA118" s="84"/>
      <c r="BB118" s="91"/>
      <c r="BC118" s="84"/>
      <c r="BD118" s="84"/>
      <c r="BE118" s="84"/>
      <c r="BF118" s="91"/>
      <c r="BG118" s="84"/>
      <c r="BH118" s="84"/>
      <c r="BI118" s="84"/>
      <c r="BJ118" s="91"/>
      <c r="BK118" s="84"/>
      <c r="BL118" s="84"/>
      <c r="BM118" s="84"/>
      <c r="BN118" s="91"/>
      <c r="BO118" s="84"/>
      <c r="BP118" s="84"/>
      <c r="BQ118" s="84"/>
      <c r="BR118" s="91"/>
      <c r="BS118" s="84"/>
      <c r="BT118" s="84"/>
      <c r="BU118" s="84"/>
      <c r="BV118" s="91"/>
      <c r="BW118" s="84"/>
      <c r="BX118" s="84"/>
      <c r="BY118" s="84"/>
      <c r="BZ118" s="91"/>
      <c r="CA118" s="84"/>
      <c r="CB118" s="84"/>
      <c r="CC118" s="84"/>
      <c r="CD118" s="91"/>
      <c r="CE118" s="4"/>
      <c r="CF118" s="4"/>
      <c r="CG118" s="4"/>
      <c r="CH118" s="4"/>
      <c r="CI118" s="4"/>
      <c r="CJ118" s="4"/>
      <c r="CK118" s="4"/>
      <c r="CL118" s="4"/>
      <c r="CM118" s="4"/>
      <c r="CN118" s="4"/>
      <c r="CO118" s="4"/>
      <c r="CP118" s="4"/>
      <c r="CQ118" s="4"/>
      <c r="CR118" s="4"/>
      <c r="CS118" s="4"/>
      <c r="CT118" s="4"/>
    </row>
    <row r="119" spans="2:98" x14ac:dyDescent="0.2">
      <c r="B119" s="259"/>
      <c r="C119" s="85"/>
      <c r="D119" s="86"/>
      <c r="E119" s="85"/>
      <c r="F119" s="90"/>
      <c r="G119" s="83"/>
      <c r="H119" s="83"/>
      <c r="I119" s="83"/>
      <c r="J119" s="11"/>
      <c r="K119" s="83"/>
      <c r="L119" s="83"/>
      <c r="M119" s="83"/>
      <c r="N119" s="11"/>
      <c r="O119" s="83"/>
      <c r="P119" s="83"/>
      <c r="Q119" s="83"/>
      <c r="R119" s="11"/>
      <c r="S119" s="83"/>
      <c r="T119" s="83"/>
      <c r="U119" s="83"/>
      <c r="V119" s="11"/>
      <c r="W119" s="83"/>
      <c r="X119" s="83"/>
      <c r="Y119" s="83"/>
      <c r="Z119" s="11"/>
      <c r="AA119" s="83"/>
      <c r="AB119" s="83"/>
      <c r="AC119" s="83"/>
      <c r="AD119" s="11"/>
      <c r="AE119" s="83"/>
      <c r="AF119" s="83"/>
      <c r="AG119" s="83"/>
      <c r="AH119" s="11"/>
      <c r="AI119" s="83"/>
      <c r="AJ119" s="83"/>
      <c r="AK119" s="83"/>
      <c r="AL119" s="11"/>
      <c r="AM119" s="83"/>
      <c r="AN119" s="83"/>
      <c r="AO119" s="83"/>
      <c r="AP119" s="11"/>
      <c r="AQ119" s="84"/>
      <c r="AR119" s="84"/>
      <c r="AS119" s="84"/>
      <c r="AT119" s="91"/>
      <c r="AU119" s="84"/>
      <c r="AV119" s="84"/>
      <c r="AW119" s="84"/>
      <c r="AX119" s="91"/>
      <c r="AY119" s="84"/>
      <c r="AZ119" s="84"/>
      <c r="BA119" s="84"/>
      <c r="BB119" s="91"/>
      <c r="BC119" s="84"/>
      <c r="BD119" s="84"/>
      <c r="BE119" s="84"/>
      <c r="BF119" s="91"/>
      <c r="BG119" s="84"/>
      <c r="BH119" s="84"/>
      <c r="BI119" s="84"/>
      <c r="BJ119" s="91"/>
      <c r="BK119" s="84"/>
      <c r="BL119" s="84"/>
      <c r="BM119" s="84"/>
      <c r="BN119" s="91"/>
      <c r="BO119" s="84"/>
      <c r="BP119" s="84"/>
      <c r="BQ119" s="84"/>
      <c r="BR119" s="91"/>
      <c r="BS119" s="84"/>
      <c r="BT119" s="84"/>
      <c r="BU119" s="84"/>
      <c r="BV119" s="91"/>
      <c r="BW119" s="84"/>
      <c r="BX119" s="84"/>
      <c r="BY119" s="84"/>
      <c r="BZ119" s="91"/>
      <c r="CA119" s="84"/>
      <c r="CB119" s="84"/>
      <c r="CC119" s="84"/>
      <c r="CD119" s="91"/>
      <c r="CE119" s="4"/>
      <c r="CF119" s="4"/>
      <c r="CG119" s="4"/>
      <c r="CH119" s="4"/>
      <c r="CI119" s="4"/>
      <c r="CJ119" s="4"/>
      <c r="CK119" s="4"/>
      <c r="CL119" s="4"/>
      <c r="CM119" s="4"/>
      <c r="CN119" s="4"/>
      <c r="CO119" s="4"/>
      <c r="CP119" s="4"/>
      <c r="CQ119" s="4"/>
      <c r="CR119" s="4"/>
      <c r="CS119" s="4"/>
      <c r="CT119" s="4"/>
    </row>
    <row r="120" spans="2:98" x14ac:dyDescent="0.2">
      <c r="B120" s="259"/>
      <c r="C120" s="85"/>
      <c r="D120" s="86"/>
      <c r="E120" s="85"/>
      <c r="F120" s="90"/>
      <c r="G120" s="83"/>
      <c r="H120" s="83"/>
      <c r="I120" s="83"/>
      <c r="J120" s="11"/>
      <c r="K120" s="83"/>
      <c r="L120" s="83"/>
      <c r="M120" s="83"/>
      <c r="N120" s="11"/>
      <c r="O120" s="83"/>
      <c r="P120" s="83"/>
      <c r="Q120" s="83"/>
      <c r="R120" s="11"/>
      <c r="S120" s="83"/>
      <c r="T120" s="83"/>
      <c r="U120" s="83"/>
      <c r="V120" s="11"/>
      <c r="W120" s="83"/>
      <c r="X120" s="83"/>
      <c r="Y120" s="83"/>
      <c r="Z120" s="11"/>
      <c r="AA120" s="83"/>
      <c r="AB120" s="83"/>
      <c r="AC120" s="83"/>
      <c r="AD120" s="11"/>
      <c r="AE120" s="83"/>
      <c r="AF120" s="83"/>
      <c r="AG120" s="83"/>
      <c r="AH120" s="11"/>
      <c r="AI120" s="83"/>
      <c r="AJ120" s="83"/>
      <c r="AK120" s="83"/>
      <c r="AL120" s="11"/>
      <c r="AM120" s="83"/>
      <c r="AN120" s="83"/>
      <c r="AO120" s="83"/>
      <c r="AP120" s="11"/>
      <c r="AQ120" s="84"/>
      <c r="AR120" s="84"/>
      <c r="AS120" s="84"/>
      <c r="AT120" s="91"/>
      <c r="AU120" s="84"/>
      <c r="AV120" s="84"/>
      <c r="AW120" s="84"/>
      <c r="AX120" s="91"/>
      <c r="AY120" s="84"/>
      <c r="AZ120" s="84"/>
      <c r="BA120" s="84"/>
      <c r="BB120" s="91"/>
      <c r="BC120" s="84"/>
      <c r="BD120" s="84"/>
      <c r="BE120" s="84"/>
      <c r="BF120" s="91"/>
      <c r="BG120" s="84"/>
      <c r="BH120" s="84"/>
      <c r="BI120" s="84"/>
      <c r="BJ120" s="91"/>
      <c r="BK120" s="84"/>
      <c r="BL120" s="84"/>
      <c r="BM120" s="84"/>
      <c r="BN120" s="91"/>
      <c r="BO120" s="84"/>
      <c r="BP120" s="84"/>
      <c r="BQ120" s="84"/>
      <c r="BR120" s="91"/>
      <c r="BS120" s="84"/>
      <c r="BT120" s="84"/>
      <c r="BU120" s="84"/>
      <c r="BV120" s="91"/>
      <c r="BW120" s="84"/>
      <c r="BX120" s="84"/>
      <c r="BY120" s="84"/>
      <c r="BZ120" s="91"/>
      <c r="CA120" s="84"/>
      <c r="CB120" s="84"/>
      <c r="CC120" s="84"/>
      <c r="CD120" s="91"/>
      <c r="CE120" s="4"/>
      <c r="CF120" s="4"/>
      <c r="CG120" s="4"/>
      <c r="CH120" s="4"/>
      <c r="CI120" s="4"/>
      <c r="CJ120" s="4"/>
      <c r="CK120" s="4"/>
      <c r="CL120" s="4"/>
      <c r="CM120" s="4"/>
      <c r="CN120" s="4"/>
      <c r="CO120" s="4"/>
      <c r="CP120" s="4"/>
      <c r="CQ120" s="4"/>
      <c r="CR120" s="4"/>
      <c r="CS120" s="4"/>
      <c r="CT120" s="4"/>
    </row>
    <row r="121" spans="2:98" x14ac:dyDescent="0.2">
      <c r="B121" s="259"/>
      <c r="C121" s="85"/>
      <c r="D121" s="86"/>
      <c r="E121" s="85"/>
      <c r="F121" s="90"/>
      <c r="G121" s="83"/>
      <c r="H121" s="83"/>
      <c r="I121" s="83"/>
      <c r="J121" s="11"/>
      <c r="K121" s="83"/>
      <c r="L121" s="83"/>
      <c r="M121" s="83"/>
      <c r="N121" s="11"/>
      <c r="O121" s="83"/>
      <c r="P121" s="83"/>
      <c r="Q121" s="83"/>
      <c r="R121" s="11"/>
      <c r="S121" s="83"/>
      <c r="T121" s="83"/>
      <c r="U121" s="83"/>
      <c r="V121" s="11"/>
      <c r="W121" s="83"/>
      <c r="X121" s="83"/>
      <c r="Y121" s="83"/>
      <c r="Z121" s="11"/>
      <c r="AA121" s="83"/>
      <c r="AB121" s="83"/>
      <c r="AC121" s="83"/>
      <c r="AD121" s="11"/>
      <c r="AE121" s="83"/>
      <c r="AF121" s="83"/>
      <c r="AG121" s="83"/>
      <c r="AH121" s="11"/>
      <c r="AI121" s="83"/>
      <c r="AJ121" s="83"/>
      <c r="AK121" s="83"/>
      <c r="AL121" s="11"/>
      <c r="AM121" s="83"/>
      <c r="AN121" s="83"/>
      <c r="AO121" s="83"/>
      <c r="AP121" s="11"/>
      <c r="AQ121" s="84"/>
      <c r="AR121" s="84"/>
      <c r="AS121" s="84"/>
      <c r="AT121" s="91"/>
      <c r="AU121" s="84"/>
      <c r="AV121" s="84"/>
      <c r="AW121" s="84"/>
      <c r="AX121" s="91"/>
      <c r="AY121" s="84"/>
      <c r="AZ121" s="84"/>
      <c r="BA121" s="84"/>
      <c r="BB121" s="91"/>
      <c r="BC121" s="84"/>
      <c r="BD121" s="84"/>
      <c r="BE121" s="84"/>
      <c r="BF121" s="91"/>
      <c r="BG121" s="84"/>
      <c r="BH121" s="84"/>
      <c r="BI121" s="84"/>
      <c r="BJ121" s="91"/>
      <c r="BK121" s="84"/>
      <c r="BL121" s="84"/>
      <c r="BM121" s="84"/>
      <c r="BN121" s="91"/>
      <c r="BO121" s="84"/>
      <c r="BP121" s="84"/>
      <c r="BQ121" s="84"/>
      <c r="BR121" s="91"/>
      <c r="BS121" s="84"/>
      <c r="BT121" s="84"/>
      <c r="BU121" s="84"/>
      <c r="BV121" s="91"/>
      <c r="BW121" s="84"/>
      <c r="BX121" s="84"/>
      <c r="BY121" s="84"/>
      <c r="BZ121" s="91"/>
      <c r="CA121" s="84"/>
      <c r="CB121" s="84"/>
      <c r="CC121" s="84"/>
      <c r="CD121" s="91"/>
      <c r="CE121" s="4"/>
      <c r="CF121" s="4"/>
      <c r="CG121" s="4"/>
      <c r="CH121" s="4"/>
      <c r="CI121" s="4"/>
      <c r="CJ121" s="4"/>
      <c r="CK121" s="4"/>
      <c r="CL121" s="4"/>
      <c r="CM121" s="4"/>
      <c r="CN121" s="4"/>
      <c r="CO121" s="4"/>
      <c r="CP121" s="4"/>
      <c r="CQ121" s="4"/>
      <c r="CR121" s="4"/>
      <c r="CS121" s="4"/>
      <c r="CT121" s="4"/>
    </row>
    <row r="122" spans="2:98" x14ac:dyDescent="0.2">
      <c r="B122" s="259"/>
      <c r="C122" s="85"/>
      <c r="D122" s="86"/>
      <c r="E122" s="85"/>
      <c r="F122" s="90"/>
      <c r="G122" s="83"/>
      <c r="H122" s="83"/>
      <c r="I122" s="83"/>
      <c r="J122" s="11"/>
      <c r="K122" s="83"/>
      <c r="L122" s="83"/>
      <c r="M122" s="83"/>
      <c r="N122" s="11"/>
      <c r="O122" s="83"/>
      <c r="P122" s="83"/>
      <c r="Q122" s="83"/>
      <c r="R122" s="11"/>
      <c r="S122" s="83"/>
      <c r="T122" s="83"/>
      <c r="U122" s="83"/>
      <c r="V122" s="11"/>
      <c r="W122" s="83"/>
      <c r="X122" s="83"/>
      <c r="Y122" s="83"/>
      <c r="Z122" s="11"/>
      <c r="AA122" s="83"/>
      <c r="AB122" s="83"/>
      <c r="AC122" s="83"/>
      <c r="AD122" s="11"/>
      <c r="AE122" s="83"/>
      <c r="AF122" s="83"/>
      <c r="AG122" s="83"/>
      <c r="AH122" s="11"/>
      <c r="AI122" s="83"/>
      <c r="AJ122" s="83"/>
      <c r="AK122" s="83"/>
      <c r="AL122" s="11"/>
      <c r="AM122" s="83"/>
      <c r="AN122" s="83"/>
      <c r="AO122" s="83"/>
      <c r="AP122" s="11"/>
      <c r="AQ122" s="84"/>
      <c r="AR122" s="84"/>
      <c r="AS122" s="84"/>
      <c r="AT122" s="91"/>
      <c r="AU122" s="84"/>
      <c r="AV122" s="84"/>
      <c r="AW122" s="84"/>
      <c r="AX122" s="91"/>
      <c r="AY122" s="84"/>
      <c r="AZ122" s="84"/>
      <c r="BA122" s="84"/>
      <c r="BB122" s="91"/>
      <c r="BC122" s="84"/>
      <c r="BD122" s="84"/>
      <c r="BE122" s="84"/>
      <c r="BF122" s="91"/>
      <c r="BG122" s="84"/>
      <c r="BH122" s="84"/>
      <c r="BI122" s="84"/>
      <c r="BJ122" s="91"/>
      <c r="BK122" s="84"/>
      <c r="BL122" s="84"/>
      <c r="BM122" s="84"/>
      <c r="BN122" s="91"/>
      <c r="BO122" s="84"/>
      <c r="BP122" s="84"/>
      <c r="BQ122" s="84"/>
      <c r="BR122" s="91"/>
      <c r="BS122" s="84"/>
      <c r="BT122" s="84"/>
      <c r="BU122" s="84"/>
      <c r="BV122" s="91"/>
      <c r="BW122" s="84"/>
      <c r="BX122" s="84"/>
      <c r="BY122" s="84"/>
      <c r="BZ122" s="91"/>
      <c r="CA122" s="84"/>
      <c r="CB122" s="84"/>
      <c r="CC122" s="84"/>
      <c r="CD122" s="91"/>
      <c r="CE122" s="4"/>
      <c r="CF122" s="4"/>
      <c r="CG122" s="4"/>
      <c r="CH122" s="4"/>
      <c r="CI122" s="4"/>
      <c r="CJ122" s="4"/>
      <c r="CK122" s="4"/>
      <c r="CL122" s="4"/>
      <c r="CM122" s="4"/>
      <c r="CN122" s="4"/>
      <c r="CO122" s="4"/>
      <c r="CP122" s="4"/>
      <c r="CQ122" s="4"/>
      <c r="CR122" s="4"/>
      <c r="CS122" s="4"/>
      <c r="CT122" s="4"/>
    </row>
    <row r="123" spans="2:98" x14ac:dyDescent="0.2">
      <c r="B123" s="259"/>
      <c r="C123" s="85"/>
      <c r="D123" s="86"/>
      <c r="E123" s="85"/>
      <c r="F123" s="90"/>
      <c r="G123" s="83"/>
      <c r="H123" s="83"/>
      <c r="I123" s="83"/>
      <c r="J123" s="11"/>
      <c r="K123" s="83"/>
      <c r="L123" s="83"/>
      <c r="M123" s="83"/>
      <c r="N123" s="11"/>
      <c r="O123" s="83"/>
      <c r="P123" s="83"/>
      <c r="Q123" s="83"/>
      <c r="R123" s="11"/>
      <c r="S123" s="83"/>
      <c r="T123" s="83"/>
      <c r="U123" s="83"/>
      <c r="V123" s="11"/>
      <c r="W123" s="83"/>
      <c r="X123" s="83"/>
      <c r="Y123" s="83"/>
      <c r="Z123" s="11"/>
      <c r="AA123" s="83"/>
      <c r="AB123" s="83"/>
      <c r="AC123" s="83"/>
      <c r="AD123" s="11"/>
      <c r="AE123" s="83"/>
      <c r="AF123" s="83"/>
      <c r="AG123" s="83"/>
      <c r="AH123" s="11"/>
      <c r="AI123" s="83"/>
      <c r="AJ123" s="83"/>
      <c r="AK123" s="83"/>
      <c r="AL123" s="11"/>
      <c r="AM123" s="83"/>
      <c r="AN123" s="83"/>
      <c r="AO123" s="83"/>
      <c r="AP123" s="11"/>
      <c r="AQ123" s="84"/>
      <c r="AR123" s="84"/>
      <c r="AS123" s="84"/>
      <c r="AT123" s="91"/>
      <c r="AU123" s="84"/>
      <c r="AV123" s="84"/>
      <c r="AW123" s="84"/>
      <c r="AX123" s="91"/>
      <c r="AY123" s="84"/>
      <c r="AZ123" s="84"/>
      <c r="BA123" s="84"/>
      <c r="BB123" s="91"/>
      <c r="BC123" s="84"/>
      <c r="BD123" s="84"/>
      <c r="BE123" s="84"/>
      <c r="BF123" s="91"/>
      <c r="BG123" s="84"/>
      <c r="BH123" s="84"/>
      <c r="BI123" s="84"/>
      <c r="BJ123" s="91"/>
      <c r="BK123" s="84"/>
      <c r="BL123" s="84"/>
      <c r="BM123" s="84"/>
      <c r="BN123" s="91"/>
      <c r="BO123" s="84"/>
      <c r="BP123" s="84"/>
      <c r="BQ123" s="84"/>
      <c r="BR123" s="91"/>
      <c r="BS123" s="84"/>
      <c r="BT123" s="84"/>
      <c r="BU123" s="84"/>
      <c r="BV123" s="91"/>
      <c r="BW123" s="84"/>
      <c r="BX123" s="84"/>
      <c r="BY123" s="84"/>
      <c r="BZ123" s="91"/>
      <c r="CA123" s="84"/>
      <c r="CB123" s="84"/>
      <c r="CC123" s="84"/>
      <c r="CD123" s="91"/>
      <c r="CE123" s="4"/>
      <c r="CF123" s="4"/>
      <c r="CG123" s="4"/>
      <c r="CH123" s="4"/>
      <c r="CI123" s="4"/>
      <c r="CJ123" s="4"/>
      <c r="CK123" s="4"/>
      <c r="CL123" s="4"/>
      <c r="CM123" s="4"/>
      <c r="CN123" s="4"/>
      <c r="CO123" s="4"/>
      <c r="CP123" s="4"/>
      <c r="CQ123" s="4"/>
      <c r="CR123" s="4"/>
      <c r="CS123" s="4"/>
      <c r="CT123" s="4"/>
    </row>
    <row r="124" spans="2:98" x14ac:dyDescent="0.2">
      <c r="B124" s="259"/>
      <c r="C124" s="85"/>
      <c r="D124" s="86"/>
      <c r="E124" s="85"/>
      <c r="F124" s="90"/>
      <c r="G124" s="83"/>
      <c r="H124" s="83"/>
      <c r="I124" s="83"/>
      <c r="J124" s="11"/>
      <c r="K124" s="83"/>
      <c r="L124" s="83"/>
      <c r="M124" s="83"/>
      <c r="N124" s="11"/>
      <c r="O124" s="83"/>
      <c r="P124" s="83"/>
      <c r="Q124" s="83"/>
      <c r="R124" s="11"/>
      <c r="S124" s="83"/>
      <c r="T124" s="83"/>
      <c r="U124" s="83"/>
      <c r="V124" s="11"/>
      <c r="W124" s="83"/>
      <c r="X124" s="83"/>
      <c r="Y124" s="83"/>
      <c r="Z124" s="11"/>
      <c r="AA124" s="83"/>
      <c r="AB124" s="83"/>
      <c r="AC124" s="83"/>
      <c r="AD124" s="11"/>
      <c r="AE124" s="83"/>
      <c r="AF124" s="83"/>
      <c r="AG124" s="83"/>
      <c r="AH124" s="11"/>
      <c r="AI124" s="83"/>
      <c r="AJ124" s="83"/>
      <c r="AK124" s="83"/>
      <c r="AL124" s="11"/>
      <c r="AM124" s="83"/>
      <c r="AN124" s="83"/>
      <c r="AO124" s="83"/>
      <c r="AP124" s="11"/>
      <c r="AQ124" s="84"/>
      <c r="AR124" s="84"/>
      <c r="AS124" s="84"/>
      <c r="AT124" s="91"/>
      <c r="AU124" s="84"/>
      <c r="AV124" s="84"/>
      <c r="AW124" s="84"/>
      <c r="AX124" s="91"/>
      <c r="AY124" s="84"/>
      <c r="AZ124" s="84"/>
      <c r="BA124" s="84"/>
      <c r="BB124" s="91"/>
      <c r="BC124" s="84"/>
      <c r="BD124" s="84"/>
      <c r="BE124" s="84"/>
      <c r="BF124" s="91"/>
      <c r="BG124" s="84"/>
      <c r="BH124" s="84"/>
      <c r="BI124" s="84"/>
      <c r="BJ124" s="91"/>
      <c r="BK124" s="84"/>
      <c r="BL124" s="84"/>
      <c r="BM124" s="84"/>
      <c r="BN124" s="91"/>
      <c r="BO124" s="84"/>
      <c r="BP124" s="84"/>
      <c r="BQ124" s="84"/>
      <c r="BR124" s="91"/>
      <c r="BS124" s="84"/>
      <c r="BT124" s="84"/>
      <c r="BU124" s="84"/>
      <c r="BV124" s="91"/>
      <c r="BW124" s="84"/>
      <c r="BX124" s="84"/>
      <c r="BY124" s="84"/>
      <c r="BZ124" s="91"/>
      <c r="CA124" s="84"/>
      <c r="CB124" s="84"/>
      <c r="CC124" s="84"/>
      <c r="CD124" s="91"/>
      <c r="CE124" s="4"/>
      <c r="CF124" s="4"/>
      <c r="CG124" s="4"/>
      <c r="CH124" s="4"/>
      <c r="CI124" s="4"/>
      <c r="CJ124" s="4"/>
      <c r="CK124" s="4"/>
      <c r="CL124" s="4"/>
      <c r="CM124" s="4"/>
      <c r="CN124" s="4"/>
      <c r="CO124" s="4"/>
      <c r="CP124" s="4"/>
      <c r="CQ124" s="4"/>
      <c r="CR124" s="4"/>
      <c r="CS124" s="4"/>
      <c r="CT124" s="4"/>
    </row>
    <row r="125" spans="2:98" x14ac:dyDescent="0.2">
      <c r="B125" s="259"/>
      <c r="C125" s="85"/>
      <c r="D125" s="86"/>
      <c r="E125" s="85"/>
      <c r="F125" s="90"/>
      <c r="G125" s="83"/>
      <c r="H125" s="83"/>
      <c r="I125" s="83"/>
      <c r="J125" s="11"/>
      <c r="K125" s="83"/>
      <c r="L125" s="83"/>
      <c r="M125" s="83"/>
      <c r="N125" s="11"/>
      <c r="O125" s="83"/>
      <c r="P125" s="83"/>
      <c r="Q125" s="83"/>
      <c r="R125" s="11"/>
      <c r="S125" s="83"/>
      <c r="T125" s="83"/>
      <c r="U125" s="83"/>
      <c r="V125" s="11"/>
      <c r="W125" s="83"/>
      <c r="X125" s="83"/>
      <c r="Y125" s="83"/>
      <c r="Z125" s="11"/>
      <c r="AA125" s="83"/>
      <c r="AB125" s="83"/>
      <c r="AC125" s="83"/>
      <c r="AD125" s="11"/>
      <c r="AE125" s="83"/>
      <c r="AF125" s="83"/>
      <c r="AG125" s="83"/>
      <c r="AH125" s="11"/>
      <c r="AI125" s="83"/>
      <c r="AJ125" s="83"/>
      <c r="AK125" s="83"/>
      <c r="AL125" s="11"/>
      <c r="AM125" s="83"/>
      <c r="AN125" s="83"/>
      <c r="AO125" s="83"/>
      <c r="AP125" s="11"/>
      <c r="AQ125" s="84"/>
      <c r="AR125" s="84"/>
      <c r="AS125" s="84"/>
      <c r="AT125" s="91"/>
      <c r="AU125" s="84"/>
      <c r="AV125" s="84"/>
      <c r="AW125" s="84"/>
      <c r="AX125" s="91"/>
      <c r="AY125" s="84"/>
      <c r="AZ125" s="84"/>
      <c r="BA125" s="84"/>
      <c r="BB125" s="91"/>
      <c r="BC125" s="84"/>
      <c r="BD125" s="84"/>
      <c r="BE125" s="84"/>
      <c r="BF125" s="91"/>
      <c r="BG125" s="84"/>
      <c r="BH125" s="84"/>
      <c r="BI125" s="84"/>
      <c r="BJ125" s="91"/>
      <c r="BK125" s="84"/>
      <c r="BL125" s="84"/>
      <c r="BM125" s="84"/>
      <c r="BN125" s="91"/>
      <c r="BO125" s="84"/>
      <c r="BP125" s="84"/>
      <c r="BQ125" s="84"/>
      <c r="BR125" s="91"/>
      <c r="BS125" s="84"/>
      <c r="BT125" s="84"/>
      <c r="BU125" s="84"/>
      <c r="BV125" s="91"/>
      <c r="BW125" s="84"/>
      <c r="BX125" s="84"/>
      <c r="BY125" s="84"/>
      <c r="BZ125" s="91"/>
      <c r="CA125" s="84"/>
      <c r="CB125" s="84"/>
      <c r="CC125" s="84"/>
      <c r="CD125" s="91"/>
      <c r="CE125" s="4"/>
      <c r="CF125" s="4"/>
      <c r="CG125" s="4"/>
      <c r="CH125" s="4"/>
      <c r="CI125" s="4"/>
      <c r="CJ125" s="4"/>
      <c r="CK125" s="4"/>
      <c r="CL125" s="4"/>
      <c r="CM125" s="4"/>
      <c r="CN125" s="4"/>
      <c r="CO125" s="4"/>
      <c r="CP125" s="4"/>
      <c r="CQ125" s="4"/>
      <c r="CR125" s="4"/>
      <c r="CS125" s="4"/>
      <c r="CT125" s="4"/>
    </row>
    <row r="126" spans="2:98" x14ac:dyDescent="0.2">
      <c r="B126" s="259"/>
      <c r="C126" s="85"/>
      <c r="D126" s="86"/>
      <c r="E126" s="85"/>
      <c r="F126" s="90"/>
      <c r="G126" s="83"/>
      <c r="H126" s="83"/>
      <c r="I126" s="83"/>
      <c r="J126" s="11"/>
      <c r="K126" s="83"/>
      <c r="L126" s="83"/>
      <c r="M126" s="83"/>
      <c r="N126" s="11"/>
      <c r="O126" s="83"/>
      <c r="P126" s="83"/>
      <c r="Q126" s="83"/>
      <c r="R126" s="11"/>
      <c r="S126" s="83"/>
      <c r="T126" s="83"/>
      <c r="U126" s="83"/>
      <c r="V126" s="11"/>
      <c r="W126" s="83"/>
      <c r="X126" s="83"/>
      <c r="Y126" s="83"/>
      <c r="Z126" s="11"/>
      <c r="AA126" s="83"/>
      <c r="AB126" s="83"/>
      <c r="AC126" s="83"/>
      <c r="AD126" s="11"/>
      <c r="AE126" s="83"/>
      <c r="AF126" s="83"/>
      <c r="AG126" s="83"/>
      <c r="AH126" s="11"/>
      <c r="AI126" s="83"/>
      <c r="AJ126" s="83"/>
      <c r="AK126" s="83"/>
      <c r="AL126" s="11"/>
      <c r="AM126" s="83"/>
      <c r="AN126" s="83"/>
      <c r="AO126" s="83"/>
      <c r="AP126" s="11"/>
      <c r="AQ126" s="84"/>
      <c r="AR126" s="84"/>
      <c r="AS126" s="84"/>
      <c r="AT126" s="91"/>
      <c r="AU126" s="84"/>
      <c r="AV126" s="84"/>
      <c r="AW126" s="84"/>
      <c r="AX126" s="91"/>
      <c r="AY126" s="84"/>
      <c r="AZ126" s="84"/>
      <c r="BA126" s="84"/>
      <c r="BB126" s="91"/>
      <c r="BC126" s="84"/>
      <c r="BD126" s="84"/>
      <c r="BE126" s="84"/>
      <c r="BF126" s="91"/>
      <c r="BG126" s="84"/>
      <c r="BH126" s="84"/>
      <c r="BI126" s="84"/>
      <c r="BJ126" s="91"/>
      <c r="BK126" s="84"/>
      <c r="BL126" s="84"/>
      <c r="BM126" s="84"/>
      <c r="BN126" s="91"/>
      <c r="BO126" s="84"/>
      <c r="BP126" s="84"/>
      <c r="BQ126" s="84"/>
      <c r="BR126" s="91"/>
      <c r="BS126" s="84"/>
      <c r="BT126" s="84"/>
      <c r="BU126" s="84"/>
      <c r="BV126" s="91"/>
      <c r="BW126" s="84"/>
      <c r="BX126" s="84"/>
      <c r="BY126" s="84"/>
      <c r="BZ126" s="91"/>
      <c r="CA126" s="84"/>
      <c r="CB126" s="84"/>
      <c r="CC126" s="84"/>
      <c r="CD126" s="91"/>
      <c r="CE126" s="4"/>
      <c r="CF126" s="4"/>
      <c r="CG126" s="4"/>
      <c r="CH126" s="4"/>
      <c r="CI126" s="4"/>
      <c r="CJ126" s="4"/>
      <c r="CK126" s="4"/>
      <c r="CL126" s="4"/>
      <c r="CM126" s="4"/>
      <c r="CN126" s="4"/>
      <c r="CO126" s="4"/>
      <c r="CP126" s="4"/>
      <c r="CQ126" s="4"/>
      <c r="CR126" s="4"/>
      <c r="CS126" s="4"/>
      <c r="CT126" s="4"/>
    </row>
    <row r="127" spans="2:98" x14ac:dyDescent="0.2">
      <c r="B127" s="259"/>
      <c r="C127" s="85"/>
      <c r="D127" s="86"/>
      <c r="E127" s="85"/>
      <c r="F127" s="90"/>
      <c r="G127" s="83"/>
      <c r="H127" s="83"/>
      <c r="I127" s="83"/>
      <c r="J127" s="11"/>
      <c r="K127" s="83"/>
      <c r="L127" s="83"/>
      <c r="M127" s="83"/>
      <c r="N127" s="11"/>
      <c r="O127" s="83"/>
      <c r="P127" s="83"/>
      <c r="Q127" s="83"/>
      <c r="R127" s="11"/>
      <c r="S127" s="83"/>
      <c r="T127" s="83"/>
      <c r="U127" s="83"/>
      <c r="V127" s="11"/>
      <c r="W127" s="83"/>
      <c r="X127" s="83"/>
      <c r="Y127" s="83"/>
      <c r="Z127" s="11"/>
      <c r="AA127" s="83"/>
      <c r="AB127" s="83"/>
      <c r="AC127" s="83"/>
      <c r="AD127" s="11"/>
      <c r="AE127" s="83"/>
      <c r="AF127" s="83"/>
      <c r="AG127" s="83"/>
      <c r="AH127" s="11"/>
      <c r="AI127" s="83"/>
      <c r="AJ127" s="83"/>
      <c r="AK127" s="83"/>
      <c r="AL127" s="11"/>
      <c r="AM127" s="83"/>
      <c r="AN127" s="83"/>
      <c r="AO127" s="83"/>
      <c r="AP127" s="11"/>
      <c r="AQ127" s="84"/>
      <c r="AR127" s="84"/>
      <c r="AS127" s="84"/>
      <c r="AT127" s="91"/>
      <c r="AU127" s="84"/>
      <c r="AV127" s="84"/>
      <c r="AW127" s="84"/>
      <c r="AX127" s="91"/>
      <c r="AY127" s="84"/>
      <c r="AZ127" s="84"/>
      <c r="BA127" s="84"/>
      <c r="BB127" s="91"/>
      <c r="BC127" s="84"/>
      <c r="BD127" s="84"/>
      <c r="BE127" s="84"/>
      <c r="BF127" s="91"/>
      <c r="BG127" s="84"/>
      <c r="BH127" s="84"/>
      <c r="BI127" s="84"/>
      <c r="BJ127" s="91"/>
      <c r="BK127" s="84"/>
      <c r="BL127" s="84"/>
      <c r="BM127" s="84"/>
      <c r="BN127" s="91"/>
      <c r="BO127" s="84"/>
      <c r="BP127" s="84"/>
      <c r="BQ127" s="84"/>
      <c r="BR127" s="91"/>
      <c r="BS127" s="84"/>
      <c r="BT127" s="84"/>
      <c r="BU127" s="84"/>
      <c r="BV127" s="91"/>
      <c r="BW127" s="84"/>
      <c r="BX127" s="84"/>
      <c r="BY127" s="84"/>
      <c r="BZ127" s="91"/>
      <c r="CA127" s="84"/>
      <c r="CB127" s="84"/>
      <c r="CC127" s="84"/>
      <c r="CD127" s="91"/>
      <c r="CE127" s="4"/>
      <c r="CF127" s="4"/>
      <c r="CG127" s="4"/>
      <c r="CH127" s="4"/>
      <c r="CI127" s="4"/>
      <c r="CJ127" s="4"/>
      <c r="CK127" s="4"/>
      <c r="CL127" s="4"/>
      <c r="CM127" s="4"/>
      <c r="CN127" s="4"/>
      <c r="CO127" s="4"/>
      <c r="CP127" s="4"/>
      <c r="CQ127" s="4"/>
      <c r="CR127" s="4"/>
      <c r="CS127" s="4"/>
      <c r="CT127" s="4"/>
    </row>
    <row r="128" spans="2:98" x14ac:dyDescent="0.2">
      <c r="B128" s="259"/>
      <c r="C128" s="85"/>
      <c r="D128" s="86"/>
      <c r="E128" s="85"/>
      <c r="F128" s="90"/>
      <c r="G128" s="83"/>
      <c r="H128" s="83"/>
      <c r="I128" s="83"/>
      <c r="J128" s="11"/>
      <c r="K128" s="83"/>
      <c r="L128" s="83"/>
      <c r="M128" s="83"/>
      <c r="N128" s="11"/>
      <c r="O128" s="83"/>
      <c r="P128" s="83"/>
      <c r="Q128" s="83"/>
      <c r="R128" s="11"/>
      <c r="S128" s="83"/>
      <c r="T128" s="83"/>
      <c r="U128" s="83"/>
      <c r="V128" s="11"/>
      <c r="W128" s="83"/>
      <c r="X128" s="83"/>
      <c r="Y128" s="83"/>
      <c r="Z128" s="11"/>
      <c r="AA128" s="83"/>
      <c r="AB128" s="83"/>
      <c r="AC128" s="83"/>
      <c r="AD128" s="11"/>
      <c r="AE128" s="83"/>
      <c r="AF128" s="83"/>
      <c r="AG128" s="83"/>
      <c r="AH128" s="11"/>
      <c r="AI128" s="83"/>
      <c r="AJ128" s="83"/>
      <c r="AK128" s="83"/>
      <c r="AL128" s="11"/>
      <c r="AM128" s="83"/>
      <c r="AN128" s="83"/>
      <c r="AO128" s="83"/>
      <c r="AP128" s="11"/>
      <c r="AQ128" s="84"/>
      <c r="AR128" s="84"/>
      <c r="AS128" s="84"/>
      <c r="AT128" s="91"/>
      <c r="AU128" s="84"/>
      <c r="AV128" s="84"/>
      <c r="AW128" s="84"/>
      <c r="AX128" s="91"/>
      <c r="AY128" s="84"/>
      <c r="AZ128" s="84"/>
      <c r="BA128" s="84"/>
      <c r="BB128" s="91"/>
      <c r="BC128" s="84"/>
      <c r="BD128" s="84"/>
      <c r="BE128" s="84"/>
      <c r="BF128" s="91"/>
      <c r="BG128" s="84"/>
      <c r="BH128" s="84"/>
      <c r="BI128" s="84"/>
      <c r="BJ128" s="91"/>
      <c r="BK128" s="84"/>
      <c r="BL128" s="84"/>
      <c r="BM128" s="84"/>
      <c r="BN128" s="91"/>
      <c r="BO128" s="84"/>
      <c r="BP128" s="84"/>
      <c r="BQ128" s="84"/>
      <c r="BR128" s="91"/>
      <c r="BS128" s="84"/>
      <c r="BT128" s="84"/>
      <c r="BU128" s="84"/>
      <c r="BV128" s="91"/>
      <c r="BW128" s="84"/>
      <c r="BX128" s="84"/>
      <c r="BY128" s="84"/>
      <c r="BZ128" s="91"/>
      <c r="CA128" s="84"/>
      <c r="CB128" s="84"/>
      <c r="CC128" s="84"/>
      <c r="CD128" s="91"/>
      <c r="CE128" s="4"/>
      <c r="CF128" s="4"/>
      <c r="CG128" s="4"/>
      <c r="CH128" s="4"/>
      <c r="CI128" s="4"/>
      <c r="CJ128" s="4"/>
      <c r="CK128" s="4"/>
      <c r="CL128" s="4"/>
      <c r="CM128" s="4"/>
      <c r="CN128" s="4"/>
      <c r="CO128" s="4"/>
      <c r="CP128" s="4"/>
      <c r="CQ128" s="4"/>
      <c r="CR128" s="4"/>
      <c r="CS128" s="4"/>
      <c r="CT128" s="4"/>
    </row>
    <row r="129" spans="2:98" x14ac:dyDescent="0.2">
      <c r="B129" s="259"/>
      <c r="C129" s="85"/>
      <c r="D129" s="86"/>
      <c r="E129" s="85"/>
      <c r="F129" s="90"/>
      <c r="G129" s="83"/>
      <c r="H129" s="83"/>
      <c r="I129" s="83"/>
      <c r="J129" s="11"/>
      <c r="K129" s="83"/>
      <c r="L129" s="83"/>
      <c r="M129" s="83"/>
      <c r="N129" s="11"/>
      <c r="O129" s="83"/>
      <c r="P129" s="83"/>
      <c r="Q129" s="83"/>
      <c r="R129" s="11"/>
      <c r="S129" s="83"/>
      <c r="T129" s="83"/>
      <c r="U129" s="83"/>
      <c r="V129" s="11"/>
      <c r="W129" s="83"/>
      <c r="X129" s="83"/>
      <c r="Y129" s="83"/>
      <c r="Z129" s="11"/>
      <c r="AA129" s="83"/>
      <c r="AB129" s="83"/>
      <c r="AC129" s="83"/>
      <c r="AD129" s="11"/>
      <c r="AE129" s="83"/>
      <c r="AF129" s="83"/>
      <c r="AG129" s="83"/>
      <c r="AH129" s="11"/>
      <c r="AI129" s="83"/>
      <c r="AJ129" s="83"/>
      <c r="AK129" s="83"/>
      <c r="AL129" s="11"/>
      <c r="AM129" s="83"/>
      <c r="AN129" s="83"/>
      <c r="AO129" s="83"/>
      <c r="AP129" s="11"/>
      <c r="AQ129" s="84"/>
      <c r="AR129" s="84"/>
      <c r="AS129" s="84"/>
      <c r="AT129" s="91"/>
      <c r="AU129" s="84"/>
      <c r="AV129" s="84"/>
      <c r="AW129" s="84"/>
      <c r="AX129" s="91"/>
      <c r="AY129" s="84"/>
      <c r="AZ129" s="84"/>
      <c r="BA129" s="84"/>
      <c r="BB129" s="91"/>
      <c r="BC129" s="84"/>
      <c r="BD129" s="84"/>
      <c r="BE129" s="84"/>
      <c r="BF129" s="91"/>
      <c r="BG129" s="84"/>
      <c r="BH129" s="84"/>
      <c r="BI129" s="84"/>
      <c r="BJ129" s="91"/>
      <c r="BK129" s="84"/>
      <c r="BL129" s="84"/>
      <c r="BM129" s="84"/>
      <c r="BN129" s="91"/>
      <c r="BO129" s="84"/>
      <c r="BP129" s="84"/>
      <c r="BQ129" s="84"/>
      <c r="BR129" s="91"/>
      <c r="BS129" s="84"/>
      <c r="BT129" s="84"/>
      <c r="BU129" s="84"/>
      <c r="BV129" s="91"/>
      <c r="BW129" s="84"/>
      <c r="BX129" s="84"/>
      <c r="BY129" s="84"/>
      <c r="BZ129" s="91"/>
      <c r="CA129" s="84"/>
      <c r="CB129" s="84"/>
      <c r="CC129" s="84"/>
      <c r="CD129" s="91"/>
      <c r="CE129" s="4"/>
      <c r="CF129" s="4"/>
      <c r="CG129" s="4"/>
      <c r="CH129" s="4"/>
      <c r="CI129" s="4"/>
      <c r="CJ129" s="4"/>
      <c r="CK129" s="4"/>
      <c r="CL129" s="4"/>
      <c r="CM129" s="4"/>
      <c r="CN129" s="4"/>
      <c r="CO129" s="4"/>
      <c r="CP129" s="4"/>
      <c r="CQ129" s="4"/>
      <c r="CR129" s="4"/>
      <c r="CS129" s="4"/>
      <c r="CT129" s="4"/>
    </row>
    <row r="130" spans="2:98" x14ac:dyDescent="0.2">
      <c r="B130" s="259"/>
      <c r="C130" s="85"/>
      <c r="D130" s="86"/>
      <c r="E130" s="85"/>
      <c r="F130" s="90"/>
      <c r="G130" s="83"/>
      <c r="H130" s="83"/>
      <c r="I130" s="83"/>
      <c r="J130" s="11"/>
      <c r="K130" s="83"/>
      <c r="L130" s="83"/>
      <c r="M130" s="83"/>
      <c r="N130" s="11"/>
      <c r="O130" s="83"/>
      <c r="P130" s="83"/>
      <c r="Q130" s="83"/>
      <c r="R130" s="11"/>
      <c r="S130" s="83"/>
      <c r="T130" s="83"/>
      <c r="U130" s="83"/>
      <c r="V130" s="11"/>
      <c r="W130" s="83"/>
      <c r="X130" s="83"/>
      <c r="Y130" s="83"/>
      <c r="Z130" s="11"/>
      <c r="AA130" s="83"/>
      <c r="AB130" s="83"/>
      <c r="AC130" s="83"/>
      <c r="AD130" s="11"/>
      <c r="AE130" s="83"/>
      <c r="AF130" s="83"/>
      <c r="AG130" s="83"/>
      <c r="AH130" s="11"/>
      <c r="AI130" s="83"/>
      <c r="AJ130" s="83"/>
      <c r="AK130" s="83"/>
      <c r="AL130" s="11"/>
      <c r="AM130" s="83"/>
      <c r="AN130" s="83"/>
      <c r="AO130" s="83"/>
      <c r="AP130" s="11"/>
      <c r="AQ130" s="84"/>
      <c r="AR130" s="84"/>
      <c r="AS130" s="84"/>
      <c r="AT130" s="91"/>
      <c r="AU130" s="84"/>
      <c r="AV130" s="84"/>
      <c r="AW130" s="84"/>
      <c r="AX130" s="91"/>
      <c r="AY130" s="84"/>
      <c r="AZ130" s="84"/>
      <c r="BA130" s="84"/>
      <c r="BB130" s="91"/>
      <c r="BC130" s="84"/>
      <c r="BD130" s="84"/>
      <c r="BE130" s="84"/>
      <c r="BF130" s="91"/>
      <c r="BG130" s="84"/>
      <c r="BH130" s="84"/>
      <c r="BI130" s="84"/>
      <c r="BJ130" s="91"/>
      <c r="BK130" s="84"/>
      <c r="BL130" s="84"/>
      <c r="BM130" s="84"/>
      <c r="BN130" s="91"/>
      <c r="BO130" s="84"/>
      <c r="BP130" s="84"/>
      <c r="BQ130" s="84"/>
      <c r="BR130" s="91"/>
      <c r="BS130" s="84"/>
      <c r="BT130" s="84"/>
      <c r="BU130" s="84"/>
      <c r="BV130" s="91"/>
      <c r="BW130" s="84"/>
      <c r="BX130" s="84"/>
      <c r="BY130" s="84"/>
      <c r="BZ130" s="91"/>
      <c r="CA130" s="84"/>
      <c r="CB130" s="84"/>
      <c r="CC130" s="84"/>
      <c r="CD130" s="91"/>
      <c r="CE130" s="4"/>
      <c r="CF130" s="4"/>
      <c r="CG130" s="4"/>
      <c r="CH130" s="4"/>
      <c r="CI130" s="4"/>
      <c r="CJ130" s="4"/>
      <c r="CK130" s="4"/>
      <c r="CL130" s="4"/>
      <c r="CM130" s="4"/>
      <c r="CN130" s="4"/>
      <c r="CO130" s="4"/>
      <c r="CP130" s="4"/>
      <c r="CQ130" s="4"/>
      <c r="CR130" s="4"/>
      <c r="CS130" s="4"/>
      <c r="CT130" s="4"/>
    </row>
    <row r="131" spans="2:98" x14ac:dyDescent="0.2">
      <c r="B131" s="259"/>
      <c r="C131" s="85"/>
      <c r="D131" s="86"/>
      <c r="E131" s="85"/>
      <c r="F131" s="90"/>
      <c r="G131" s="83"/>
      <c r="H131" s="83"/>
      <c r="I131" s="83"/>
      <c r="J131" s="11"/>
      <c r="K131" s="83"/>
      <c r="L131" s="83"/>
      <c r="M131" s="83"/>
      <c r="N131" s="11"/>
      <c r="O131" s="83"/>
      <c r="P131" s="83"/>
      <c r="Q131" s="83"/>
      <c r="R131" s="11"/>
      <c r="S131" s="83"/>
      <c r="T131" s="83"/>
      <c r="U131" s="83"/>
      <c r="V131" s="11"/>
      <c r="W131" s="83"/>
      <c r="X131" s="83"/>
      <c r="Y131" s="83"/>
      <c r="Z131" s="11"/>
      <c r="AA131" s="83"/>
      <c r="AB131" s="83"/>
      <c r="AC131" s="83"/>
      <c r="AD131" s="11"/>
      <c r="AE131" s="83"/>
      <c r="AF131" s="83"/>
      <c r="AG131" s="83"/>
      <c r="AH131" s="11"/>
      <c r="AI131" s="83"/>
      <c r="AJ131" s="83"/>
      <c r="AK131" s="83"/>
      <c r="AL131" s="11"/>
      <c r="AM131" s="83"/>
      <c r="AN131" s="83"/>
      <c r="AO131" s="83"/>
      <c r="AP131" s="11"/>
      <c r="AQ131" s="84"/>
      <c r="AR131" s="84"/>
      <c r="AS131" s="84"/>
      <c r="AT131" s="91"/>
      <c r="AU131" s="84"/>
      <c r="AV131" s="84"/>
      <c r="AW131" s="84"/>
      <c r="AX131" s="91"/>
      <c r="AY131" s="84"/>
      <c r="AZ131" s="84"/>
      <c r="BA131" s="84"/>
      <c r="BB131" s="91"/>
      <c r="BC131" s="84"/>
      <c r="BD131" s="84"/>
      <c r="BE131" s="84"/>
      <c r="BF131" s="91"/>
      <c r="BG131" s="84"/>
      <c r="BH131" s="84"/>
      <c r="BI131" s="84"/>
      <c r="BJ131" s="91"/>
      <c r="BK131" s="84"/>
      <c r="BL131" s="84"/>
      <c r="BM131" s="84"/>
      <c r="BN131" s="91"/>
      <c r="BO131" s="84"/>
      <c r="BP131" s="84"/>
      <c r="BQ131" s="84"/>
      <c r="BR131" s="91"/>
      <c r="BS131" s="84"/>
      <c r="BT131" s="84"/>
      <c r="BU131" s="84"/>
      <c r="BV131" s="91"/>
      <c r="BW131" s="84"/>
      <c r="BX131" s="84"/>
      <c r="BY131" s="84"/>
      <c r="BZ131" s="91"/>
      <c r="CA131" s="84"/>
      <c r="CB131" s="84"/>
      <c r="CC131" s="84"/>
      <c r="CD131" s="91"/>
      <c r="CE131" s="4"/>
      <c r="CF131" s="4"/>
      <c r="CG131" s="4"/>
      <c r="CH131" s="4"/>
      <c r="CI131" s="4"/>
      <c r="CJ131" s="4"/>
      <c r="CK131" s="4"/>
      <c r="CL131" s="4"/>
      <c r="CM131" s="4"/>
      <c r="CN131" s="4"/>
      <c r="CO131" s="4"/>
      <c r="CP131" s="4"/>
      <c r="CQ131" s="4"/>
      <c r="CR131" s="4"/>
      <c r="CS131" s="4"/>
      <c r="CT131" s="4"/>
    </row>
    <row r="132" spans="2:98" x14ac:dyDescent="0.2">
      <c r="B132" s="259"/>
      <c r="C132" s="85"/>
      <c r="D132" s="86"/>
      <c r="E132" s="85"/>
      <c r="F132" s="90"/>
      <c r="G132" s="83"/>
      <c r="H132" s="83"/>
      <c r="I132" s="83"/>
      <c r="J132" s="11"/>
      <c r="K132" s="83"/>
      <c r="L132" s="83"/>
      <c r="M132" s="83"/>
      <c r="N132" s="11"/>
      <c r="O132" s="83"/>
      <c r="P132" s="83"/>
      <c r="Q132" s="83"/>
      <c r="R132" s="11"/>
      <c r="S132" s="83"/>
      <c r="T132" s="83"/>
      <c r="U132" s="83"/>
      <c r="V132" s="11"/>
      <c r="W132" s="83"/>
      <c r="X132" s="83"/>
      <c r="Y132" s="83"/>
      <c r="Z132" s="11"/>
      <c r="AA132" s="83"/>
      <c r="AB132" s="83"/>
      <c r="AC132" s="83"/>
      <c r="AD132" s="11"/>
      <c r="AE132" s="83"/>
      <c r="AF132" s="83"/>
      <c r="AG132" s="83"/>
      <c r="AH132" s="11"/>
      <c r="AI132" s="83"/>
      <c r="AJ132" s="83"/>
      <c r="AK132" s="83"/>
      <c r="AL132" s="11"/>
      <c r="AM132" s="83"/>
      <c r="AN132" s="83"/>
      <c r="AO132" s="83"/>
      <c r="AP132" s="11"/>
      <c r="AQ132" s="84"/>
      <c r="AR132" s="84"/>
      <c r="AS132" s="84"/>
      <c r="AT132" s="91"/>
      <c r="AU132" s="84"/>
      <c r="AV132" s="84"/>
      <c r="AW132" s="84"/>
      <c r="AX132" s="91"/>
      <c r="AY132" s="84"/>
      <c r="AZ132" s="84"/>
      <c r="BA132" s="84"/>
      <c r="BB132" s="91"/>
      <c r="BC132" s="84"/>
      <c r="BD132" s="84"/>
      <c r="BE132" s="84"/>
      <c r="BF132" s="91"/>
      <c r="BG132" s="84"/>
      <c r="BH132" s="84"/>
      <c r="BI132" s="84"/>
      <c r="BJ132" s="91"/>
      <c r="BK132" s="84"/>
      <c r="BL132" s="84"/>
      <c r="BM132" s="84"/>
      <c r="BN132" s="91"/>
      <c r="BO132" s="84"/>
      <c r="BP132" s="84"/>
      <c r="BQ132" s="84"/>
      <c r="BR132" s="91"/>
      <c r="BS132" s="84"/>
      <c r="BT132" s="84"/>
      <c r="BU132" s="84"/>
      <c r="BV132" s="91"/>
      <c r="BW132" s="84"/>
      <c r="BX132" s="84"/>
      <c r="BY132" s="84"/>
      <c r="BZ132" s="91"/>
      <c r="CA132" s="84"/>
      <c r="CB132" s="84"/>
      <c r="CC132" s="84"/>
      <c r="CD132" s="91"/>
      <c r="CE132" s="4"/>
      <c r="CF132" s="4"/>
      <c r="CG132" s="4"/>
      <c r="CH132" s="4"/>
      <c r="CI132" s="4"/>
      <c r="CJ132" s="4"/>
      <c r="CK132" s="4"/>
      <c r="CL132" s="4"/>
      <c r="CM132" s="4"/>
      <c r="CN132" s="4"/>
      <c r="CO132" s="4"/>
      <c r="CP132" s="4"/>
      <c r="CQ132" s="4"/>
      <c r="CR132" s="4"/>
      <c r="CS132" s="4"/>
      <c r="CT132" s="4"/>
    </row>
    <row r="133" spans="2:98" x14ac:dyDescent="0.2">
      <c r="B133" s="259"/>
      <c r="C133" s="85"/>
      <c r="D133" s="86"/>
      <c r="E133" s="85"/>
      <c r="F133" s="90"/>
      <c r="G133" s="83"/>
      <c r="H133" s="83"/>
      <c r="I133" s="83"/>
      <c r="J133" s="11"/>
      <c r="K133" s="83"/>
      <c r="L133" s="83"/>
      <c r="M133" s="83"/>
      <c r="N133" s="11"/>
      <c r="O133" s="83"/>
      <c r="P133" s="83"/>
      <c r="Q133" s="83"/>
      <c r="R133" s="11"/>
      <c r="S133" s="83"/>
      <c r="T133" s="83"/>
      <c r="U133" s="83"/>
      <c r="V133" s="11"/>
      <c r="W133" s="83"/>
      <c r="X133" s="83"/>
      <c r="Y133" s="83"/>
      <c r="Z133" s="11"/>
      <c r="AA133" s="83"/>
      <c r="AB133" s="83"/>
      <c r="AC133" s="83"/>
      <c r="AD133" s="11"/>
      <c r="AE133" s="83"/>
      <c r="AF133" s="83"/>
      <c r="AG133" s="83"/>
      <c r="AH133" s="11"/>
      <c r="AI133" s="83"/>
      <c r="AJ133" s="83"/>
      <c r="AK133" s="83"/>
      <c r="AL133" s="11"/>
      <c r="AM133" s="83"/>
      <c r="AN133" s="83"/>
      <c r="AO133" s="83"/>
      <c r="AP133" s="11"/>
      <c r="AQ133" s="84"/>
      <c r="AR133" s="84"/>
      <c r="AS133" s="84"/>
      <c r="AT133" s="91"/>
      <c r="AU133" s="84"/>
      <c r="AV133" s="84"/>
      <c r="AW133" s="84"/>
      <c r="AX133" s="91"/>
      <c r="AY133" s="84"/>
      <c r="AZ133" s="84"/>
      <c r="BA133" s="84"/>
      <c r="BB133" s="91"/>
      <c r="BC133" s="84"/>
      <c r="BD133" s="84"/>
      <c r="BE133" s="84"/>
      <c r="BF133" s="91"/>
      <c r="BG133" s="84"/>
      <c r="BH133" s="84"/>
      <c r="BI133" s="84"/>
      <c r="BJ133" s="91"/>
      <c r="BK133" s="84"/>
      <c r="BL133" s="84"/>
      <c r="BM133" s="84"/>
      <c r="BN133" s="91"/>
      <c r="BO133" s="84"/>
      <c r="BP133" s="84"/>
      <c r="BQ133" s="84"/>
      <c r="BR133" s="91"/>
      <c r="BS133" s="84"/>
      <c r="BT133" s="84"/>
      <c r="BU133" s="84"/>
      <c r="BV133" s="91"/>
      <c r="BW133" s="84"/>
      <c r="BX133" s="84"/>
      <c r="BY133" s="84"/>
      <c r="BZ133" s="91"/>
      <c r="CA133" s="84"/>
      <c r="CB133" s="84"/>
      <c r="CC133" s="84"/>
      <c r="CD133" s="91"/>
      <c r="CE133" s="4"/>
      <c r="CF133" s="4"/>
      <c r="CG133" s="4"/>
      <c r="CH133" s="4"/>
      <c r="CI133" s="4"/>
      <c r="CJ133" s="4"/>
      <c r="CK133" s="4"/>
      <c r="CL133" s="4"/>
      <c r="CM133" s="4"/>
      <c r="CN133" s="4"/>
      <c r="CO133" s="4"/>
      <c r="CP133" s="4"/>
      <c r="CQ133" s="4"/>
      <c r="CR133" s="4"/>
      <c r="CS133" s="4"/>
      <c r="CT133" s="4"/>
    </row>
    <row r="134" spans="2:98" x14ac:dyDescent="0.2">
      <c r="B134" s="259"/>
      <c r="C134" s="85"/>
      <c r="D134" s="86"/>
      <c r="E134" s="85"/>
      <c r="F134" s="90"/>
      <c r="G134" s="83"/>
      <c r="H134" s="83"/>
      <c r="I134" s="83"/>
      <c r="J134" s="11"/>
      <c r="K134" s="83"/>
      <c r="L134" s="83"/>
      <c r="M134" s="83"/>
      <c r="N134" s="11"/>
      <c r="O134" s="83"/>
      <c r="P134" s="83"/>
      <c r="Q134" s="83"/>
      <c r="R134" s="11"/>
      <c r="S134" s="83"/>
      <c r="T134" s="83"/>
      <c r="U134" s="83"/>
      <c r="V134" s="11"/>
      <c r="W134" s="83"/>
      <c r="X134" s="83"/>
      <c r="Y134" s="83"/>
      <c r="Z134" s="11"/>
      <c r="AA134" s="83"/>
      <c r="AB134" s="83"/>
      <c r="AC134" s="83"/>
      <c r="AD134" s="11"/>
      <c r="AE134" s="83"/>
      <c r="AF134" s="83"/>
      <c r="AG134" s="83"/>
      <c r="AH134" s="11"/>
      <c r="AI134" s="83"/>
      <c r="AJ134" s="83"/>
      <c r="AK134" s="83"/>
      <c r="AL134" s="11"/>
      <c r="AM134" s="83"/>
      <c r="AN134" s="83"/>
      <c r="AO134" s="83"/>
      <c r="AP134" s="11"/>
      <c r="AQ134" s="84"/>
      <c r="AR134" s="84"/>
      <c r="AS134" s="84"/>
      <c r="AT134" s="91"/>
      <c r="AU134" s="84"/>
      <c r="AV134" s="84"/>
      <c r="AW134" s="84"/>
      <c r="AX134" s="91"/>
      <c r="AY134" s="84"/>
      <c r="AZ134" s="84"/>
      <c r="BA134" s="84"/>
      <c r="BB134" s="91"/>
      <c r="BC134" s="84"/>
      <c r="BD134" s="84"/>
      <c r="BE134" s="84"/>
      <c r="BF134" s="91"/>
      <c r="BG134" s="84"/>
      <c r="BH134" s="84"/>
      <c r="BI134" s="84"/>
      <c r="BJ134" s="91"/>
      <c r="BK134" s="84"/>
      <c r="BL134" s="84"/>
      <c r="BM134" s="84"/>
      <c r="BN134" s="91"/>
      <c r="BO134" s="84"/>
      <c r="BP134" s="84"/>
      <c r="BQ134" s="84"/>
      <c r="BR134" s="91"/>
      <c r="BS134" s="84"/>
      <c r="BT134" s="84"/>
      <c r="BU134" s="84"/>
      <c r="BV134" s="91"/>
      <c r="BW134" s="84"/>
      <c r="BX134" s="84"/>
      <c r="BY134" s="84"/>
      <c r="BZ134" s="91"/>
      <c r="CA134" s="84"/>
      <c r="CB134" s="84"/>
      <c r="CC134" s="84"/>
      <c r="CD134" s="91"/>
      <c r="CE134" s="4"/>
      <c r="CF134" s="4"/>
      <c r="CG134" s="4"/>
      <c r="CH134" s="4"/>
      <c r="CI134" s="4"/>
      <c r="CJ134" s="4"/>
      <c r="CK134" s="4"/>
      <c r="CL134" s="4"/>
      <c r="CM134" s="4"/>
      <c r="CN134" s="4"/>
      <c r="CO134" s="4"/>
      <c r="CP134" s="4"/>
      <c r="CQ134" s="4"/>
      <c r="CR134" s="4"/>
      <c r="CS134" s="4"/>
      <c r="CT134" s="4"/>
    </row>
    <row r="135" spans="2:98" x14ac:dyDescent="0.2">
      <c r="B135" s="259"/>
      <c r="C135" s="85"/>
      <c r="D135" s="86"/>
      <c r="E135" s="85"/>
      <c r="F135" s="90"/>
      <c r="G135" s="83"/>
      <c r="H135" s="83"/>
      <c r="I135" s="83"/>
      <c r="J135" s="11"/>
      <c r="K135" s="83"/>
      <c r="L135" s="83"/>
      <c r="M135" s="83"/>
      <c r="N135" s="11"/>
      <c r="O135" s="83"/>
      <c r="P135" s="83"/>
      <c r="Q135" s="83"/>
      <c r="R135" s="11"/>
      <c r="S135" s="83"/>
      <c r="T135" s="83"/>
      <c r="U135" s="83"/>
      <c r="V135" s="11"/>
      <c r="W135" s="83"/>
      <c r="X135" s="83"/>
      <c r="Y135" s="83"/>
      <c r="Z135" s="11"/>
      <c r="AA135" s="83"/>
      <c r="AB135" s="83"/>
      <c r="AC135" s="83"/>
      <c r="AD135" s="11"/>
      <c r="AE135" s="83"/>
      <c r="AF135" s="83"/>
      <c r="AG135" s="83"/>
      <c r="AH135" s="11"/>
      <c r="AI135" s="83"/>
      <c r="AJ135" s="83"/>
      <c r="AK135" s="83"/>
      <c r="AL135" s="11"/>
      <c r="AM135" s="83"/>
      <c r="AN135" s="83"/>
      <c r="AO135" s="83"/>
      <c r="AP135" s="11"/>
      <c r="AQ135" s="84"/>
      <c r="AR135" s="84"/>
      <c r="AS135" s="84"/>
      <c r="AT135" s="91"/>
      <c r="AU135" s="84"/>
      <c r="AV135" s="84"/>
      <c r="AW135" s="84"/>
      <c r="AX135" s="91"/>
      <c r="AY135" s="84"/>
      <c r="AZ135" s="84"/>
      <c r="BA135" s="84"/>
      <c r="BB135" s="91"/>
      <c r="BC135" s="84"/>
      <c r="BD135" s="84"/>
      <c r="BE135" s="84"/>
      <c r="BF135" s="91"/>
      <c r="BG135" s="84"/>
      <c r="BH135" s="84"/>
      <c r="BI135" s="84"/>
      <c r="BJ135" s="91"/>
      <c r="BK135" s="84"/>
      <c r="BL135" s="84"/>
      <c r="BM135" s="84"/>
      <c r="BN135" s="91"/>
      <c r="BO135" s="84"/>
      <c r="BP135" s="84"/>
      <c r="BQ135" s="84"/>
      <c r="BR135" s="91"/>
      <c r="BS135" s="84"/>
      <c r="BT135" s="84"/>
      <c r="BU135" s="84"/>
      <c r="BV135" s="91"/>
      <c r="BW135" s="84"/>
      <c r="BX135" s="84"/>
      <c r="BY135" s="84"/>
      <c r="BZ135" s="91"/>
      <c r="CA135" s="84"/>
      <c r="CB135" s="84"/>
      <c r="CC135" s="84"/>
      <c r="CD135" s="91"/>
      <c r="CE135" s="4"/>
      <c r="CF135" s="4"/>
      <c r="CG135" s="4"/>
      <c r="CH135" s="4"/>
      <c r="CI135" s="4"/>
      <c r="CJ135" s="4"/>
      <c r="CK135" s="4"/>
      <c r="CL135" s="4"/>
      <c r="CM135" s="4"/>
      <c r="CN135" s="4"/>
      <c r="CO135" s="4"/>
      <c r="CP135" s="4"/>
      <c r="CQ135" s="4"/>
      <c r="CR135" s="4"/>
      <c r="CS135" s="4"/>
      <c r="CT135" s="4"/>
    </row>
    <row r="136" spans="2:98" x14ac:dyDescent="0.2">
      <c r="B136" s="259"/>
      <c r="C136" s="85"/>
      <c r="D136" s="86"/>
      <c r="E136" s="85"/>
      <c r="F136" s="90"/>
      <c r="G136" s="83"/>
      <c r="H136" s="83"/>
      <c r="I136" s="83"/>
      <c r="J136" s="11"/>
      <c r="K136" s="83"/>
      <c r="L136" s="83"/>
      <c r="M136" s="83"/>
      <c r="N136" s="11"/>
      <c r="O136" s="83"/>
      <c r="P136" s="83"/>
      <c r="Q136" s="83"/>
      <c r="R136" s="11"/>
      <c r="S136" s="83"/>
      <c r="T136" s="83"/>
      <c r="U136" s="83"/>
      <c r="V136" s="11"/>
      <c r="W136" s="83"/>
      <c r="X136" s="83"/>
      <c r="Y136" s="83"/>
      <c r="Z136" s="11"/>
      <c r="AA136" s="83"/>
      <c r="AB136" s="83"/>
      <c r="AC136" s="83"/>
      <c r="AD136" s="11"/>
      <c r="AE136" s="83"/>
      <c r="AF136" s="83"/>
      <c r="AG136" s="83"/>
      <c r="AH136" s="11"/>
      <c r="AI136" s="83"/>
      <c r="AJ136" s="83"/>
      <c r="AK136" s="83"/>
      <c r="AL136" s="11"/>
      <c r="AM136" s="83"/>
      <c r="AN136" s="83"/>
      <c r="AO136" s="83"/>
      <c r="AP136" s="11"/>
      <c r="AQ136" s="84"/>
      <c r="AR136" s="84"/>
      <c r="AS136" s="84"/>
      <c r="AT136" s="91"/>
      <c r="AU136" s="84"/>
      <c r="AV136" s="84"/>
      <c r="AW136" s="84"/>
      <c r="AX136" s="91"/>
      <c r="AY136" s="84"/>
      <c r="AZ136" s="84"/>
      <c r="BA136" s="84"/>
      <c r="BB136" s="91"/>
      <c r="BC136" s="84"/>
      <c r="BD136" s="84"/>
      <c r="BE136" s="84"/>
      <c r="BF136" s="91"/>
      <c r="BG136" s="84"/>
      <c r="BH136" s="84"/>
      <c r="BI136" s="84"/>
      <c r="BJ136" s="91"/>
      <c r="BK136" s="84"/>
      <c r="BL136" s="84"/>
      <c r="BM136" s="84"/>
      <c r="BN136" s="91"/>
      <c r="BO136" s="84"/>
      <c r="BP136" s="84"/>
      <c r="BQ136" s="84"/>
      <c r="BR136" s="91"/>
      <c r="BS136" s="84"/>
      <c r="BT136" s="84"/>
      <c r="BU136" s="84"/>
      <c r="BV136" s="91"/>
      <c r="BW136" s="84"/>
      <c r="BX136" s="84"/>
      <c r="BY136" s="84"/>
      <c r="BZ136" s="91"/>
      <c r="CA136" s="84"/>
      <c r="CB136" s="84"/>
      <c r="CC136" s="84"/>
      <c r="CD136" s="91"/>
      <c r="CE136" s="4"/>
      <c r="CF136" s="4"/>
      <c r="CG136" s="4"/>
      <c r="CH136" s="4"/>
      <c r="CI136" s="4"/>
      <c r="CJ136" s="4"/>
      <c r="CK136" s="4"/>
      <c r="CL136" s="4"/>
      <c r="CM136" s="4"/>
      <c r="CN136" s="4"/>
      <c r="CO136" s="4"/>
      <c r="CP136" s="4"/>
      <c r="CQ136" s="4"/>
      <c r="CR136" s="4"/>
      <c r="CS136" s="4"/>
      <c r="CT136" s="4"/>
    </row>
    <row r="137" spans="2:98" x14ac:dyDescent="0.2">
      <c r="B137" s="259"/>
      <c r="C137" s="85"/>
      <c r="D137" s="86"/>
      <c r="E137" s="85"/>
      <c r="F137" s="90"/>
      <c r="G137" s="83"/>
      <c r="H137" s="83"/>
      <c r="I137" s="83"/>
      <c r="J137" s="11"/>
      <c r="K137" s="83"/>
      <c r="L137" s="83"/>
      <c r="M137" s="83"/>
      <c r="N137" s="11"/>
      <c r="O137" s="83"/>
      <c r="P137" s="83"/>
      <c r="Q137" s="83"/>
      <c r="R137" s="11"/>
      <c r="S137" s="83"/>
      <c r="T137" s="83"/>
      <c r="U137" s="83"/>
      <c r="V137" s="11"/>
      <c r="W137" s="83"/>
      <c r="X137" s="83"/>
      <c r="Y137" s="83"/>
      <c r="Z137" s="11"/>
      <c r="AA137" s="83"/>
      <c r="AB137" s="83"/>
      <c r="AC137" s="83"/>
      <c r="AD137" s="11"/>
      <c r="AE137" s="83"/>
      <c r="AF137" s="83"/>
      <c r="AG137" s="83"/>
      <c r="AH137" s="11"/>
      <c r="AI137" s="83"/>
      <c r="AJ137" s="83"/>
      <c r="AK137" s="83"/>
      <c r="AL137" s="11"/>
      <c r="AM137" s="83"/>
      <c r="AN137" s="83"/>
      <c r="AO137" s="83"/>
      <c r="AP137" s="11"/>
      <c r="AQ137" s="84"/>
      <c r="AR137" s="84"/>
      <c r="AS137" s="84"/>
      <c r="AT137" s="91"/>
      <c r="AU137" s="84"/>
      <c r="AV137" s="84"/>
      <c r="AW137" s="84"/>
      <c r="AX137" s="91"/>
      <c r="AY137" s="84"/>
      <c r="AZ137" s="84"/>
      <c r="BA137" s="84"/>
      <c r="BB137" s="91"/>
      <c r="BC137" s="84"/>
      <c r="BD137" s="84"/>
      <c r="BE137" s="84"/>
      <c r="BF137" s="91"/>
      <c r="BG137" s="84"/>
      <c r="BH137" s="84"/>
      <c r="BI137" s="84"/>
      <c r="BJ137" s="91"/>
      <c r="BK137" s="84"/>
      <c r="BL137" s="84"/>
      <c r="BM137" s="84"/>
      <c r="BN137" s="91"/>
      <c r="BO137" s="84"/>
      <c r="BP137" s="84"/>
      <c r="BQ137" s="84"/>
      <c r="BR137" s="91"/>
      <c r="BS137" s="84"/>
      <c r="BT137" s="84"/>
      <c r="BU137" s="84"/>
      <c r="BV137" s="91"/>
      <c r="BW137" s="84"/>
      <c r="BX137" s="84"/>
      <c r="BY137" s="84"/>
      <c r="BZ137" s="91"/>
      <c r="CA137" s="84"/>
      <c r="CB137" s="84"/>
      <c r="CC137" s="84"/>
      <c r="CD137" s="91"/>
      <c r="CE137" s="4"/>
      <c r="CF137" s="4"/>
      <c r="CG137" s="4"/>
      <c r="CH137" s="4"/>
      <c r="CI137" s="4"/>
      <c r="CJ137" s="4"/>
      <c r="CK137" s="4"/>
      <c r="CL137" s="4"/>
      <c r="CM137" s="4"/>
      <c r="CN137" s="4"/>
      <c r="CO137" s="4"/>
      <c r="CP137" s="4"/>
      <c r="CQ137" s="4"/>
      <c r="CR137" s="4"/>
      <c r="CS137" s="4"/>
      <c r="CT137" s="4"/>
    </row>
    <row r="138" spans="2:98" x14ac:dyDescent="0.2">
      <c r="B138" s="259"/>
      <c r="C138" s="85"/>
      <c r="D138" s="86"/>
      <c r="E138" s="85"/>
      <c r="F138" s="90"/>
      <c r="G138" s="83"/>
      <c r="H138" s="83"/>
      <c r="I138" s="83"/>
      <c r="J138" s="11"/>
      <c r="K138" s="83"/>
      <c r="L138" s="83"/>
      <c r="M138" s="83"/>
      <c r="N138" s="11"/>
      <c r="O138" s="83"/>
      <c r="P138" s="83"/>
      <c r="Q138" s="83"/>
      <c r="R138" s="11"/>
      <c r="S138" s="83"/>
      <c r="T138" s="83"/>
      <c r="U138" s="83"/>
      <c r="V138" s="11"/>
      <c r="W138" s="83"/>
      <c r="X138" s="83"/>
      <c r="Y138" s="83"/>
      <c r="Z138" s="11"/>
      <c r="AA138" s="83"/>
      <c r="AB138" s="83"/>
      <c r="AC138" s="83"/>
      <c r="AD138" s="11"/>
      <c r="AE138" s="83"/>
      <c r="AF138" s="83"/>
      <c r="AG138" s="83"/>
      <c r="AH138" s="11"/>
      <c r="AI138" s="83"/>
      <c r="AJ138" s="83"/>
      <c r="AK138" s="83"/>
      <c r="AL138" s="11"/>
      <c r="AM138" s="83"/>
      <c r="AN138" s="83"/>
      <c r="AO138" s="83"/>
      <c r="AP138" s="11"/>
      <c r="AQ138" s="84"/>
      <c r="AR138" s="84"/>
      <c r="AS138" s="84"/>
      <c r="AT138" s="91"/>
      <c r="AU138" s="84"/>
      <c r="AV138" s="84"/>
      <c r="AW138" s="84"/>
      <c r="AX138" s="91"/>
      <c r="AY138" s="84"/>
      <c r="AZ138" s="84"/>
      <c r="BA138" s="84"/>
      <c r="BB138" s="91"/>
      <c r="BC138" s="84"/>
      <c r="BD138" s="84"/>
      <c r="BE138" s="84"/>
      <c r="BF138" s="91"/>
      <c r="BG138" s="84"/>
      <c r="BH138" s="84"/>
      <c r="BI138" s="84"/>
      <c r="BJ138" s="91"/>
      <c r="BK138" s="84"/>
      <c r="BL138" s="84"/>
      <c r="BM138" s="84"/>
      <c r="BN138" s="91"/>
      <c r="BO138" s="84"/>
      <c r="BP138" s="84"/>
      <c r="BQ138" s="84"/>
      <c r="BR138" s="91"/>
      <c r="BS138" s="84"/>
      <c r="BT138" s="84"/>
      <c r="BU138" s="84"/>
      <c r="BV138" s="91"/>
      <c r="BW138" s="84"/>
      <c r="BX138" s="84"/>
      <c r="BY138" s="84"/>
      <c r="BZ138" s="91"/>
      <c r="CA138" s="84"/>
      <c r="CB138" s="84"/>
      <c r="CC138" s="84"/>
      <c r="CD138" s="91"/>
      <c r="CE138" s="4"/>
      <c r="CF138" s="4"/>
      <c r="CG138" s="4"/>
      <c r="CH138" s="4"/>
      <c r="CI138" s="4"/>
      <c r="CJ138" s="4"/>
      <c r="CK138" s="4"/>
      <c r="CL138" s="4"/>
      <c r="CM138" s="4"/>
      <c r="CN138" s="4"/>
      <c r="CO138" s="4"/>
      <c r="CP138" s="4"/>
      <c r="CQ138" s="4"/>
      <c r="CR138" s="4"/>
      <c r="CS138" s="4"/>
      <c r="CT138" s="4"/>
    </row>
    <row r="139" spans="2:98" x14ac:dyDescent="0.2">
      <c r="B139" s="259"/>
      <c r="C139" s="85"/>
      <c r="D139" s="86"/>
      <c r="E139" s="85"/>
      <c r="F139" s="90"/>
      <c r="G139" s="83"/>
      <c r="H139" s="83"/>
      <c r="I139" s="83"/>
      <c r="J139" s="11"/>
      <c r="K139" s="83"/>
      <c r="L139" s="83"/>
      <c r="M139" s="83"/>
      <c r="N139" s="11"/>
      <c r="O139" s="83"/>
      <c r="P139" s="83"/>
      <c r="Q139" s="83"/>
      <c r="R139" s="11"/>
      <c r="S139" s="83"/>
      <c r="T139" s="83"/>
      <c r="U139" s="83"/>
      <c r="V139" s="11"/>
      <c r="W139" s="83"/>
      <c r="X139" s="83"/>
      <c r="Y139" s="83"/>
      <c r="Z139" s="11"/>
      <c r="AA139" s="83"/>
      <c r="AB139" s="83"/>
      <c r="AC139" s="83"/>
      <c r="AD139" s="11"/>
      <c r="AE139" s="83"/>
      <c r="AF139" s="83"/>
      <c r="AG139" s="83"/>
      <c r="AH139" s="11"/>
      <c r="AI139" s="83"/>
      <c r="AJ139" s="83"/>
      <c r="AK139" s="83"/>
      <c r="AL139" s="11"/>
      <c r="AM139" s="83"/>
      <c r="AN139" s="83"/>
      <c r="AO139" s="83"/>
      <c r="AP139" s="11"/>
      <c r="AQ139" s="84"/>
      <c r="AR139" s="84"/>
      <c r="AS139" s="84"/>
      <c r="AT139" s="91"/>
      <c r="AU139" s="84"/>
      <c r="AV139" s="84"/>
      <c r="AW139" s="84"/>
      <c r="AX139" s="91"/>
      <c r="AY139" s="84"/>
      <c r="AZ139" s="84"/>
      <c r="BA139" s="84"/>
      <c r="BB139" s="91"/>
      <c r="BC139" s="84"/>
      <c r="BD139" s="84"/>
      <c r="BE139" s="84"/>
      <c r="BF139" s="91"/>
      <c r="BG139" s="84"/>
      <c r="BH139" s="84"/>
      <c r="BI139" s="84"/>
      <c r="BJ139" s="91"/>
      <c r="BK139" s="84"/>
      <c r="BL139" s="84"/>
      <c r="BM139" s="84"/>
      <c r="BN139" s="91"/>
      <c r="BO139" s="84"/>
      <c r="BP139" s="84"/>
      <c r="BQ139" s="84"/>
      <c r="BR139" s="91"/>
      <c r="BS139" s="84"/>
      <c r="BT139" s="84"/>
      <c r="BU139" s="84"/>
      <c r="BV139" s="91"/>
      <c r="BW139" s="84"/>
      <c r="BX139" s="84"/>
      <c r="BY139" s="84"/>
      <c r="BZ139" s="91"/>
      <c r="CA139" s="84"/>
      <c r="CB139" s="84"/>
      <c r="CC139" s="84"/>
      <c r="CD139" s="91"/>
      <c r="CE139" s="4"/>
      <c r="CF139" s="4"/>
      <c r="CG139" s="4"/>
      <c r="CH139" s="4"/>
      <c r="CI139" s="4"/>
      <c r="CJ139" s="4"/>
      <c r="CK139" s="4"/>
      <c r="CL139" s="4"/>
      <c r="CM139" s="4"/>
      <c r="CN139" s="4"/>
      <c r="CO139" s="4"/>
      <c r="CP139" s="4"/>
      <c r="CQ139" s="4"/>
      <c r="CR139" s="4"/>
      <c r="CS139" s="4"/>
      <c r="CT139" s="4"/>
    </row>
    <row r="140" spans="2:98" x14ac:dyDescent="0.2">
      <c r="B140" s="259"/>
      <c r="C140" s="85"/>
      <c r="D140" s="86"/>
      <c r="E140" s="85"/>
      <c r="F140" s="90"/>
      <c r="G140" s="83"/>
      <c r="H140" s="83"/>
      <c r="I140" s="83"/>
      <c r="J140" s="11"/>
      <c r="K140" s="83"/>
      <c r="L140" s="83"/>
      <c r="M140" s="83"/>
      <c r="N140" s="11"/>
      <c r="O140" s="83"/>
      <c r="P140" s="83"/>
      <c r="Q140" s="83"/>
      <c r="R140" s="11"/>
      <c r="S140" s="83"/>
      <c r="T140" s="83"/>
      <c r="U140" s="83"/>
      <c r="V140" s="11"/>
      <c r="W140" s="83"/>
      <c r="X140" s="83"/>
      <c r="Y140" s="83"/>
      <c r="Z140" s="11"/>
      <c r="AA140" s="83"/>
      <c r="AB140" s="83"/>
      <c r="AC140" s="83"/>
      <c r="AD140" s="11"/>
      <c r="AE140" s="83"/>
      <c r="AF140" s="83"/>
      <c r="AG140" s="83"/>
      <c r="AH140" s="11"/>
      <c r="AI140" s="83"/>
      <c r="AJ140" s="83"/>
      <c r="AK140" s="83"/>
      <c r="AL140" s="11"/>
      <c r="AM140" s="83"/>
      <c r="AN140" s="83"/>
      <c r="AO140" s="83"/>
      <c r="AP140" s="11"/>
      <c r="AQ140" s="84"/>
      <c r="AR140" s="84"/>
      <c r="AS140" s="84"/>
      <c r="AT140" s="91"/>
      <c r="AU140" s="84"/>
      <c r="AV140" s="84"/>
      <c r="AW140" s="84"/>
      <c r="AX140" s="91"/>
      <c r="AY140" s="84"/>
      <c r="AZ140" s="84"/>
      <c r="BA140" s="84"/>
      <c r="BB140" s="91"/>
      <c r="BC140" s="84"/>
      <c r="BD140" s="84"/>
      <c r="BE140" s="84"/>
      <c r="BF140" s="91"/>
      <c r="BG140" s="84"/>
      <c r="BH140" s="84"/>
      <c r="BI140" s="84"/>
      <c r="BJ140" s="91"/>
      <c r="BK140" s="84"/>
      <c r="BL140" s="84"/>
      <c r="BM140" s="84"/>
      <c r="BN140" s="91"/>
      <c r="BO140" s="84"/>
      <c r="BP140" s="84"/>
      <c r="BQ140" s="84"/>
      <c r="BR140" s="91"/>
      <c r="BS140" s="84"/>
      <c r="BT140" s="84"/>
      <c r="BU140" s="84"/>
      <c r="BV140" s="91"/>
      <c r="BW140" s="84"/>
      <c r="BX140" s="84"/>
      <c r="BY140" s="84"/>
      <c r="BZ140" s="91"/>
      <c r="CA140" s="84"/>
      <c r="CB140" s="84"/>
      <c r="CC140" s="84"/>
      <c r="CD140" s="91"/>
      <c r="CE140" s="4"/>
      <c r="CF140" s="4"/>
      <c r="CG140" s="4"/>
      <c r="CH140" s="4"/>
      <c r="CI140" s="4"/>
      <c r="CJ140" s="4"/>
      <c r="CK140" s="4"/>
      <c r="CL140" s="4"/>
      <c r="CM140" s="4"/>
      <c r="CN140" s="4"/>
      <c r="CO140" s="4"/>
      <c r="CP140" s="4"/>
      <c r="CQ140" s="4"/>
      <c r="CR140" s="4"/>
      <c r="CS140" s="4"/>
      <c r="CT140" s="4"/>
    </row>
    <row r="141" spans="2:98" x14ac:dyDescent="0.2">
      <c r="B141" s="259"/>
      <c r="C141" s="85"/>
      <c r="D141" s="86"/>
      <c r="E141" s="85"/>
      <c r="F141" s="90"/>
      <c r="G141" s="83"/>
      <c r="H141" s="83"/>
      <c r="I141" s="83"/>
      <c r="J141" s="11"/>
      <c r="K141" s="83"/>
      <c r="L141" s="83"/>
      <c r="M141" s="83"/>
      <c r="N141" s="11"/>
      <c r="O141" s="83"/>
      <c r="P141" s="83"/>
      <c r="Q141" s="83"/>
      <c r="R141" s="11"/>
      <c r="S141" s="83"/>
      <c r="T141" s="83"/>
      <c r="U141" s="83"/>
      <c r="V141" s="11"/>
      <c r="W141" s="83"/>
      <c r="X141" s="83"/>
      <c r="Y141" s="83"/>
      <c r="Z141" s="11"/>
      <c r="AA141" s="83"/>
      <c r="AB141" s="83"/>
      <c r="AC141" s="83"/>
      <c r="AD141" s="11"/>
      <c r="AE141" s="83"/>
      <c r="AF141" s="83"/>
      <c r="AG141" s="83"/>
      <c r="AH141" s="11"/>
      <c r="AI141" s="83"/>
      <c r="AJ141" s="83"/>
      <c r="AK141" s="83"/>
      <c r="AL141" s="11"/>
      <c r="AM141" s="83"/>
      <c r="AN141" s="83"/>
      <c r="AO141" s="83"/>
      <c r="AP141" s="11"/>
      <c r="AQ141" s="84"/>
      <c r="AR141" s="84"/>
      <c r="AS141" s="84"/>
      <c r="AT141" s="91"/>
      <c r="AU141" s="84"/>
      <c r="AV141" s="84"/>
      <c r="AW141" s="84"/>
      <c r="AX141" s="91"/>
      <c r="AY141" s="84"/>
      <c r="AZ141" s="84"/>
      <c r="BA141" s="84"/>
      <c r="BB141" s="91"/>
      <c r="BC141" s="84"/>
      <c r="BD141" s="84"/>
      <c r="BE141" s="84"/>
      <c r="BF141" s="91"/>
      <c r="BG141" s="84"/>
      <c r="BH141" s="84"/>
      <c r="BI141" s="84"/>
      <c r="BJ141" s="91"/>
      <c r="BK141" s="84"/>
      <c r="BL141" s="84"/>
      <c r="BM141" s="84"/>
      <c r="BN141" s="91"/>
      <c r="BO141" s="84"/>
      <c r="BP141" s="84"/>
      <c r="BQ141" s="84"/>
      <c r="BR141" s="91"/>
      <c r="BS141" s="84"/>
      <c r="BT141" s="84"/>
      <c r="BU141" s="84"/>
      <c r="BV141" s="91"/>
      <c r="BW141" s="84"/>
      <c r="BX141" s="84"/>
      <c r="BY141" s="84"/>
      <c r="BZ141" s="91"/>
      <c r="CA141" s="84"/>
      <c r="CB141" s="84"/>
      <c r="CC141" s="84"/>
      <c r="CD141" s="91"/>
      <c r="CE141" s="4"/>
      <c r="CF141" s="4"/>
      <c r="CG141" s="4"/>
      <c r="CH141" s="4"/>
      <c r="CI141" s="4"/>
      <c r="CJ141" s="4"/>
      <c r="CK141" s="4"/>
      <c r="CL141" s="4"/>
      <c r="CM141" s="4"/>
      <c r="CN141" s="4"/>
      <c r="CO141" s="4"/>
      <c r="CP141" s="4"/>
      <c r="CQ141" s="4"/>
      <c r="CR141" s="4"/>
      <c r="CS141" s="4"/>
      <c r="CT141" s="4"/>
    </row>
    <row r="142" spans="2:98" x14ac:dyDescent="0.2">
      <c r="B142" s="259"/>
      <c r="C142" s="85"/>
      <c r="D142" s="86"/>
      <c r="E142" s="85"/>
      <c r="F142" s="90"/>
      <c r="G142" s="83"/>
      <c r="H142" s="83"/>
      <c r="I142" s="83"/>
      <c r="J142" s="11"/>
      <c r="K142" s="83"/>
      <c r="L142" s="83"/>
      <c r="M142" s="83"/>
      <c r="N142" s="11"/>
      <c r="O142" s="83"/>
      <c r="P142" s="83"/>
      <c r="Q142" s="83"/>
      <c r="R142" s="11"/>
      <c r="S142" s="83"/>
      <c r="T142" s="83"/>
      <c r="U142" s="83"/>
      <c r="V142" s="11"/>
      <c r="W142" s="83"/>
      <c r="X142" s="83"/>
      <c r="Y142" s="83"/>
      <c r="Z142" s="11"/>
      <c r="AA142" s="83"/>
      <c r="AB142" s="83"/>
      <c r="AC142" s="83"/>
      <c r="AD142" s="11"/>
      <c r="AE142" s="83"/>
      <c r="AF142" s="83"/>
      <c r="AG142" s="83"/>
      <c r="AH142" s="11"/>
      <c r="AI142" s="83"/>
      <c r="AJ142" s="83"/>
      <c r="AK142" s="83"/>
      <c r="AL142" s="11"/>
      <c r="AM142" s="83"/>
      <c r="AN142" s="83"/>
      <c r="AO142" s="83"/>
      <c r="AP142" s="11"/>
      <c r="AQ142" s="84"/>
      <c r="AR142" s="84"/>
      <c r="AS142" s="84"/>
      <c r="AT142" s="91"/>
      <c r="AU142" s="84"/>
      <c r="AV142" s="84"/>
      <c r="AW142" s="84"/>
      <c r="AX142" s="91"/>
      <c r="AY142" s="84"/>
      <c r="AZ142" s="84"/>
      <c r="BA142" s="84"/>
      <c r="BB142" s="91"/>
      <c r="BC142" s="84"/>
      <c r="BD142" s="84"/>
      <c r="BE142" s="84"/>
      <c r="BF142" s="91"/>
      <c r="BG142" s="84"/>
      <c r="BH142" s="84"/>
      <c r="BI142" s="84"/>
      <c r="BJ142" s="91"/>
      <c r="BK142" s="84"/>
      <c r="BL142" s="84"/>
      <c r="BM142" s="84"/>
      <c r="BN142" s="91"/>
      <c r="BO142" s="84"/>
      <c r="BP142" s="84"/>
      <c r="BQ142" s="84"/>
      <c r="BR142" s="91"/>
      <c r="BS142" s="84"/>
      <c r="BT142" s="84"/>
      <c r="BU142" s="84"/>
      <c r="BV142" s="91"/>
      <c r="BW142" s="84"/>
      <c r="BX142" s="84"/>
      <c r="BY142" s="84"/>
      <c r="BZ142" s="91"/>
      <c r="CA142" s="84"/>
      <c r="CB142" s="84"/>
      <c r="CC142" s="84"/>
      <c r="CD142" s="91"/>
      <c r="CE142" s="4"/>
      <c r="CF142" s="4"/>
      <c r="CG142" s="4"/>
      <c r="CH142" s="4"/>
      <c r="CI142" s="4"/>
      <c r="CJ142" s="4"/>
      <c r="CK142" s="4"/>
      <c r="CL142" s="4"/>
      <c r="CM142" s="4"/>
      <c r="CN142" s="4"/>
      <c r="CO142" s="4"/>
      <c r="CP142" s="4"/>
      <c r="CQ142" s="4"/>
      <c r="CR142" s="4"/>
      <c r="CS142" s="4"/>
      <c r="CT142" s="4"/>
    </row>
    <row r="143" spans="2:98" x14ac:dyDescent="0.2">
      <c r="B143" s="259"/>
      <c r="C143" s="85"/>
      <c r="D143" s="86"/>
      <c r="E143" s="85"/>
      <c r="F143" s="90"/>
      <c r="G143" s="83"/>
      <c r="H143" s="83"/>
      <c r="I143" s="83"/>
      <c r="J143" s="11"/>
      <c r="K143" s="83"/>
      <c r="L143" s="83"/>
      <c r="M143" s="83"/>
      <c r="N143" s="11"/>
      <c r="O143" s="83"/>
      <c r="P143" s="83"/>
      <c r="Q143" s="83"/>
      <c r="R143" s="11"/>
      <c r="S143" s="83"/>
      <c r="T143" s="83"/>
      <c r="U143" s="83"/>
      <c r="V143" s="11"/>
      <c r="W143" s="83"/>
      <c r="X143" s="83"/>
      <c r="Y143" s="83"/>
      <c r="Z143" s="11"/>
      <c r="AA143" s="83"/>
      <c r="AB143" s="83"/>
      <c r="AC143" s="83"/>
      <c r="AD143" s="11"/>
      <c r="AE143" s="83"/>
      <c r="AF143" s="83"/>
      <c r="AG143" s="83"/>
      <c r="AH143" s="11"/>
      <c r="AI143" s="83"/>
      <c r="AJ143" s="83"/>
      <c r="AK143" s="83"/>
      <c r="AL143" s="11"/>
      <c r="AM143" s="83"/>
      <c r="AN143" s="83"/>
      <c r="AO143" s="83"/>
      <c r="AP143" s="11"/>
      <c r="AQ143" s="84"/>
      <c r="AR143" s="84"/>
      <c r="AS143" s="84"/>
      <c r="AT143" s="91"/>
      <c r="AU143" s="84"/>
      <c r="AV143" s="84"/>
      <c r="AW143" s="84"/>
      <c r="AX143" s="91"/>
      <c r="AY143" s="84"/>
      <c r="AZ143" s="84"/>
      <c r="BA143" s="84"/>
      <c r="BB143" s="91"/>
      <c r="BC143" s="84"/>
      <c r="BD143" s="84"/>
      <c r="BE143" s="84"/>
      <c r="BF143" s="91"/>
      <c r="BG143" s="84"/>
      <c r="BH143" s="84"/>
      <c r="BI143" s="84"/>
      <c r="BJ143" s="91"/>
      <c r="BK143" s="84"/>
      <c r="BL143" s="84"/>
      <c r="BM143" s="84"/>
      <c r="BN143" s="91"/>
      <c r="BO143" s="84"/>
      <c r="BP143" s="84"/>
      <c r="BQ143" s="84"/>
      <c r="BR143" s="91"/>
      <c r="BS143" s="84"/>
      <c r="BT143" s="84"/>
      <c r="BU143" s="84"/>
      <c r="BV143" s="91"/>
      <c r="BW143" s="84"/>
      <c r="BX143" s="84"/>
      <c r="BY143" s="84"/>
      <c r="BZ143" s="91"/>
      <c r="CA143" s="84"/>
      <c r="CB143" s="84"/>
      <c r="CC143" s="84"/>
      <c r="CD143" s="91"/>
      <c r="CE143" s="4"/>
      <c r="CF143" s="4"/>
      <c r="CG143" s="4"/>
      <c r="CH143" s="4"/>
      <c r="CI143" s="4"/>
      <c r="CJ143" s="4"/>
      <c r="CK143" s="4"/>
      <c r="CL143" s="4"/>
      <c r="CM143" s="4"/>
      <c r="CN143" s="4"/>
      <c r="CO143" s="4"/>
      <c r="CP143" s="4"/>
      <c r="CQ143" s="4"/>
      <c r="CR143" s="4"/>
      <c r="CS143" s="4"/>
      <c r="CT143" s="4"/>
    </row>
    <row r="144" spans="2:98" x14ac:dyDescent="0.2">
      <c r="B144" s="259"/>
      <c r="C144" s="85"/>
      <c r="D144" s="86"/>
      <c r="E144" s="85"/>
      <c r="F144" s="90"/>
      <c r="G144" s="83"/>
      <c r="H144" s="83"/>
      <c r="I144" s="83"/>
      <c r="J144" s="11"/>
      <c r="K144" s="83"/>
      <c r="L144" s="83"/>
      <c r="M144" s="83"/>
      <c r="N144" s="11"/>
      <c r="O144" s="83"/>
      <c r="P144" s="83"/>
      <c r="Q144" s="83"/>
      <c r="R144" s="11"/>
      <c r="S144" s="83"/>
      <c r="T144" s="83"/>
      <c r="U144" s="83"/>
      <c r="V144" s="11"/>
      <c r="W144" s="83"/>
      <c r="X144" s="83"/>
      <c r="Y144" s="83"/>
      <c r="Z144" s="11"/>
      <c r="AA144" s="83"/>
      <c r="AB144" s="83"/>
      <c r="AC144" s="83"/>
      <c r="AD144" s="11"/>
      <c r="AE144" s="83"/>
      <c r="AF144" s="83"/>
      <c r="AG144" s="83"/>
      <c r="AH144" s="11"/>
      <c r="AI144" s="83"/>
      <c r="AJ144" s="83"/>
      <c r="AK144" s="83"/>
      <c r="AL144" s="11"/>
      <c r="AM144" s="83"/>
      <c r="AN144" s="83"/>
      <c r="AO144" s="83"/>
      <c r="AP144" s="11"/>
      <c r="AQ144" s="84"/>
      <c r="AR144" s="84"/>
      <c r="AS144" s="84"/>
      <c r="AT144" s="91"/>
      <c r="AU144" s="84"/>
      <c r="AV144" s="84"/>
      <c r="AW144" s="84"/>
      <c r="AX144" s="91"/>
      <c r="AY144" s="84"/>
      <c r="AZ144" s="84"/>
      <c r="BA144" s="84"/>
      <c r="BB144" s="91"/>
      <c r="BC144" s="84"/>
      <c r="BD144" s="84"/>
      <c r="BE144" s="84"/>
      <c r="BF144" s="91"/>
      <c r="BG144" s="84"/>
      <c r="BH144" s="84"/>
      <c r="BI144" s="84"/>
      <c r="BJ144" s="91"/>
      <c r="BK144" s="84"/>
      <c r="BL144" s="84"/>
      <c r="BM144" s="84"/>
      <c r="BN144" s="91"/>
      <c r="BO144" s="84"/>
      <c r="BP144" s="84"/>
      <c r="BQ144" s="84"/>
      <c r="BR144" s="91"/>
      <c r="BS144" s="84"/>
      <c r="BT144" s="84"/>
      <c r="BU144" s="84"/>
      <c r="BV144" s="91"/>
      <c r="BW144" s="84"/>
      <c r="BX144" s="84"/>
      <c r="BY144" s="84"/>
      <c r="BZ144" s="91"/>
      <c r="CA144" s="84"/>
      <c r="CB144" s="84"/>
      <c r="CC144" s="84"/>
      <c r="CD144" s="91"/>
      <c r="CE144" s="4"/>
      <c r="CF144" s="4"/>
      <c r="CG144" s="4"/>
      <c r="CH144" s="4"/>
      <c r="CI144" s="4"/>
      <c r="CJ144" s="4"/>
      <c r="CK144" s="4"/>
      <c r="CL144" s="4"/>
      <c r="CM144" s="4"/>
      <c r="CN144" s="4"/>
      <c r="CO144" s="4"/>
      <c r="CP144" s="4"/>
      <c r="CQ144" s="4"/>
      <c r="CR144" s="4"/>
      <c r="CS144" s="4"/>
      <c r="CT144" s="4"/>
    </row>
    <row r="145" spans="2:98" x14ac:dyDescent="0.2">
      <c r="B145" s="259"/>
      <c r="C145" s="85"/>
      <c r="D145" s="86"/>
      <c r="E145" s="85"/>
      <c r="F145" s="90"/>
      <c r="G145" s="83"/>
      <c r="H145" s="83"/>
      <c r="I145" s="83"/>
      <c r="J145" s="11"/>
      <c r="K145" s="83"/>
      <c r="L145" s="83"/>
      <c r="M145" s="83"/>
      <c r="N145" s="11"/>
      <c r="O145" s="83"/>
      <c r="P145" s="83"/>
      <c r="Q145" s="83"/>
      <c r="R145" s="11"/>
      <c r="S145" s="83"/>
      <c r="T145" s="83"/>
      <c r="U145" s="83"/>
      <c r="V145" s="11"/>
      <c r="W145" s="83"/>
      <c r="X145" s="83"/>
      <c r="Y145" s="83"/>
      <c r="Z145" s="11"/>
      <c r="AA145" s="83"/>
      <c r="AB145" s="83"/>
      <c r="AC145" s="83"/>
      <c r="AD145" s="11"/>
      <c r="AE145" s="83"/>
      <c r="AF145" s="83"/>
      <c r="AG145" s="83"/>
      <c r="AH145" s="11"/>
      <c r="AI145" s="83"/>
      <c r="AJ145" s="83"/>
      <c r="AK145" s="83"/>
      <c r="AL145" s="11"/>
      <c r="AM145" s="83"/>
      <c r="AN145" s="83"/>
      <c r="AO145" s="83"/>
      <c r="AP145" s="11"/>
      <c r="AQ145" s="84"/>
      <c r="AR145" s="84"/>
      <c r="AS145" s="84"/>
      <c r="AT145" s="91"/>
      <c r="AU145" s="84"/>
      <c r="AV145" s="84"/>
      <c r="AW145" s="84"/>
      <c r="AX145" s="91"/>
      <c r="AY145" s="84"/>
      <c r="AZ145" s="84"/>
      <c r="BA145" s="84"/>
      <c r="BB145" s="91"/>
      <c r="BC145" s="84"/>
      <c r="BD145" s="84"/>
      <c r="BE145" s="84"/>
      <c r="BF145" s="91"/>
      <c r="BG145" s="84"/>
      <c r="BH145" s="84"/>
      <c r="BI145" s="84"/>
      <c r="BJ145" s="91"/>
      <c r="BK145" s="84"/>
      <c r="BL145" s="84"/>
      <c r="BM145" s="84"/>
      <c r="BN145" s="91"/>
      <c r="BO145" s="84"/>
      <c r="BP145" s="84"/>
      <c r="BQ145" s="84"/>
      <c r="BR145" s="91"/>
      <c r="BS145" s="84"/>
      <c r="BT145" s="84"/>
      <c r="BU145" s="84"/>
      <c r="BV145" s="91"/>
      <c r="BW145" s="84"/>
      <c r="BX145" s="84"/>
      <c r="BY145" s="84"/>
      <c r="BZ145" s="91"/>
      <c r="CA145" s="84"/>
      <c r="CB145" s="84"/>
      <c r="CC145" s="84"/>
      <c r="CD145" s="91"/>
      <c r="CE145" s="4"/>
      <c r="CF145" s="4"/>
      <c r="CG145" s="4"/>
      <c r="CH145" s="4"/>
      <c r="CI145" s="4"/>
      <c r="CJ145" s="4"/>
      <c r="CK145" s="4"/>
      <c r="CL145" s="4"/>
      <c r="CM145" s="4"/>
      <c r="CN145" s="4"/>
      <c r="CO145" s="4"/>
      <c r="CP145" s="4"/>
      <c r="CQ145" s="4"/>
      <c r="CR145" s="4"/>
      <c r="CS145" s="4"/>
      <c r="CT145" s="4"/>
    </row>
    <row r="146" spans="2:98" x14ac:dyDescent="0.2">
      <c r="B146" s="259"/>
      <c r="C146" s="85"/>
      <c r="D146" s="86"/>
      <c r="E146" s="85"/>
      <c r="F146" s="90"/>
      <c r="G146" s="83"/>
      <c r="H146" s="83"/>
      <c r="I146" s="83"/>
      <c r="J146" s="11"/>
      <c r="K146" s="83"/>
      <c r="L146" s="83"/>
      <c r="M146" s="83"/>
      <c r="N146" s="11"/>
      <c r="O146" s="83"/>
      <c r="P146" s="83"/>
      <c r="Q146" s="83"/>
      <c r="R146" s="11"/>
      <c r="S146" s="83"/>
      <c r="T146" s="83"/>
      <c r="U146" s="83"/>
      <c r="V146" s="11"/>
      <c r="W146" s="83"/>
      <c r="X146" s="83"/>
      <c r="Y146" s="83"/>
      <c r="Z146" s="11"/>
      <c r="AA146" s="83"/>
      <c r="AB146" s="83"/>
      <c r="AC146" s="83"/>
      <c r="AD146" s="11"/>
      <c r="AE146" s="83"/>
      <c r="AF146" s="83"/>
      <c r="AG146" s="83"/>
      <c r="AH146" s="11"/>
      <c r="AI146" s="83"/>
      <c r="AJ146" s="83"/>
      <c r="AK146" s="83"/>
      <c r="AL146" s="11"/>
      <c r="AM146" s="83"/>
      <c r="AN146" s="83"/>
      <c r="AO146" s="83"/>
      <c r="AP146" s="11"/>
      <c r="AQ146" s="84"/>
      <c r="AR146" s="84"/>
      <c r="AS146" s="84"/>
      <c r="AT146" s="91"/>
      <c r="AU146" s="84"/>
      <c r="AV146" s="84"/>
      <c r="AW146" s="84"/>
      <c r="AX146" s="91"/>
      <c r="AY146" s="84"/>
      <c r="AZ146" s="84"/>
      <c r="BA146" s="84"/>
      <c r="BB146" s="91"/>
      <c r="BC146" s="84"/>
      <c r="BD146" s="84"/>
      <c r="BE146" s="84"/>
      <c r="BF146" s="91"/>
      <c r="BG146" s="84"/>
      <c r="BH146" s="84"/>
      <c r="BI146" s="84"/>
      <c r="BJ146" s="91"/>
      <c r="BK146" s="84"/>
      <c r="BL146" s="84"/>
      <c r="BM146" s="84"/>
      <c r="BN146" s="91"/>
      <c r="BO146" s="84"/>
      <c r="BP146" s="84"/>
      <c r="BQ146" s="84"/>
      <c r="BR146" s="91"/>
      <c r="BS146" s="84"/>
      <c r="BT146" s="84"/>
      <c r="BU146" s="84"/>
      <c r="BV146" s="91"/>
      <c r="BW146" s="84"/>
      <c r="BX146" s="84"/>
      <c r="BY146" s="84"/>
      <c r="BZ146" s="91"/>
      <c r="CA146" s="84"/>
      <c r="CB146" s="84"/>
      <c r="CC146" s="84"/>
      <c r="CD146" s="91"/>
      <c r="CE146" s="4"/>
      <c r="CF146" s="4"/>
      <c r="CG146" s="4"/>
      <c r="CH146" s="4"/>
      <c r="CI146" s="4"/>
      <c r="CJ146" s="4"/>
      <c r="CK146" s="4"/>
      <c r="CL146" s="4"/>
      <c r="CM146" s="4"/>
      <c r="CN146" s="4"/>
      <c r="CO146" s="4"/>
      <c r="CP146" s="4"/>
      <c r="CQ146" s="4"/>
      <c r="CR146" s="4"/>
      <c r="CS146" s="4"/>
      <c r="CT146" s="4"/>
    </row>
    <row r="147" spans="2:98" x14ac:dyDescent="0.2">
      <c r="B147" s="259"/>
      <c r="C147" s="85"/>
      <c r="D147" s="86"/>
      <c r="E147" s="85"/>
      <c r="F147" s="90"/>
      <c r="G147" s="83"/>
      <c r="H147" s="83"/>
      <c r="I147" s="83"/>
      <c r="J147" s="11"/>
      <c r="K147" s="83"/>
      <c r="L147" s="83"/>
      <c r="M147" s="83"/>
      <c r="N147" s="11"/>
      <c r="O147" s="83"/>
      <c r="P147" s="83"/>
      <c r="Q147" s="83"/>
      <c r="R147" s="11"/>
      <c r="S147" s="83"/>
      <c r="T147" s="83"/>
      <c r="U147" s="83"/>
      <c r="V147" s="11"/>
      <c r="W147" s="83"/>
      <c r="X147" s="83"/>
      <c r="Y147" s="83"/>
      <c r="Z147" s="11"/>
      <c r="AA147" s="83"/>
      <c r="AB147" s="83"/>
      <c r="AC147" s="83"/>
      <c r="AD147" s="11"/>
      <c r="AE147" s="83"/>
      <c r="AF147" s="83"/>
      <c r="AG147" s="83"/>
      <c r="AH147" s="11"/>
      <c r="AI147" s="83"/>
      <c r="AJ147" s="83"/>
      <c r="AK147" s="83"/>
      <c r="AL147" s="11"/>
      <c r="AM147" s="83"/>
      <c r="AN147" s="83"/>
      <c r="AO147" s="83"/>
      <c r="AP147" s="11"/>
      <c r="AQ147" s="84"/>
      <c r="AR147" s="84"/>
      <c r="AS147" s="84"/>
      <c r="AT147" s="91"/>
      <c r="AU147" s="84"/>
      <c r="AV147" s="84"/>
      <c r="AW147" s="84"/>
      <c r="AX147" s="91"/>
      <c r="AY147" s="84"/>
      <c r="AZ147" s="84"/>
      <c r="BA147" s="84"/>
      <c r="BB147" s="91"/>
      <c r="BC147" s="84"/>
      <c r="BD147" s="84"/>
      <c r="BE147" s="84"/>
      <c r="BF147" s="91"/>
      <c r="BG147" s="84"/>
      <c r="BH147" s="84"/>
      <c r="BI147" s="84"/>
      <c r="BJ147" s="91"/>
      <c r="BK147" s="84"/>
      <c r="BL147" s="84"/>
      <c r="BM147" s="84"/>
      <c r="BN147" s="91"/>
      <c r="BO147" s="84"/>
      <c r="BP147" s="84"/>
      <c r="BQ147" s="84"/>
      <c r="BR147" s="91"/>
      <c r="BS147" s="84"/>
      <c r="BT147" s="84"/>
      <c r="BU147" s="84"/>
      <c r="BV147" s="91"/>
      <c r="BW147" s="84"/>
      <c r="BX147" s="84"/>
      <c r="BY147" s="84"/>
      <c r="BZ147" s="91"/>
      <c r="CA147" s="84"/>
      <c r="CB147" s="84"/>
      <c r="CC147" s="84"/>
      <c r="CD147" s="91"/>
      <c r="CE147" s="4"/>
      <c r="CF147" s="4"/>
      <c r="CG147" s="4"/>
      <c r="CH147" s="4"/>
      <c r="CI147" s="4"/>
      <c r="CJ147" s="4"/>
      <c r="CK147" s="4"/>
      <c r="CL147" s="4"/>
      <c r="CM147" s="4"/>
      <c r="CN147" s="4"/>
      <c r="CO147" s="4"/>
      <c r="CP147" s="4"/>
      <c r="CQ147" s="4"/>
      <c r="CR147" s="4"/>
      <c r="CS147" s="4"/>
      <c r="CT147" s="4"/>
    </row>
    <row r="148" spans="2:98" x14ac:dyDescent="0.2">
      <c r="B148" s="259"/>
      <c r="C148" s="85"/>
      <c r="D148" s="86"/>
      <c r="E148" s="85"/>
      <c r="F148" s="90"/>
      <c r="G148" s="83"/>
      <c r="H148" s="83"/>
      <c r="I148" s="83"/>
      <c r="J148" s="11"/>
      <c r="K148" s="83"/>
      <c r="L148" s="83"/>
      <c r="M148" s="83"/>
      <c r="N148" s="11"/>
      <c r="O148" s="83"/>
      <c r="P148" s="83"/>
      <c r="Q148" s="83"/>
      <c r="R148" s="11"/>
      <c r="S148" s="83"/>
      <c r="T148" s="83"/>
      <c r="U148" s="83"/>
      <c r="V148" s="11"/>
      <c r="W148" s="83"/>
      <c r="X148" s="83"/>
      <c r="Y148" s="83"/>
      <c r="Z148" s="11"/>
      <c r="AA148" s="83"/>
      <c r="AB148" s="83"/>
      <c r="AC148" s="83"/>
      <c r="AD148" s="11"/>
      <c r="AE148" s="83"/>
      <c r="AF148" s="83"/>
      <c r="AG148" s="83"/>
      <c r="AH148" s="11"/>
      <c r="AI148" s="83"/>
      <c r="AJ148" s="83"/>
      <c r="AK148" s="83"/>
      <c r="AL148" s="11"/>
      <c r="AM148" s="83"/>
      <c r="AN148" s="83"/>
      <c r="AO148" s="83"/>
      <c r="AP148" s="11"/>
      <c r="AQ148" s="84"/>
      <c r="AR148" s="84"/>
      <c r="AS148" s="84"/>
      <c r="AT148" s="91"/>
      <c r="AU148" s="84"/>
      <c r="AV148" s="84"/>
      <c r="AW148" s="84"/>
      <c r="AX148" s="91"/>
      <c r="AY148" s="84"/>
      <c r="AZ148" s="84"/>
      <c r="BA148" s="84"/>
      <c r="BB148" s="91"/>
      <c r="BC148" s="84"/>
      <c r="BD148" s="84"/>
      <c r="BE148" s="84"/>
      <c r="BF148" s="91"/>
      <c r="BG148" s="84"/>
      <c r="BH148" s="84"/>
      <c r="BI148" s="84"/>
      <c r="BJ148" s="91"/>
      <c r="BK148" s="84"/>
      <c r="BL148" s="84"/>
      <c r="BM148" s="84"/>
      <c r="BN148" s="91"/>
      <c r="BO148" s="84"/>
      <c r="BP148" s="84"/>
      <c r="BQ148" s="84"/>
      <c r="BR148" s="91"/>
      <c r="BS148" s="84"/>
      <c r="BT148" s="84"/>
      <c r="BU148" s="84"/>
      <c r="BV148" s="91"/>
      <c r="BW148" s="84"/>
      <c r="BX148" s="84"/>
      <c r="BY148" s="84"/>
      <c r="BZ148" s="91"/>
      <c r="CA148" s="84"/>
      <c r="CB148" s="84"/>
      <c r="CC148" s="84"/>
      <c r="CD148" s="91"/>
      <c r="CE148" s="4"/>
      <c r="CF148" s="4"/>
      <c r="CG148" s="4"/>
      <c r="CH148" s="4"/>
      <c r="CI148" s="4"/>
      <c r="CJ148" s="4"/>
      <c r="CK148" s="4"/>
      <c r="CL148" s="4"/>
      <c r="CM148" s="4"/>
      <c r="CN148" s="4"/>
      <c r="CO148" s="4"/>
      <c r="CP148" s="4"/>
      <c r="CQ148" s="4"/>
      <c r="CR148" s="4"/>
      <c r="CS148" s="4"/>
      <c r="CT148" s="4"/>
    </row>
    <row r="149" spans="2:98" x14ac:dyDescent="0.2">
      <c r="B149" s="259"/>
      <c r="C149" s="85"/>
      <c r="D149" s="86"/>
      <c r="E149" s="85"/>
      <c r="F149" s="90"/>
      <c r="G149" s="83"/>
      <c r="H149" s="83"/>
      <c r="I149" s="83"/>
      <c r="J149" s="11"/>
      <c r="K149" s="83"/>
      <c r="L149" s="83"/>
      <c r="M149" s="83"/>
      <c r="N149" s="11"/>
      <c r="O149" s="83"/>
      <c r="P149" s="83"/>
      <c r="Q149" s="83"/>
      <c r="R149" s="11"/>
      <c r="S149" s="83"/>
      <c r="T149" s="83"/>
      <c r="U149" s="83"/>
      <c r="V149" s="11"/>
      <c r="W149" s="83"/>
      <c r="X149" s="83"/>
      <c r="Y149" s="83"/>
      <c r="Z149" s="11"/>
      <c r="AA149" s="83"/>
      <c r="AB149" s="83"/>
      <c r="AC149" s="83"/>
      <c r="AD149" s="11"/>
      <c r="AE149" s="83"/>
      <c r="AF149" s="83"/>
      <c r="AG149" s="83"/>
      <c r="AH149" s="11"/>
      <c r="AI149" s="83"/>
      <c r="AJ149" s="83"/>
      <c r="AK149" s="83"/>
      <c r="AL149" s="11"/>
      <c r="AM149" s="83"/>
      <c r="AN149" s="83"/>
      <c r="AO149" s="83"/>
      <c r="AP149" s="11"/>
      <c r="AQ149" s="84"/>
      <c r="AR149" s="84"/>
      <c r="AS149" s="84"/>
      <c r="AT149" s="91"/>
      <c r="AU149" s="84"/>
      <c r="AV149" s="84"/>
      <c r="AW149" s="84"/>
      <c r="AX149" s="91"/>
      <c r="AY149" s="84"/>
      <c r="AZ149" s="84"/>
      <c r="BA149" s="84"/>
      <c r="BB149" s="91"/>
      <c r="BC149" s="84"/>
      <c r="BD149" s="84"/>
      <c r="BE149" s="84"/>
      <c r="BF149" s="91"/>
      <c r="BG149" s="84"/>
      <c r="BH149" s="84"/>
      <c r="BI149" s="84"/>
      <c r="BJ149" s="91"/>
      <c r="BK149" s="84"/>
      <c r="BL149" s="84"/>
      <c r="BM149" s="84"/>
      <c r="BN149" s="91"/>
      <c r="BO149" s="84"/>
      <c r="BP149" s="84"/>
      <c r="BQ149" s="84"/>
      <c r="BR149" s="91"/>
      <c r="BS149" s="84"/>
      <c r="BT149" s="84"/>
      <c r="BU149" s="84"/>
      <c r="BV149" s="91"/>
      <c r="BW149" s="84"/>
      <c r="BX149" s="84"/>
      <c r="BY149" s="84"/>
      <c r="BZ149" s="91"/>
      <c r="CA149" s="84"/>
      <c r="CB149" s="84"/>
      <c r="CC149" s="84"/>
      <c r="CD149" s="91"/>
      <c r="CE149" s="4"/>
      <c r="CF149" s="4"/>
      <c r="CG149" s="4"/>
      <c r="CH149" s="4"/>
      <c r="CI149" s="4"/>
      <c r="CJ149" s="4"/>
      <c r="CK149" s="4"/>
      <c r="CL149" s="4"/>
      <c r="CM149" s="4"/>
      <c r="CN149" s="4"/>
      <c r="CO149" s="4"/>
      <c r="CP149" s="4"/>
      <c r="CQ149" s="4"/>
      <c r="CR149" s="4"/>
      <c r="CS149" s="4"/>
      <c r="CT149" s="4"/>
    </row>
    <row r="150" spans="2:98" x14ac:dyDescent="0.2">
      <c r="B150" s="259"/>
      <c r="C150" s="85"/>
      <c r="D150" s="86"/>
      <c r="E150" s="85"/>
      <c r="F150" s="90"/>
      <c r="G150" s="83"/>
      <c r="H150" s="83"/>
      <c r="I150" s="83"/>
      <c r="J150" s="11"/>
      <c r="K150" s="83"/>
      <c r="L150" s="83"/>
      <c r="M150" s="83"/>
      <c r="N150" s="11"/>
      <c r="O150" s="83"/>
      <c r="P150" s="83"/>
      <c r="Q150" s="83"/>
      <c r="R150" s="11"/>
      <c r="S150" s="83"/>
      <c r="T150" s="83"/>
      <c r="U150" s="83"/>
      <c r="V150" s="11"/>
      <c r="W150" s="83"/>
      <c r="X150" s="83"/>
      <c r="Y150" s="83"/>
      <c r="Z150" s="11"/>
      <c r="AA150" s="83"/>
      <c r="AB150" s="83"/>
      <c r="AC150" s="83"/>
      <c r="AD150" s="11"/>
      <c r="AE150" s="83"/>
      <c r="AF150" s="83"/>
      <c r="AG150" s="83"/>
      <c r="AH150" s="11"/>
      <c r="AI150" s="83"/>
      <c r="AJ150" s="83"/>
      <c r="AK150" s="83"/>
      <c r="AL150" s="11"/>
      <c r="AM150" s="83"/>
      <c r="AN150" s="83"/>
      <c r="AO150" s="83"/>
      <c r="AP150" s="11"/>
      <c r="AQ150" s="84"/>
      <c r="AR150" s="84"/>
      <c r="AS150" s="84"/>
      <c r="AT150" s="91"/>
      <c r="AU150" s="84"/>
      <c r="AV150" s="84"/>
      <c r="AW150" s="84"/>
      <c r="AX150" s="91"/>
      <c r="AY150" s="84"/>
      <c r="AZ150" s="84"/>
      <c r="BA150" s="84"/>
      <c r="BB150" s="91"/>
      <c r="BC150" s="84"/>
      <c r="BD150" s="84"/>
      <c r="BE150" s="84"/>
      <c r="BF150" s="91"/>
      <c r="BG150" s="84"/>
      <c r="BH150" s="84"/>
      <c r="BI150" s="84"/>
      <c r="BJ150" s="91"/>
      <c r="BK150" s="84"/>
      <c r="BL150" s="84"/>
      <c r="BM150" s="84"/>
      <c r="BN150" s="91"/>
      <c r="BO150" s="84"/>
      <c r="BP150" s="84"/>
      <c r="BQ150" s="84"/>
      <c r="BR150" s="91"/>
      <c r="BS150" s="84"/>
      <c r="BT150" s="84"/>
      <c r="BU150" s="84"/>
      <c r="BV150" s="91"/>
      <c r="BW150" s="84"/>
      <c r="BX150" s="84"/>
      <c r="BY150" s="84"/>
      <c r="BZ150" s="91"/>
      <c r="CA150" s="84"/>
      <c r="CB150" s="84"/>
      <c r="CC150" s="84"/>
      <c r="CD150" s="91"/>
      <c r="CE150" s="4"/>
      <c r="CF150" s="4"/>
      <c r="CG150" s="4"/>
      <c r="CH150" s="4"/>
      <c r="CI150" s="4"/>
      <c r="CJ150" s="4"/>
      <c r="CK150" s="4"/>
      <c r="CL150" s="4"/>
      <c r="CM150" s="4"/>
      <c r="CN150" s="4"/>
      <c r="CO150" s="4"/>
      <c r="CP150" s="4"/>
      <c r="CQ150" s="4"/>
      <c r="CR150" s="4"/>
      <c r="CS150" s="4"/>
      <c r="CT150" s="4"/>
    </row>
    <row r="151" spans="2:98" x14ac:dyDescent="0.2">
      <c r="B151" s="259"/>
      <c r="C151" s="85"/>
      <c r="D151" s="86"/>
      <c r="E151" s="85"/>
      <c r="F151" s="90"/>
      <c r="G151" s="83"/>
      <c r="H151" s="83"/>
      <c r="I151" s="83"/>
      <c r="J151" s="11"/>
      <c r="K151" s="83"/>
      <c r="L151" s="83"/>
      <c r="M151" s="83"/>
      <c r="N151" s="11"/>
      <c r="O151" s="83"/>
      <c r="P151" s="83"/>
      <c r="Q151" s="83"/>
      <c r="R151" s="11"/>
      <c r="S151" s="83"/>
      <c r="T151" s="83"/>
      <c r="U151" s="83"/>
      <c r="V151" s="11"/>
      <c r="W151" s="83"/>
      <c r="X151" s="83"/>
      <c r="Y151" s="83"/>
      <c r="Z151" s="11"/>
      <c r="AA151" s="83"/>
      <c r="AB151" s="83"/>
      <c r="AC151" s="83"/>
      <c r="AD151" s="11"/>
      <c r="AE151" s="83"/>
      <c r="AF151" s="83"/>
      <c r="AG151" s="83"/>
      <c r="AH151" s="11"/>
      <c r="AI151" s="83"/>
      <c r="AJ151" s="83"/>
      <c r="AK151" s="83"/>
      <c r="AL151" s="11"/>
      <c r="AM151" s="83"/>
      <c r="AN151" s="83"/>
      <c r="AO151" s="83"/>
      <c r="AP151" s="11"/>
      <c r="AQ151" s="84"/>
      <c r="AR151" s="84"/>
      <c r="AS151" s="84"/>
      <c r="AT151" s="91"/>
      <c r="AU151" s="84"/>
      <c r="AV151" s="84"/>
      <c r="AW151" s="84"/>
      <c r="AX151" s="91"/>
      <c r="AY151" s="84"/>
      <c r="AZ151" s="84"/>
      <c r="BA151" s="84"/>
      <c r="BB151" s="91"/>
      <c r="BC151" s="84"/>
      <c r="BD151" s="84"/>
      <c r="BE151" s="84"/>
      <c r="BF151" s="91"/>
      <c r="BG151" s="84"/>
      <c r="BH151" s="84"/>
      <c r="BI151" s="84"/>
      <c r="BJ151" s="91"/>
      <c r="BK151" s="84"/>
      <c r="BL151" s="84"/>
      <c r="BM151" s="84"/>
      <c r="BN151" s="91"/>
      <c r="BO151" s="84"/>
      <c r="BP151" s="84"/>
      <c r="BQ151" s="84"/>
      <c r="BR151" s="91"/>
      <c r="BS151" s="84"/>
      <c r="BT151" s="84"/>
      <c r="BU151" s="84"/>
      <c r="BV151" s="91"/>
      <c r="BW151" s="84"/>
      <c r="BX151" s="84"/>
      <c r="BY151" s="84"/>
      <c r="BZ151" s="91"/>
      <c r="CA151" s="84"/>
      <c r="CB151" s="84"/>
      <c r="CC151" s="84"/>
      <c r="CD151" s="91"/>
      <c r="CE151" s="4"/>
      <c r="CF151" s="4"/>
      <c r="CG151" s="4"/>
      <c r="CH151" s="4"/>
      <c r="CI151" s="4"/>
      <c r="CJ151" s="4"/>
      <c r="CK151" s="4"/>
      <c r="CL151" s="4"/>
      <c r="CM151" s="4"/>
      <c r="CN151" s="4"/>
      <c r="CO151" s="4"/>
      <c r="CP151" s="4"/>
      <c r="CQ151" s="4"/>
      <c r="CR151" s="4"/>
      <c r="CS151" s="4"/>
      <c r="CT151" s="4"/>
    </row>
    <row r="152" spans="2:98" x14ac:dyDescent="0.2">
      <c r="B152" s="259"/>
      <c r="C152" s="85"/>
      <c r="D152" s="86"/>
      <c r="E152" s="85"/>
      <c r="F152" s="90"/>
      <c r="G152" s="83"/>
      <c r="H152" s="83"/>
      <c r="I152" s="83"/>
      <c r="J152" s="11"/>
      <c r="K152" s="83"/>
      <c r="L152" s="83"/>
      <c r="M152" s="83"/>
      <c r="N152" s="11"/>
      <c r="O152" s="83"/>
      <c r="P152" s="83"/>
      <c r="Q152" s="83"/>
      <c r="R152" s="11"/>
      <c r="S152" s="83"/>
      <c r="T152" s="83"/>
      <c r="U152" s="83"/>
      <c r="V152" s="11"/>
      <c r="W152" s="83"/>
      <c r="X152" s="83"/>
      <c r="Y152" s="83"/>
      <c r="Z152" s="11"/>
      <c r="AA152" s="83"/>
      <c r="AB152" s="83"/>
      <c r="AC152" s="83"/>
      <c r="AD152" s="11"/>
      <c r="AE152" s="83"/>
      <c r="AF152" s="83"/>
      <c r="AG152" s="83"/>
      <c r="AH152" s="11"/>
      <c r="AI152" s="83"/>
      <c r="AJ152" s="83"/>
      <c r="AK152" s="83"/>
      <c r="AL152" s="11"/>
      <c r="AM152" s="83"/>
      <c r="AN152" s="83"/>
      <c r="AO152" s="83"/>
      <c r="AP152" s="11"/>
      <c r="AQ152" s="84"/>
      <c r="AR152" s="84"/>
      <c r="AS152" s="84"/>
      <c r="AT152" s="91"/>
      <c r="AU152" s="84"/>
      <c r="AV152" s="84"/>
      <c r="AW152" s="84"/>
      <c r="AX152" s="91"/>
      <c r="AY152" s="84"/>
      <c r="AZ152" s="84"/>
      <c r="BA152" s="84"/>
      <c r="BB152" s="91"/>
      <c r="BC152" s="84"/>
      <c r="BD152" s="84"/>
      <c r="BE152" s="84"/>
      <c r="BF152" s="91"/>
      <c r="BG152" s="84"/>
      <c r="BH152" s="84"/>
      <c r="BI152" s="84"/>
      <c r="BJ152" s="91"/>
      <c r="BK152" s="84"/>
      <c r="BL152" s="84"/>
      <c r="BM152" s="84"/>
      <c r="BN152" s="91"/>
      <c r="BO152" s="84"/>
      <c r="BP152" s="84"/>
      <c r="BQ152" s="84"/>
      <c r="BR152" s="91"/>
      <c r="BS152" s="84"/>
      <c r="BT152" s="84"/>
      <c r="BU152" s="84"/>
      <c r="BV152" s="91"/>
      <c r="BW152" s="84"/>
      <c r="BX152" s="84"/>
      <c r="BY152" s="84"/>
      <c r="BZ152" s="91"/>
      <c r="CA152" s="84"/>
      <c r="CB152" s="84"/>
      <c r="CC152" s="84"/>
      <c r="CD152" s="91"/>
      <c r="CE152" s="4"/>
      <c r="CF152" s="4"/>
      <c r="CG152" s="4"/>
      <c r="CH152" s="4"/>
      <c r="CI152" s="4"/>
      <c r="CJ152" s="4"/>
      <c r="CK152" s="4"/>
      <c r="CL152" s="4"/>
      <c r="CM152" s="4"/>
      <c r="CN152" s="4"/>
      <c r="CO152" s="4"/>
      <c r="CP152" s="4"/>
      <c r="CQ152" s="4"/>
      <c r="CR152" s="4"/>
      <c r="CS152" s="4"/>
      <c r="CT152" s="4"/>
    </row>
    <row r="153" spans="2:98" x14ac:dyDescent="0.2">
      <c r="B153" s="259"/>
      <c r="C153" s="85"/>
      <c r="D153" s="86"/>
      <c r="E153" s="85"/>
      <c r="F153" s="90"/>
      <c r="G153" s="83"/>
      <c r="H153" s="83"/>
      <c r="I153" s="83"/>
      <c r="J153" s="11"/>
      <c r="K153" s="83"/>
      <c r="L153" s="83"/>
      <c r="M153" s="83"/>
      <c r="N153" s="11"/>
      <c r="O153" s="83"/>
      <c r="P153" s="83"/>
      <c r="Q153" s="83"/>
      <c r="R153" s="11"/>
      <c r="S153" s="83"/>
      <c r="T153" s="83"/>
      <c r="U153" s="83"/>
      <c r="V153" s="11"/>
      <c r="W153" s="83"/>
      <c r="X153" s="83"/>
      <c r="Y153" s="83"/>
      <c r="Z153" s="11"/>
      <c r="AA153" s="83"/>
      <c r="AB153" s="83"/>
      <c r="AC153" s="83"/>
      <c r="AD153" s="11"/>
      <c r="AE153" s="83"/>
      <c r="AF153" s="83"/>
      <c r="AG153" s="83"/>
      <c r="AH153" s="11"/>
      <c r="AI153" s="83"/>
      <c r="AJ153" s="83"/>
      <c r="AK153" s="83"/>
      <c r="AL153" s="11"/>
      <c r="AM153" s="83"/>
      <c r="AN153" s="83"/>
      <c r="AO153" s="83"/>
      <c r="AP153" s="11"/>
      <c r="AQ153" s="84"/>
      <c r="AR153" s="84"/>
      <c r="AS153" s="84"/>
      <c r="AT153" s="91"/>
      <c r="AU153" s="84"/>
      <c r="AV153" s="84"/>
      <c r="AW153" s="84"/>
      <c r="AX153" s="91"/>
      <c r="AY153" s="84"/>
      <c r="AZ153" s="84"/>
      <c r="BA153" s="84"/>
      <c r="BB153" s="91"/>
      <c r="BC153" s="84"/>
      <c r="BD153" s="84"/>
      <c r="BE153" s="84"/>
      <c r="BF153" s="91"/>
      <c r="BG153" s="84"/>
      <c r="BH153" s="84"/>
      <c r="BI153" s="84"/>
      <c r="BJ153" s="91"/>
      <c r="BK153" s="84"/>
      <c r="BL153" s="84"/>
      <c r="BM153" s="84"/>
      <c r="BN153" s="91"/>
      <c r="BO153" s="84"/>
      <c r="BP153" s="84"/>
      <c r="BQ153" s="84"/>
      <c r="BR153" s="91"/>
      <c r="BS153" s="84"/>
      <c r="BT153" s="84"/>
      <c r="BU153" s="84"/>
      <c r="BV153" s="91"/>
      <c r="BW153" s="84"/>
      <c r="BX153" s="84"/>
      <c r="BY153" s="84"/>
      <c r="BZ153" s="91"/>
      <c r="CA153" s="84"/>
      <c r="CB153" s="84"/>
      <c r="CC153" s="84"/>
      <c r="CD153" s="91"/>
      <c r="CE153" s="4"/>
      <c r="CF153" s="4"/>
      <c r="CG153" s="4"/>
      <c r="CH153" s="4"/>
      <c r="CI153" s="4"/>
      <c r="CJ153" s="4"/>
      <c r="CK153" s="4"/>
      <c r="CL153" s="4"/>
      <c r="CM153" s="4"/>
      <c r="CN153" s="4"/>
      <c r="CO153" s="4"/>
      <c r="CP153" s="4"/>
      <c r="CQ153" s="4"/>
      <c r="CR153" s="4"/>
      <c r="CS153" s="4"/>
      <c r="CT153" s="4"/>
    </row>
    <row r="154" spans="2:98" x14ac:dyDescent="0.2">
      <c r="B154" s="259"/>
      <c r="C154" s="85"/>
      <c r="D154" s="86"/>
      <c r="E154" s="85"/>
      <c r="F154" s="90"/>
      <c r="G154" s="83"/>
      <c r="H154" s="83"/>
      <c r="I154" s="83"/>
      <c r="J154" s="11"/>
      <c r="K154" s="83"/>
      <c r="L154" s="83"/>
      <c r="M154" s="83"/>
      <c r="N154" s="11"/>
      <c r="O154" s="83"/>
      <c r="P154" s="83"/>
      <c r="Q154" s="83"/>
      <c r="R154" s="11"/>
      <c r="S154" s="83"/>
      <c r="T154" s="83"/>
      <c r="U154" s="83"/>
      <c r="V154" s="11"/>
      <c r="W154" s="83"/>
      <c r="X154" s="83"/>
      <c r="Y154" s="83"/>
      <c r="Z154" s="11"/>
      <c r="AA154" s="83"/>
      <c r="AB154" s="83"/>
      <c r="AC154" s="83"/>
      <c r="AD154" s="11"/>
      <c r="AE154" s="83"/>
      <c r="AF154" s="83"/>
      <c r="AG154" s="83"/>
      <c r="AH154" s="11"/>
      <c r="AI154" s="83"/>
      <c r="AJ154" s="83"/>
      <c r="AK154" s="83"/>
      <c r="AL154" s="11"/>
      <c r="AM154" s="83"/>
      <c r="AN154" s="83"/>
      <c r="AO154" s="83"/>
      <c r="AP154" s="11"/>
      <c r="AQ154" s="84"/>
      <c r="AR154" s="84"/>
      <c r="AS154" s="84"/>
      <c r="AT154" s="91"/>
      <c r="AU154" s="84"/>
      <c r="AV154" s="84"/>
      <c r="AW154" s="84"/>
      <c r="AX154" s="91"/>
      <c r="AY154" s="84"/>
      <c r="AZ154" s="84"/>
      <c r="BA154" s="84"/>
      <c r="BB154" s="91"/>
      <c r="BC154" s="84"/>
      <c r="BD154" s="84"/>
      <c r="BE154" s="84"/>
      <c r="BF154" s="91"/>
      <c r="BG154" s="84"/>
      <c r="BH154" s="84"/>
      <c r="BI154" s="84"/>
      <c r="BJ154" s="91"/>
      <c r="BK154" s="84"/>
      <c r="BL154" s="84"/>
      <c r="BM154" s="84"/>
      <c r="BN154" s="91"/>
      <c r="BO154" s="84"/>
      <c r="BP154" s="84"/>
      <c r="BQ154" s="84"/>
      <c r="BR154" s="91"/>
      <c r="BS154" s="84"/>
      <c r="BT154" s="84"/>
      <c r="BU154" s="84"/>
      <c r="BV154" s="91"/>
      <c r="BW154" s="84"/>
      <c r="BX154" s="84"/>
      <c r="BY154" s="84"/>
      <c r="BZ154" s="91"/>
      <c r="CA154" s="84"/>
      <c r="CB154" s="84"/>
      <c r="CC154" s="84"/>
      <c r="CD154" s="91"/>
      <c r="CE154" s="4"/>
      <c r="CF154" s="4"/>
      <c r="CG154" s="4"/>
      <c r="CH154" s="4"/>
      <c r="CI154" s="4"/>
      <c r="CJ154" s="4"/>
      <c r="CK154" s="4"/>
      <c r="CL154" s="4"/>
      <c r="CM154" s="4"/>
      <c r="CN154" s="4"/>
      <c r="CO154" s="4"/>
      <c r="CP154" s="4"/>
      <c r="CQ154" s="4"/>
      <c r="CR154" s="4"/>
      <c r="CS154" s="4"/>
      <c r="CT154" s="4"/>
    </row>
    <row r="155" spans="2:98" x14ac:dyDescent="0.2">
      <c r="B155" s="138"/>
      <c r="C155" s="83"/>
      <c r="D155" s="86"/>
      <c r="E155" s="86"/>
      <c r="F155" s="90"/>
      <c r="G155" s="83"/>
      <c r="H155" s="83"/>
      <c r="I155" s="83"/>
      <c r="J155" s="11"/>
      <c r="K155" s="83"/>
      <c r="L155" s="83"/>
      <c r="M155" s="83"/>
      <c r="N155" s="11"/>
      <c r="O155" s="83"/>
      <c r="P155" s="83"/>
      <c r="Q155" s="83"/>
      <c r="R155" s="11"/>
      <c r="S155" s="83"/>
      <c r="T155" s="83"/>
      <c r="U155" s="83"/>
      <c r="V155" s="11"/>
      <c r="W155" s="83"/>
      <c r="X155" s="83"/>
      <c r="Y155" s="83"/>
      <c r="Z155" s="11"/>
      <c r="AA155" s="83"/>
      <c r="AB155" s="83"/>
      <c r="AC155" s="83"/>
      <c r="AD155" s="11"/>
      <c r="AE155" s="83"/>
      <c r="AF155" s="83"/>
      <c r="AG155" s="83"/>
      <c r="AH155" s="11"/>
      <c r="AI155" s="83"/>
      <c r="AJ155" s="83"/>
      <c r="AK155" s="83"/>
      <c r="AL155" s="11"/>
      <c r="AM155" s="83"/>
      <c r="AN155" s="83"/>
      <c r="AO155" s="83"/>
      <c r="AP155" s="11"/>
      <c r="AQ155" s="84"/>
      <c r="AR155" s="84"/>
      <c r="AS155" s="84"/>
      <c r="AT155" s="91"/>
      <c r="AU155" s="84"/>
      <c r="AV155" s="84"/>
      <c r="AW155" s="84"/>
      <c r="AX155" s="91"/>
      <c r="AY155" s="84"/>
      <c r="AZ155" s="84"/>
      <c r="BA155" s="84"/>
      <c r="BB155" s="91"/>
      <c r="BC155" s="84"/>
      <c r="BD155" s="84"/>
      <c r="BE155" s="84"/>
      <c r="BF155" s="91"/>
      <c r="BG155" s="84"/>
      <c r="BH155" s="84"/>
      <c r="BI155" s="84"/>
      <c r="BJ155" s="91"/>
      <c r="BK155" s="84"/>
      <c r="BL155" s="84"/>
      <c r="BM155" s="84"/>
      <c r="BN155" s="91"/>
      <c r="BO155" s="84"/>
      <c r="BP155" s="84"/>
      <c r="BQ155" s="84"/>
      <c r="BR155" s="91"/>
      <c r="BS155" s="84"/>
      <c r="BT155" s="84"/>
      <c r="BU155" s="84"/>
      <c r="BV155" s="91"/>
      <c r="BW155" s="84"/>
      <c r="BX155" s="84"/>
      <c r="BY155" s="84"/>
      <c r="BZ155" s="91"/>
      <c r="CA155" s="84"/>
      <c r="CB155" s="84"/>
      <c r="CC155" s="84"/>
      <c r="CD155" s="91"/>
      <c r="CE155" s="4"/>
      <c r="CF155" s="4"/>
      <c r="CG155" s="4"/>
      <c r="CH155" s="4"/>
      <c r="CI155" s="4"/>
      <c r="CJ155" s="4"/>
      <c r="CK155" s="4"/>
      <c r="CL155" s="4"/>
      <c r="CM155" s="4"/>
      <c r="CN155" s="4"/>
      <c r="CO155" s="4"/>
      <c r="CP155" s="4"/>
      <c r="CQ155" s="4"/>
      <c r="CR155" s="4"/>
      <c r="CS155" s="4"/>
      <c r="CT155" s="4"/>
    </row>
    <row r="156" spans="2:98" x14ac:dyDescent="0.2">
      <c r="B156" s="138"/>
      <c r="C156" s="83"/>
      <c r="D156" s="86"/>
      <c r="E156" s="86"/>
      <c r="F156" s="90"/>
      <c r="G156" s="83"/>
      <c r="H156" s="83"/>
      <c r="I156" s="83"/>
      <c r="J156" s="11"/>
      <c r="K156" s="83"/>
      <c r="L156" s="83"/>
      <c r="M156" s="83"/>
      <c r="N156" s="11"/>
      <c r="O156" s="83"/>
      <c r="P156" s="83"/>
      <c r="Q156" s="83"/>
      <c r="R156" s="11"/>
      <c r="S156" s="83"/>
      <c r="T156" s="83"/>
      <c r="U156" s="83"/>
      <c r="V156" s="11"/>
      <c r="W156" s="83"/>
      <c r="X156" s="83"/>
      <c r="Y156" s="83"/>
      <c r="Z156" s="11"/>
      <c r="AA156" s="83"/>
      <c r="AB156" s="83"/>
      <c r="AC156" s="83"/>
      <c r="AD156" s="11"/>
      <c r="AE156" s="83"/>
      <c r="AF156" s="83"/>
      <c r="AG156" s="83"/>
      <c r="AH156" s="11"/>
      <c r="AI156" s="83"/>
      <c r="AJ156" s="83"/>
      <c r="AK156" s="83"/>
      <c r="AL156" s="11"/>
      <c r="AM156" s="83"/>
      <c r="AN156" s="83"/>
      <c r="AO156" s="83"/>
      <c r="AP156" s="11"/>
      <c r="AQ156" s="84"/>
      <c r="AR156" s="84"/>
      <c r="AS156" s="84"/>
      <c r="AT156" s="91"/>
      <c r="AU156" s="84"/>
      <c r="AV156" s="84"/>
      <c r="AW156" s="84"/>
      <c r="AX156" s="91"/>
      <c r="AY156" s="84"/>
      <c r="AZ156" s="84"/>
      <c r="BA156" s="84"/>
      <c r="BB156" s="91"/>
      <c r="BC156" s="84"/>
      <c r="BD156" s="84"/>
      <c r="BE156" s="84"/>
      <c r="BF156" s="91"/>
      <c r="BG156" s="84"/>
      <c r="BH156" s="84"/>
      <c r="BI156" s="84"/>
      <c r="BJ156" s="91"/>
      <c r="BK156" s="84"/>
      <c r="BL156" s="84"/>
      <c r="BM156" s="84"/>
      <c r="BN156" s="91"/>
      <c r="BO156" s="84"/>
      <c r="BP156" s="84"/>
      <c r="BQ156" s="84"/>
      <c r="BR156" s="91"/>
      <c r="BS156" s="84"/>
      <c r="BT156" s="84"/>
      <c r="BU156" s="84"/>
      <c r="BV156" s="91"/>
      <c r="BW156" s="84"/>
      <c r="BX156" s="84"/>
      <c r="BY156" s="84"/>
      <c r="BZ156" s="91"/>
      <c r="CA156" s="84"/>
      <c r="CB156" s="84"/>
      <c r="CC156" s="84"/>
      <c r="CD156" s="91"/>
      <c r="CE156" s="4"/>
      <c r="CF156" s="4"/>
      <c r="CG156" s="4"/>
      <c r="CH156" s="4"/>
      <c r="CI156" s="4"/>
      <c r="CJ156" s="4"/>
      <c r="CK156" s="4"/>
      <c r="CL156" s="4"/>
      <c r="CM156" s="4"/>
      <c r="CN156" s="4"/>
      <c r="CO156" s="4"/>
      <c r="CP156" s="4"/>
      <c r="CQ156" s="4"/>
      <c r="CR156" s="4"/>
      <c r="CS156" s="4"/>
      <c r="CT156" s="4"/>
    </row>
    <row r="157" spans="2:98" x14ac:dyDescent="0.2">
      <c r="B157" s="138"/>
      <c r="C157" s="83"/>
      <c r="D157" s="86"/>
      <c r="E157" s="86"/>
      <c r="F157" s="90"/>
      <c r="G157" s="83"/>
      <c r="H157" s="83"/>
      <c r="I157" s="83"/>
      <c r="J157" s="11"/>
      <c r="K157" s="83"/>
      <c r="L157" s="83"/>
      <c r="M157" s="83"/>
      <c r="N157" s="11"/>
      <c r="O157" s="83"/>
      <c r="P157" s="83"/>
      <c r="Q157" s="83"/>
      <c r="R157" s="11"/>
      <c r="S157" s="83"/>
      <c r="T157" s="83"/>
      <c r="U157" s="83"/>
      <c r="V157" s="11"/>
      <c r="W157" s="83"/>
      <c r="X157" s="83"/>
      <c r="Y157" s="83"/>
      <c r="Z157" s="11"/>
      <c r="AA157" s="83"/>
      <c r="AB157" s="83"/>
      <c r="AC157" s="83"/>
      <c r="AD157" s="11"/>
      <c r="AE157" s="83"/>
      <c r="AF157" s="83"/>
      <c r="AG157" s="83"/>
      <c r="AH157" s="11"/>
      <c r="AI157" s="83"/>
      <c r="AJ157" s="83"/>
      <c r="AK157" s="83"/>
      <c r="AL157" s="11"/>
      <c r="AM157" s="83"/>
      <c r="AN157" s="83"/>
      <c r="AO157" s="83"/>
      <c r="AP157" s="11"/>
      <c r="AQ157" s="84"/>
      <c r="AR157" s="84"/>
      <c r="AS157" s="84"/>
      <c r="AT157" s="91"/>
      <c r="AU157" s="84"/>
      <c r="AV157" s="84"/>
      <c r="AW157" s="84"/>
      <c r="AX157" s="91"/>
      <c r="AY157" s="84"/>
      <c r="AZ157" s="84"/>
      <c r="BA157" s="84"/>
      <c r="BB157" s="91"/>
      <c r="BC157" s="84"/>
      <c r="BD157" s="84"/>
      <c r="BE157" s="84"/>
      <c r="BF157" s="91"/>
      <c r="BG157" s="84"/>
      <c r="BH157" s="84"/>
      <c r="BI157" s="84"/>
      <c r="BJ157" s="91"/>
      <c r="BK157" s="84"/>
      <c r="BL157" s="84"/>
      <c r="BM157" s="84"/>
      <c r="BN157" s="91"/>
      <c r="BO157" s="84"/>
      <c r="BP157" s="84"/>
      <c r="BQ157" s="84"/>
      <c r="BR157" s="91"/>
      <c r="BS157" s="84"/>
      <c r="BT157" s="84"/>
      <c r="BU157" s="84"/>
      <c r="BV157" s="91"/>
      <c r="BW157" s="84"/>
      <c r="BX157" s="84"/>
      <c r="BY157" s="84"/>
      <c r="BZ157" s="91"/>
      <c r="CA157" s="84"/>
      <c r="CB157" s="84"/>
      <c r="CC157" s="84"/>
      <c r="CD157" s="91"/>
      <c r="CE157" s="4"/>
      <c r="CF157" s="4"/>
      <c r="CG157" s="4"/>
      <c r="CH157" s="4"/>
      <c r="CI157" s="4"/>
      <c r="CJ157" s="4"/>
      <c r="CK157" s="4"/>
      <c r="CL157" s="4"/>
      <c r="CM157" s="4"/>
      <c r="CN157" s="4"/>
      <c r="CO157" s="4"/>
      <c r="CP157" s="4"/>
      <c r="CQ157" s="4"/>
      <c r="CR157" s="4"/>
      <c r="CS157" s="4"/>
      <c r="CT157" s="4"/>
    </row>
    <row r="158" spans="2:98" x14ac:dyDescent="0.2">
      <c r="B158" s="138"/>
      <c r="C158" s="83"/>
      <c r="D158" s="86"/>
      <c r="E158" s="86"/>
      <c r="F158" s="90"/>
      <c r="G158" s="83"/>
      <c r="H158" s="83"/>
      <c r="I158" s="83"/>
      <c r="J158" s="11"/>
      <c r="K158" s="83"/>
      <c r="L158" s="83"/>
      <c r="M158" s="83"/>
      <c r="N158" s="11"/>
      <c r="O158" s="83"/>
      <c r="P158" s="83"/>
      <c r="Q158" s="83"/>
      <c r="R158" s="11"/>
      <c r="S158" s="83"/>
      <c r="T158" s="83"/>
      <c r="U158" s="83"/>
      <c r="V158" s="11"/>
      <c r="W158" s="83"/>
      <c r="X158" s="83"/>
      <c r="Y158" s="83"/>
      <c r="Z158" s="11"/>
      <c r="AA158" s="83"/>
      <c r="AB158" s="83"/>
      <c r="AC158" s="83"/>
      <c r="AD158" s="11"/>
      <c r="AE158" s="83"/>
      <c r="AF158" s="83"/>
      <c r="AG158" s="83"/>
      <c r="AH158" s="11"/>
      <c r="AI158" s="83"/>
      <c r="AJ158" s="83"/>
      <c r="AK158" s="83"/>
      <c r="AL158" s="11"/>
      <c r="AM158" s="83"/>
      <c r="AN158" s="83"/>
      <c r="AO158" s="83"/>
      <c r="AP158" s="11"/>
      <c r="AQ158" s="84"/>
      <c r="AR158" s="84"/>
      <c r="AS158" s="84"/>
      <c r="AT158" s="91"/>
      <c r="AU158" s="84"/>
      <c r="AV158" s="84"/>
      <c r="AW158" s="84"/>
      <c r="AX158" s="91"/>
      <c r="AY158" s="84"/>
      <c r="AZ158" s="84"/>
      <c r="BA158" s="84"/>
      <c r="BB158" s="91"/>
      <c r="BC158" s="84"/>
      <c r="BD158" s="84"/>
      <c r="BE158" s="84"/>
      <c r="BF158" s="91"/>
      <c r="BG158" s="84"/>
      <c r="BH158" s="84"/>
      <c r="BI158" s="84"/>
      <c r="BJ158" s="91"/>
      <c r="BK158" s="84"/>
      <c r="BL158" s="84"/>
      <c r="BM158" s="84"/>
      <c r="BN158" s="91"/>
      <c r="BO158" s="84"/>
      <c r="BP158" s="84"/>
      <c r="BQ158" s="84"/>
      <c r="BR158" s="91"/>
      <c r="BS158" s="84"/>
      <c r="BT158" s="84"/>
      <c r="BU158" s="84"/>
      <c r="BV158" s="91"/>
      <c r="BW158" s="84"/>
      <c r="BX158" s="84"/>
      <c r="BY158" s="84"/>
      <c r="BZ158" s="91"/>
      <c r="CA158" s="84"/>
      <c r="CB158" s="84"/>
      <c r="CC158" s="84"/>
      <c r="CD158" s="91"/>
      <c r="CE158" s="4"/>
      <c r="CF158" s="4"/>
      <c r="CG158" s="4"/>
      <c r="CH158" s="4"/>
      <c r="CI158" s="4"/>
      <c r="CJ158" s="4"/>
      <c r="CK158" s="4"/>
      <c r="CL158" s="4"/>
      <c r="CM158" s="4"/>
      <c r="CN158" s="4"/>
      <c r="CO158" s="4"/>
      <c r="CP158" s="4"/>
      <c r="CQ158" s="4"/>
      <c r="CR158" s="4"/>
      <c r="CS158" s="4"/>
      <c r="CT158" s="4"/>
    </row>
    <row r="159" spans="2:98" x14ac:dyDescent="0.2">
      <c r="B159" s="138"/>
      <c r="C159" s="83"/>
      <c r="D159" s="86"/>
      <c r="E159" s="86"/>
      <c r="F159" s="90"/>
      <c r="G159" s="83"/>
      <c r="H159" s="83"/>
      <c r="I159" s="83"/>
      <c r="J159" s="11"/>
      <c r="K159" s="83"/>
      <c r="L159" s="83"/>
      <c r="M159" s="83"/>
      <c r="N159" s="11"/>
      <c r="O159" s="83"/>
      <c r="P159" s="83"/>
      <c r="Q159" s="83"/>
      <c r="R159" s="11"/>
      <c r="S159" s="83"/>
      <c r="T159" s="83"/>
      <c r="U159" s="83"/>
      <c r="V159" s="11"/>
      <c r="W159" s="83"/>
      <c r="X159" s="83"/>
      <c r="Y159" s="83"/>
      <c r="Z159" s="11"/>
      <c r="AA159" s="83"/>
      <c r="AB159" s="83"/>
      <c r="AC159" s="83"/>
      <c r="AD159" s="11"/>
      <c r="AE159" s="83"/>
      <c r="AF159" s="83"/>
      <c r="AG159" s="83"/>
      <c r="AH159" s="11"/>
      <c r="AI159" s="83"/>
      <c r="AJ159" s="83"/>
      <c r="AK159" s="83"/>
      <c r="AL159" s="11"/>
      <c r="AM159" s="83"/>
      <c r="AN159" s="83"/>
      <c r="AO159" s="83"/>
      <c r="AP159" s="11"/>
      <c r="AQ159" s="84"/>
      <c r="AR159" s="84"/>
      <c r="AS159" s="84"/>
      <c r="AT159" s="91"/>
      <c r="AU159" s="84"/>
      <c r="AV159" s="84"/>
      <c r="AW159" s="84"/>
      <c r="AX159" s="91"/>
      <c r="AY159" s="84"/>
      <c r="AZ159" s="84"/>
      <c r="BA159" s="84"/>
      <c r="BB159" s="91"/>
      <c r="BC159" s="84"/>
      <c r="BD159" s="84"/>
      <c r="BE159" s="84"/>
      <c r="BF159" s="91"/>
      <c r="BG159" s="84"/>
      <c r="BH159" s="84"/>
      <c r="BI159" s="84"/>
      <c r="BJ159" s="91"/>
      <c r="BK159" s="84"/>
      <c r="BL159" s="84"/>
      <c r="BM159" s="84"/>
      <c r="BN159" s="91"/>
      <c r="BO159" s="84"/>
      <c r="BP159" s="84"/>
      <c r="BQ159" s="84"/>
      <c r="BR159" s="91"/>
      <c r="BS159" s="84"/>
      <c r="BT159" s="84"/>
      <c r="BU159" s="84"/>
      <c r="BV159" s="91"/>
      <c r="BW159" s="84"/>
      <c r="BX159" s="84"/>
      <c r="BY159" s="84"/>
      <c r="BZ159" s="91"/>
      <c r="CA159" s="84"/>
      <c r="CB159" s="84"/>
      <c r="CC159" s="84"/>
      <c r="CD159" s="91"/>
      <c r="CE159" s="4"/>
      <c r="CF159" s="4"/>
      <c r="CG159" s="4"/>
      <c r="CH159" s="4"/>
      <c r="CI159" s="4"/>
      <c r="CJ159" s="4"/>
      <c r="CK159" s="4"/>
      <c r="CL159" s="4"/>
      <c r="CM159" s="4"/>
      <c r="CN159" s="4"/>
      <c r="CO159" s="4"/>
      <c r="CP159" s="4"/>
      <c r="CQ159" s="4"/>
      <c r="CR159" s="4"/>
      <c r="CS159" s="4"/>
      <c r="CT159" s="4"/>
    </row>
    <row r="160" spans="2:98" x14ac:dyDescent="0.2">
      <c r="B160" s="138"/>
      <c r="C160" s="83"/>
      <c r="D160" s="86"/>
      <c r="E160" s="86"/>
      <c r="F160" s="90"/>
      <c r="G160" s="83"/>
      <c r="H160" s="83"/>
      <c r="I160" s="83"/>
      <c r="J160" s="11"/>
      <c r="K160" s="83"/>
      <c r="L160" s="83"/>
      <c r="M160" s="83"/>
      <c r="N160" s="11"/>
      <c r="O160" s="83"/>
      <c r="P160" s="83"/>
      <c r="Q160" s="83"/>
      <c r="R160" s="11"/>
      <c r="S160" s="83"/>
      <c r="T160" s="83"/>
      <c r="U160" s="83"/>
      <c r="V160" s="11"/>
      <c r="W160" s="83"/>
      <c r="X160" s="83"/>
      <c r="Y160" s="83"/>
      <c r="Z160" s="11"/>
      <c r="AA160" s="83"/>
      <c r="AB160" s="83"/>
      <c r="AC160" s="83"/>
      <c r="AD160" s="11"/>
      <c r="AE160" s="83"/>
      <c r="AF160" s="83"/>
      <c r="AG160" s="83"/>
      <c r="AH160" s="11"/>
      <c r="AI160" s="83"/>
      <c r="AJ160" s="83"/>
      <c r="AK160" s="83"/>
      <c r="AL160" s="11"/>
      <c r="AM160" s="83"/>
      <c r="AN160" s="83"/>
      <c r="AO160" s="83"/>
      <c r="AP160" s="11"/>
      <c r="AQ160" s="84"/>
      <c r="AR160" s="84"/>
      <c r="AS160" s="84"/>
      <c r="AT160" s="91"/>
      <c r="AU160" s="84"/>
      <c r="AV160" s="84"/>
      <c r="AW160" s="84"/>
      <c r="AX160" s="91"/>
      <c r="AY160" s="84"/>
      <c r="AZ160" s="84"/>
      <c r="BA160" s="84"/>
      <c r="BB160" s="91"/>
      <c r="BC160" s="84"/>
      <c r="BD160" s="84"/>
      <c r="BE160" s="84"/>
      <c r="BF160" s="91"/>
      <c r="BG160" s="84"/>
      <c r="BH160" s="84"/>
      <c r="BI160" s="84"/>
      <c r="BJ160" s="91"/>
      <c r="BK160" s="84"/>
      <c r="BL160" s="84"/>
      <c r="BM160" s="84"/>
      <c r="BN160" s="91"/>
      <c r="BO160" s="84"/>
      <c r="BP160" s="84"/>
      <c r="BQ160" s="84"/>
      <c r="BR160" s="91"/>
      <c r="BS160" s="84"/>
      <c r="BT160" s="84"/>
      <c r="BU160" s="84"/>
      <c r="BV160" s="91"/>
      <c r="BW160" s="84"/>
      <c r="BX160" s="84"/>
      <c r="BY160" s="84"/>
      <c r="BZ160" s="91"/>
      <c r="CA160" s="84"/>
      <c r="CB160" s="84"/>
      <c r="CC160" s="84"/>
      <c r="CD160" s="91"/>
      <c r="CE160" s="4"/>
      <c r="CF160" s="4"/>
      <c r="CG160" s="4"/>
      <c r="CH160" s="4"/>
      <c r="CI160" s="4"/>
      <c r="CJ160" s="4"/>
      <c r="CK160" s="4"/>
      <c r="CL160" s="4"/>
      <c r="CM160" s="4"/>
      <c r="CN160" s="4"/>
      <c r="CO160" s="4"/>
      <c r="CP160" s="4"/>
      <c r="CQ160" s="4"/>
      <c r="CR160" s="4"/>
      <c r="CS160" s="4"/>
      <c r="CT160" s="4"/>
    </row>
    <row r="161" spans="2:98" x14ac:dyDescent="0.2">
      <c r="B161" s="138"/>
      <c r="C161" s="83"/>
      <c r="D161" s="86"/>
      <c r="E161" s="86"/>
      <c r="F161" s="90"/>
      <c r="G161" s="83"/>
      <c r="H161" s="83"/>
      <c r="I161" s="83"/>
      <c r="J161" s="11"/>
      <c r="K161" s="83"/>
      <c r="L161" s="83"/>
      <c r="M161" s="83"/>
      <c r="N161" s="11"/>
      <c r="O161" s="83"/>
      <c r="P161" s="83"/>
      <c r="Q161" s="83"/>
      <c r="R161" s="11"/>
      <c r="S161" s="83"/>
      <c r="T161" s="83"/>
      <c r="U161" s="83"/>
      <c r="V161" s="11"/>
      <c r="W161" s="83"/>
      <c r="X161" s="83"/>
      <c r="Y161" s="83"/>
      <c r="Z161" s="11"/>
      <c r="AA161" s="83"/>
      <c r="AB161" s="83"/>
      <c r="AC161" s="83"/>
      <c r="AD161" s="11"/>
      <c r="AE161" s="83"/>
      <c r="AF161" s="83"/>
      <c r="AG161" s="83"/>
      <c r="AH161" s="11"/>
      <c r="AI161" s="83"/>
      <c r="AJ161" s="83"/>
      <c r="AK161" s="83"/>
      <c r="AL161" s="11"/>
      <c r="AM161" s="83"/>
      <c r="AN161" s="83"/>
      <c r="AO161" s="83"/>
      <c r="AP161" s="11"/>
      <c r="AQ161" s="84"/>
      <c r="AR161" s="84"/>
      <c r="AS161" s="84"/>
      <c r="AT161" s="91"/>
      <c r="AU161" s="84"/>
      <c r="AV161" s="84"/>
      <c r="AW161" s="84"/>
      <c r="AX161" s="91"/>
      <c r="AY161" s="84"/>
      <c r="AZ161" s="84"/>
      <c r="BA161" s="84"/>
      <c r="BB161" s="91"/>
      <c r="BC161" s="84"/>
      <c r="BD161" s="84"/>
      <c r="BE161" s="84"/>
      <c r="BF161" s="91"/>
      <c r="BG161" s="84"/>
      <c r="BH161" s="84"/>
      <c r="BI161" s="84"/>
      <c r="BJ161" s="91"/>
      <c r="BK161" s="84"/>
      <c r="BL161" s="84"/>
      <c r="BM161" s="84"/>
      <c r="BN161" s="91"/>
      <c r="BO161" s="84"/>
      <c r="BP161" s="84"/>
      <c r="BQ161" s="84"/>
      <c r="BR161" s="91"/>
      <c r="BS161" s="84"/>
      <c r="BT161" s="84"/>
      <c r="BU161" s="84"/>
      <c r="BV161" s="91"/>
      <c r="BW161" s="84"/>
      <c r="BX161" s="84"/>
      <c r="BY161" s="84"/>
      <c r="BZ161" s="91"/>
      <c r="CA161" s="84"/>
      <c r="CB161" s="84"/>
      <c r="CC161" s="84"/>
      <c r="CD161" s="91"/>
      <c r="CE161" s="4"/>
      <c r="CF161" s="4"/>
      <c r="CG161" s="4"/>
      <c r="CH161" s="4"/>
      <c r="CI161" s="4"/>
      <c r="CJ161" s="4"/>
      <c r="CK161" s="4"/>
      <c r="CL161" s="4"/>
      <c r="CM161" s="4"/>
      <c r="CN161" s="4"/>
      <c r="CO161" s="4"/>
      <c r="CP161" s="4"/>
      <c r="CQ161" s="4"/>
      <c r="CR161" s="4"/>
      <c r="CS161" s="4"/>
      <c r="CT161" s="4"/>
    </row>
    <row r="162" spans="2:98" x14ac:dyDescent="0.2">
      <c r="B162" s="138"/>
      <c r="C162" s="83"/>
      <c r="D162" s="86"/>
      <c r="E162" s="86"/>
      <c r="F162" s="90"/>
      <c r="G162" s="83"/>
      <c r="H162" s="83"/>
      <c r="I162" s="83"/>
      <c r="J162" s="11"/>
      <c r="K162" s="83"/>
      <c r="L162" s="83"/>
      <c r="M162" s="83"/>
      <c r="N162" s="11"/>
      <c r="O162" s="83"/>
      <c r="P162" s="83"/>
      <c r="Q162" s="83"/>
      <c r="R162" s="11"/>
      <c r="S162" s="83"/>
      <c r="T162" s="83"/>
      <c r="U162" s="83"/>
      <c r="V162" s="11"/>
      <c r="W162" s="83"/>
      <c r="X162" s="83"/>
      <c r="Y162" s="83"/>
      <c r="Z162" s="11"/>
      <c r="AA162" s="83"/>
      <c r="AB162" s="83"/>
      <c r="AC162" s="83"/>
      <c r="AD162" s="11"/>
      <c r="AE162" s="83"/>
      <c r="AF162" s="83"/>
      <c r="AG162" s="83"/>
      <c r="AH162" s="11"/>
      <c r="AI162" s="83"/>
      <c r="AJ162" s="83"/>
      <c r="AK162" s="83"/>
      <c r="AL162" s="11"/>
      <c r="AM162" s="83"/>
      <c r="AN162" s="83"/>
      <c r="AO162" s="83"/>
      <c r="AP162" s="11"/>
      <c r="AQ162" s="84"/>
      <c r="AR162" s="84"/>
      <c r="AS162" s="84"/>
      <c r="AT162" s="91"/>
      <c r="AU162" s="84"/>
      <c r="AV162" s="84"/>
      <c r="AW162" s="84"/>
      <c r="AX162" s="91"/>
      <c r="AY162" s="84"/>
      <c r="AZ162" s="84"/>
      <c r="BA162" s="84"/>
      <c r="BB162" s="91"/>
      <c r="BC162" s="84"/>
      <c r="BD162" s="84"/>
      <c r="BE162" s="84"/>
      <c r="BF162" s="91"/>
      <c r="BG162" s="84"/>
      <c r="BH162" s="84"/>
      <c r="BI162" s="84"/>
      <c r="BJ162" s="91"/>
      <c r="BK162" s="84"/>
      <c r="BL162" s="84"/>
      <c r="BM162" s="84"/>
      <c r="BN162" s="91"/>
      <c r="BO162" s="84"/>
      <c r="BP162" s="84"/>
      <c r="BQ162" s="84"/>
      <c r="BR162" s="91"/>
      <c r="BS162" s="84"/>
      <c r="BT162" s="84"/>
      <c r="BU162" s="84"/>
      <c r="BV162" s="91"/>
      <c r="BW162" s="84"/>
      <c r="BX162" s="84"/>
      <c r="BY162" s="84"/>
      <c r="BZ162" s="91"/>
      <c r="CA162" s="84"/>
      <c r="CB162" s="84"/>
      <c r="CC162" s="84"/>
      <c r="CD162" s="91"/>
      <c r="CE162" s="4"/>
      <c r="CF162" s="4"/>
      <c r="CG162" s="4"/>
      <c r="CH162" s="4"/>
      <c r="CI162" s="4"/>
      <c r="CJ162" s="4"/>
      <c r="CK162" s="4"/>
      <c r="CL162" s="4"/>
      <c r="CM162" s="4"/>
      <c r="CN162" s="4"/>
      <c r="CO162" s="4"/>
      <c r="CP162" s="4"/>
      <c r="CQ162" s="4"/>
      <c r="CR162" s="4"/>
      <c r="CS162" s="4"/>
      <c r="CT162" s="4"/>
    </row>
    <row r="163" spans="2:98" x14ac:dyDescent="0.2">
      <c r="B163" s="138"/>
      <c r="C163" s="83"/>
      <c r="D163" s="86"/>
      <c r="E163" s="86"/>
      <c r="F163" s="90"/>
      <c r="G163" s="83"/>
      <c r="H163" s="83"/>
      <c r="I163" s="83"/>
      <c r="J163" s="11"/>
      <c r="K163" s="83"/>
      <c r="L163" s="83"/>
      <c r="M163" s="83"/>
      <c r="N163" s="11"/>
      <c r="O163" s="83"/>
      <c r="P163" s="83"/>
      <c r="Q163" s="83"/>
      <c r="R163" s="11"/>
      <c r="S163" s="83"/>
      <c r="T163" s="83"/>
      <c r="U163" s="83"/>
      <c r="V163" s="11"/>
      <c r="W163" s="83"/>
      <c r="X163" s="83"/>
      <c r="Y163" s="83"/>
      <c r="Z163" s="11"/>
      <c r="AA163" s="83"/>
      <c r="AB163" s="83"/>
      <c r="AC163" s="83"/>
      <c r="AD163" s="11"/>
      <c r="AE163" s="83"/>
      <c r="AF163" s="83"/>
      <c r="AG163" s="83"/>
      <c r="AH163" s="11"/>
      <c r="AI163" s="83"/>
      <c r="AJ163" s="83"/>
      <c r="AK163" s="83"/>
      <c r="AL163" s="11"/>
      <c r="AM163" s="83"/>
      <c r="AN163" s="83"/>
      <c r="AO163" s="83"/>
      <c r="AP163" s="11"/>
      <c r="AQ163" s="84"/>
      <c r="AR163" s="84"/>
      <c r="AS163" s="84"/>
      <c r="AT163" s="91"/>
      <c r="AU163" s="84"/>
      <c r="AV163" s="84"/>
      <c r="AW163" s="84"/>
      <c r="AX163" s="91"/>
      <c r="AY163" s="84"/>
      <c r="AZ163" s="84"/>
      <c r="BA163" s="84"/>
      <c r="BB163" s="91"/>
      <c r="BC163" s="84"/>
      <c r="BD163" s="84"/>
      <c r="BE163" s="84"/>
      <c r="BF163" s="91"/>
      <c r="BG163" s="84"/>
      <c r="BH163" s="84"/>
      <c r="BI163" s="84"/>
      <c r="BJ163" s="91"/>
      <c r="BK163" s="84"/>
      <c r="BL163" s="84"/>
      <c r="BM163" s="84"/>
      <c r="BN163" s="91"/>
      <c r="BO163" s="84"/>
      <c r="BP163" s="84"/>
      <c r="BQ163" s="84"/>
      <c r="BR163" s="91"/>
      <c r="BS163" s="84"/>
      <c r="BT163" s="84"/>
      <c r="BU163" s="84"/>
      <c r="BV163" s="91"/>
      <c r="BW163" s="84"/>
      <c r="BX163" s="84"/>
      <c r="BY163" s="84"/>
      <c r="BZ163" s="91"/>
      <c r="CA163" s="84"/>
      <c r="CB163" s="84"/>
      <c r="CC163" s="84"/>
      <c r="CD163" s="91"/>
      <c r="CE163" s="4"/>
      <c r="CF163" s="4"/>
      <c r="CG163" s="4"/>
      <c r="CH163" s="4"/>
      <c r="CI163" s="4"/>
      <c r="CJ163" s="4"/>
      <c r="CK163" s="4"/>
      <c r="CL163" s="4"/>
      <c r="CM163" s="4"/>
      <c r="CN163" s="4"/>
      <c r="CO163" s="4"/>
      <c r="CP163" s="4"/>
      <c r="CQ163" s="4"/>
      <c r="CR163" s="4"/>
      <c r="CS163" s="4"/>
      <c r="CT163" s="4"/>
    </row>
    <row r="164" spans="2:98" x14ac:dyDescent="0.2">
      <c r="B164" s="138"/>
      <c r="C164" s="83"/>
      <c r="D164" s="86"/>
      <c r="E164" s="86"/>
      <c r="F164" s="90"/>
      <c r="G164" s="83"/>
      <c r="H164" s="83"/>
      <c r="I164" s="83"/>
      <c r="J164" s="11"/>
      <c r="K164" s="83"/>
      <c r="L164" s="83"/>
      <c r="M164" s="83"/>
      <c r="N164" s="11"/>
      <c r="O164" s="83"/>
      <c r="P164" s="83"/>
      <c r="Q164" s="83"/>
      <c r="R164" s="11"/>
      <c r="S164" s="83"/>
      <c r="T164" s="83"/>
      <c r="U164" s="83"/>
      <c r="V164" s="11"/>
      <c r="W164" s="83"/>
      <c r="X164" s="83"/>
      <c r="Y164" s="83"/>
      <c r="Z164" s="11"/>
      <c r="AA164" s="83"/>
      <c r="AB164" s="83"/>
      <c r="AC164" s="83"/>
      <c r="AD164" s="11"/>
      <c r="AE164" s="83"/>
      <c r="AF164" s="83"/>
      <c r="AG164" s="83"/>
      <c r="AH164" s="11"/>
      <c r="AI164" s="83"/>
      <c r="AJ164" s="83"/>
      <c r="AK164" s="83"/>
      <c r="AL164" s="11"/>
      <c r="AM164" s="83"/>
      <c r="AN164" s="83"/>
      <c r="AO164" s="83"/>
      <c r="AP164" s="11"/>
      <c r="AQ164" s="84"/>
      <c r="AR164" s="84"/>
      <c r="AS164" s="84"/>
      <c r="AT164" s="91"/>
      <c r="AU164" s="84"/>
      <c r="AV164" s="84"/>
      <c r="AW164" s="84"/>
      <c r="AX164" s="91"/>
      <c r="AY164" s="84"/>
      <c r="AZ164" s="84"/>
      <c r="BA164" s="84"/>
      <c r="BB164" s="91"/>
      <c r="BC164" s="84"/>
      <c r="BD164" s="84"/>
      <c r="BE164" s="84"/>
      <c r="BF164" s="91"/>
      <c r="BG164" s="84"/>
      <c r="BH164" s="84"/>
      <c r="BI164" s="84"/>
      <c r="BJ164" s="91"/>
      <c r="BK164" s="84"/>
      <c r="BL164" s="84"/>
      <c r="BM164" s="84"/>
      <c r="BN164" s="91"/>
      <c r="BO164" s="84"/>
      <c r="BP164" s="84"/>
      <c r="BQ164" s="84"/>
      <c r="BR164" s="91"/>
      <c r="BS164" s="84"/>
      <c r="BT164" s="84"/>
      <c r="BU164" s="84"/>
      <c r="BV164" s="91"/>
      <c r="BW164" s="84"/>
      <c r="BX164" s="84"/>
      <c r="BY164" s="84"/>
      <c r="BZ164" s="91"/>
      <c r="CA164" s="84"/>
      <c r="CB164" s="84"/>
      <c r="CC164" s="84"/>
      <c r="CD164" s="91"/>
      <c r="CE164" s="4"/>
      <c r="CF164" s="4"/>
      <c r="CG164" s="4"/>
      <c r="CH164" s="4"/>
      <c r="CI164" s="4"/>
      <c r="CJ164" s="4"/>
      <c r="CK164" s="4"/>
      <c r="CL164" s="4"/>
      <c r="CM164" s="4"/>
      <c r="CN164" s="4"/>
      <c r="CO164" s="4"/>
      <c r="CP164" s="4"/>
      <c r="CQ164" s="4"/>
      <c r="CR164" s="4"/>
      <c r="CS164" s="4"/>
      <c r="CT164" s="4"/>
    </row>
    <row r="165" spans="2:98" x14ac:dyDescent="0.2">
      <c r="B165" s="138"/>
      <c r="C165" s="83"/>
      <c r="D165" s="86"/>
      <c r="E165" s="83"/>
      <c r="F165" s="90"/>
      <c r="G165" s="83"/>
      <c r="H165" s="83"/>
      <c r="I165" s="83"/>
      <c r="J165" s="11"/>
      <c r="K165" s="83"/>
      <c r="L165" s="83"/>
      <c r="M165" s="83"/>
      <c r="N165" s="11"/>
      <c r="O165" s="83"/>
      <c r="P165" s="83"/>
      <c r="Q165" s="83"/>
      <c r="R165" s="11"/>
      <c r="S165" s="83"/>
      <c r="T165" s="83"/>
      <c r="U165" s="83"/>
      <c r="V165" s="11"/>
      <c r="W165" s="83"/>
      <c r="X165" s="83"/>
      <c r="Y165" s="83"/>
      <c r="Z165" s="11"/>
      <c r="AA165" s="83"/>
      <c r="AB165" s="83"/>
      <c r="AC165" s="83"/>
      <c r="AD165" s="11"/>
      <c r="AE165" s="83"/>
      <c r="AF165" s="83"/>
      <c r="AG165" s="83"/>
      <c r="AH165" s="11"/>
      <c r="AI165" s="83"/>
      <c r="AJ165" s="83"/>
      <c r="AK165" s="83"/>
      <c r="AL165" s="11"/>
      <c r="AM165" s="83"/>
      <c r="AN165" s="83"/>
      <c r="AO165" s="83"/>
      <c r="AP165" s="11"/>
      <c r="AQ165" s="84"/>
      <c r="AR165" s="84"/>
      <c r="AS165" s="84"/>
      <c r="AT165" s="91"/>
      <c r="AU165" s="84"/>
      <c r="AV165" s="84"/>
      <c r="AW165" s="84"/>
      <c r="AX165" s="91"/>
      <c r="AY165" s="84"/>
      <c r="AZ165" s="84"/>
      <c r="BA165" s="84"/>
      <c r="BB165" s="91"/>
      <c r="BC165" s="84"/>
      <c r="BD165" s="84"/>
      <c r="BE165" s="84"/>
      <c r="BF165" s="91"/>
      <c r="BG165" s="84"/>
      <c r="BH165" s="84"/>
      <c r="BI165" s="84"/>
      <c r="BJ165" s="91"/>
      <c r="BK165" s="84"/>
      <c r="BL165" s="84"/>
      <c r="BM165" s="84"/>
      <c r="BN165" s="91"/>
      <c r="BO165" s="84"/>
      <c r="BP165" s="84"/>
      <c r="BQ165" s="84"/>
      <c r="BR165" s="91"/>
      <c r="BS165" s="84"/>
      <c r="BT165" s="84"/>
      <c r="BU165" s="84"/>
      <c r="BV165" s="91"/>
      <c r="BW165" s="84"/>
      <c r="BX165" s="84"/>
      <c r="BY165" s="84"/>
      <c r="BZ165" s="91"/>
      <c r="CA165" s="84"/>
      <c r="CB165" s="84"/>
      <c r="CC165" s="84"/>
      <c r="CD165" s="91"/>
      <c r="CE165" s="4"/>
      <c r="CF165" s="4"/>
      <c r="CG165" s="4"/>
      <c r="CH165" s="4"/>
      <c r="CI165" s="4"/>
      <c r="CJ165" s="4"/>
      <c r="CK165" s="4"/>
      <c r="CL165" s="4"/>
      <c r="CM165" s="4"/>
      <c r="CN165" s="4"/>
      <c r="CO165" s="4"/>
      <c r="CP165" s="4"/>
      <c r="CQ165" s="4"/>
      <c r="CR165" s="4"/>
      <c r="CS165" s="4"/>
      <c r="CT165" s="4"/>
    </row>
    <row r="166" spans="2:98" x14ac:dyDescent="0.2">
      <c r="B166" s="138"/>
      <c r="C166" s="83"/>
      <c r="D166" s="86"/>
      <c r="E166" s="83"/>
      <c r="F166" s="90"/>
      <c r="G166" s="83"/>
      <c r="H166" s="83"/>
      <c r="I166" s="83"/>
      <c r="J166" s="11"/>
      <c r="K166" s="83"/>
      <c r="L166" s="83"/>
      <c r="M166" s="83"/>
      <c r="N166" s="11"/>
      <c r="O166" s="83"/>
      <c r="P166" s="83"/>
      <c r="Q166" s="83"/>
      <c r="R166" s="11"/>
      <c r="S166" s="83"/>
      <c r="T166" s="83"/>
      <c r="U166" s="83"/>
      <c r="V166" s="11"/>
      <c r="W166" s="83"/>
      <c r="X166" s="83"/>
      <c r="Y166" s="83"/>
      <c r="Z166" s="11"/>
      <c r="AA166" s="83"/>
      <c r="AB166" s="83"/>
      <c r="AC166" s="83"/>
      <c r="AD166" s="11"/>
      <c r="AE166" s="83"/>
      <c r="AF166" s="83"/>
      <c r="AG166" s="83"/>
      <c r="AH166" s="11"/>
      <c r="AI166" s="83"/>
      <c r="AJ166" s="83"/>
      <c r="AK166" s="83"/>
      <c r="AL166" s="11"/>
      <c r="AM166" s="83"/>
      <c r="AN166" s="83"/>
      <c r="AO166" s="83"/>
      <c r="AP166" s="11"/>
      <c r="AQ166" s="84"/>
      <c r="AR166" s="84"/>
      <c r="AS166" s="84"/>
      <c r="AT166" s="91"/>
      <c r="AU166" s="84"/>
      <c r="AV166" s="84"/>
      <c r="AW166" s="84"/>
      <c r="AX166" s="91"/>
      <c r="AY166" s="84"/>
      <c r="AZ166" s="84"/>
      <c r="BA166" s="84"/>
      <c r="BB166" s="91"/>
      <c r="BC166" s="84"/>
      <c r="BD166" s="84"/>
      <c r="BE166" s="84"/>
      <c r="BF166" s="91"/>
      <c r="BG166" s="84"/>
      <c r="BH166" s="84"/>
      <c r="BI166" s="84"/>
      <c r="BJ166" s="91"/>
      <c r="BK166" s="84"/>
      <c r="BL166" s="84"/>
      <c r="BM166" s="84"/>
      <c r="BN166" s="91"/>
      <c r="BO166" s="84"/>
      <c r="BP166" s="84"/>
      <c r="BQ166" s="84"/>
      <c r="BR166" s="91"/>
      <c r="BS166" s="84"/>
      <c r="BT166" s="84"/>
      <c r="BU166" s="84"/>
      <c r="BV166" s="91"/>
      <c r="BW166" s="84"/>
      <c r="BX166" s="84"/>
      <c r="BY166" s="84"/>
      <c r="BZ166" s="91"/>
      <c r="CA166" s="84"/>
      <c r="CB166" s="84"/>
      <c r="CC166" s="84"/>
      <c r="CD166" s="91"/>
      <c r="CE166" s="4"/>
      <c r="CF166" s="4"/>
      <c r="CG166" s="4"/>
      <c r="CH166" s="4"/>
      <c r="CI166" s="4"/>
      <c r="CJ166" s="4"/>
      <c r="CK166" s="4"/>
      <c r="CL166" s="4"/>
      <c r="CM166" s="4"/>
      <c r="CN166" s="4"/>
      <c r="CO166" s="4"/>
      <c r="CP166" s="4"/>
      <c r="CQ166" s="4"/>
      <c r="CR166" s="4"/>
      <c r="CS166" s="4"/>
      <c r="CT166" s="4"/>
    </row>
    <row r="167" spans="2:98" x14ac:dyDescent="0.2">
      <c r="B167" s="138"/>
      <c r="C167" s="83"/>
      <c r="D167" s="86"/>
      <c r="E167" s="83"/>
      <c r="F167" s="90"/>
      <c r="G167" s="83"/>
      <c r="H167" s="83"/>
      <c r="I167" s="83"/>
      <c r="J167" s="11"/>
      <c r="K167" s="83"/>
      <c r="L167" s="83"/>
      <c r="M167" s="83"/>
      <c r="N167" s="11"/>
      <c r="O167" s="83"/>
      <c r="P167" s="83"/>
      <c r="Q167" s="83"/>
      <c r="R167" s="11"/>
      <c r="S167" s="83"/>
      <c r="T167" s="83"/>
      <c r="U167" s="83"/>
      <c r="V167" s="11"/>
      <c r="W167" s="83"/>
      <c r="X167" s="83"/>
      <c r="Y167" s="83"/>
      <c r="Z167" s="11"/>
      <c r="AA167" s="83"/>
      <c r="AB167" s="83"/>
      <c r="AC167" s="83"/>
      <c r="AD167" s="11"/>
      <c r="AE167" s="83"/>
      <c r="AF167" s="83"/>
      <c r="AG167" s="83"/>
      <c r="AH167" s="11"/>
      <c r="AI167" s="83"/>
      <c r="AJ167" s="83"/>
      <c r="AK167" s="83"/>
      <c r="AL167" s="11"/>
      <c r="AM167" s="83"/>
      <c r="AN167" s="83"/>
      <c r="AO167" s="83"/>
      <c r="AP167" s="11"/>
      <c r="AQ167" s="84"/>
      <c r="AR167" s="84"/>
      <c r="AS167" s="84"/>
      <c r="AT167" s="91"/>
      <c r="AU167" s="84"/>
      <c r="AV167" s="84"/>
      <c r="AW167" s="84"/>
      <c r="AX167" s="91"/>
      <c r="AY167" s="84"/>
      <c r="AZ167" s="84"/>
      <c r="BA167" s="84"/>
      <c r="BB167" s="91"/>
      <c r="BC167" s="84"/>
      <c r="BD167" s="84"/>
      <c r="BE167" s="84"/>
      <c r="BF167" s="91"/>
      <c r="BG167" s="84"/>
      <c r="BH167" s="84"/>
      <c r="BI167" s="84"/>
      <c r="BJ167" s="91"/>
      <c r="BK167" s="84"/>
      <c r="BL167" s="84"/>
      <c r="BM167" s="84"/>
      <c r="BN167" s="91"/>
      <c r="BO167" s="84"/>
      <c r="BP167" s="84"/>
      <c r="BQ167" s="84"/>
      <c r="BR167" s="91"/>
      <c r="BS167" s="84"/>
      <c r="BT167" s="84"/>
      <c r="BU167" s="84"/>
      <c r="BV167" s="91"/>
      <c r="BW167" s="84"/>
      <c r="BX167" s="84"/>
      <c r="BY167" s="84"/>
      <c r="BZ167" s="91"/>
      <c r="CA167" s="84"/>
      <c r="CB167" s="84"/>
      <c r="CC167" s="84"/>
      <c r="CD167" s="91"/>
      <c r="CE167" s="4"/>
      <c r="CF167" s="4"/>
      <c r="CG167" s="4"/>
      <c r="CH167" s="4"/>
      <c r="CI167" s="4"/>
      <c r="CJ167" s="4"/>
      <c r="CK167" s="4"/>
      <c r="CL167" s="4"/>
      <c r="CM167" s="4"/>
      <c r="CN167" s="4"/>
      <c r="CO167" s="4"/>
      <c r="CP167" s="4"/>
      <c r="CQ167" s="4"/>
      <c r="CR167" s="4"/>
      <c r="CS167" s="4"/>
      <c r="CT167" s="4"/>
    </row>
    <row r="168" spans="2:98" x14ac:dyDescent="0.2">
      <c r="B168" s="138"/>
      <c r="C168" s="83"/>
      <c r="D168" s="86"/>
      <c r="E168" s="83"/>
      <c r="F168" s="90"/>
      <c r="G168" s="83"/>
      <c r="H168" s="83"/>
      <c r="I168" s="83"/>
      <c r="J168" s="11"/>
      <c r="K168" s="83"/>
      <c r="L168" s="83"/>
      <c r="M168" s="83"/>
      <c r="N168" s="11"/>
      <c r="O168" s="83"/>
      <c r="P168" s="83"/>
      <c r="Q168" s="83"/>
      <c r="R168" s="11"/>
      <c r="S168" s="83"/>
      <c r="T168" s="83"/>
      <c r="U168" s="83"/>
      <c r="V168" s="11"/>
      <c r="W168" s="83"/>
      <c r="X168" s="83"/>
      <c r="Y168" s="83"/>
      <c r="Z168" s="11"/>
      <c r="AA168" s="83"/>
      <c r="AB168" s="83"/>
      <c r="AC168" s="83"/>
      <c r="AD168" s="11"/>
      <c r="AE168" s="83"/>
      <c r="AF168" s="83"/>
      <c r="AG168" s="83"/>
      <c r="AH168" s="11"/>
      <c r="AI168" s="83"/>
      <c r="AJ168" s="83"/>
      <c r="AK168" s="83"/>
      <c r="AL168" s="11"/>
      <c r="AM168" s="83"/>
      <c r="AN168" s="83"/>
      <c r="AO168" s="83"/>
      <c r="AP168" s="11"/>
      <c r="AQ168" s="84"/>
      <c r="AR168" s="84"/>
      <c r="AS168" s="84"/>
      <c r="AT168" s="91"/>
      <c r="AU168" s="84"/>
      <c r="AV168" s="84"/>
      <c r="AW168" s="84"/>
      <c r="AX168" s="91"/>
      <c r="AY168" s="84"/>
      <c r="AZ168" s="84"/>
      <c r="BA168" s="84"/>
      <c r="BB168" s="91"/>
      <c r="BC168" s="84"/>
      <c r="BD168" s="84"/>
      <c r="BE168" s="84"/>
      <c r="BF168" s="91"/>
      <c r="BG168" s="84"/>
      <c r="BH168" s="84"/>
      <c r="BI168" s="84"/>
      <c r="BJ168" s="91"/>
      <c r="BK168" s="84"/>
      <c r="BL168" s="84"/>
      <c r="BM168" s="84"/>
      <c r="BN168" s="91"/>
      <c r="BO168" s="84"/>
      <c r="BP168" s="84"/>
      <c r="BQ168" s="84"/>
      <c r="BR168" s="91"/>
      <c r="BS168" s="84"/>
      <c r="BT168" s="84"/>
      <c r="BU168" s="84"/>
      <c r="BV168" s="91"/>
      <c r="BW168" s="84"/>
      <c r="BX168" s="84"/>
      <c r="BY168" s="84"/>
      <c r="BZ168" s="91"/>
      <c r="CA168" s="84"/>
      <c r="CB168" s="84"/>
      <c r="CC168" s="84"/>
      <c r="CD168" s="91"/>
      <c r="CE168" s="4"/>
      <c r="CF168" s="4"/>
      <c r="CG168" s="4"/>
      <c r="CH168" s="4"/>
      <c r="CI168" s="4"/>
      <c r="CJ168" s="4"/>
      <c r="CK168" s="4"/>
      <c r="CL168" s="4"/>
      <c r="CM168" s="4"/>
      <c r="CN168" s="4"/>
      <c r="CO168" s="4"/>
      <c r="CP168" s="4"/>
      <c r="CQ168" s="4"/>
      <c r="CR168" s="4"/>
      <c r="CS168" s="4"/>
      <c r="CT168" s="4"/>
    </row>
    <row r="169" spans="2:98" x14ac:dyDescent="0.2">
      <c r="B169" s="138"/>
      <c r="C169" s="83"/>
      <c r="D169" s="86"/>
      <c r="E169" s="83"/>
      <c r="F169" s="90"/>
      <c r="G169" s="83"/>
      <c r="H169" s="83"/>
      <c r="I169" s="83"/>
      <c r="J169" s="11"/>
      <c r="K169" s="83"/>
      <c r="L169" s="83"/>
      <c r="M169" s="83"/>
      <c r="N169" s="11"/>
      <c r="O169" s="83"/>
      <c r="P169" s="83"/>
      <c r="Q169" s="83"/>
      <c r="R169" s="11"/>
      <c r="S169" s="83"/>
      <c r="T169" s="83"/>
      <c r="U169" s="83"/>
      <c r="V169" s="11"/>
      <c r="W169" s="83"/>
      <c r="X169" s="83"/>
      <c r="Y169" s="83"/>
      <c r="Z169" s="11"/>
      <c r="AA169" s="83"/>
      <c r="AB169" s="83"/>
      <c r="AC169" s="83"/>
      <c r="AD169" s="11"/>
      <c r="AE169" s="83"/>
      <c r="AF169" s="83"/>
      <c r="AG169" s="83"/>
      <c r="AH169" s="11"/>
      <c r="AI169" s="83"/>
      <c r="AJ169" s="83"/>
      <c r="AK169" s="83"/>
      <c r="AL169" s="11"/>
      <c r="AM169" s="83"/>
      <c r="AN169" s="83"/>
      <c r="AO169" s="83"/>
      <c r="AP169" s="11"/>
      <c r="AQ169" s="84"/>
      <c r="AR169" s="84"/>
      <c r="AS169" s="84"/>
      <c r="AT169" s="91"/>
      <c r="AU169" s="84"/>
      <c r="AV169" s="84"/>
      <c r="AW169" s="84"/>
      <c r="AX169" s="91"/>
      <c r="AY169" s="84"/>
      <c r="AZ169" s="84"/>
      <c r="BA169" s="84"/>
      <c r="BB169" s="91"/>
      <c r="BC169" s="84"/>
      <c r="BD169" s="84"/>
      <c r="BE169" s="84"/>
      <c r="BF169" s="91"/>
      <c r="BG169" s="84"/>
      <c r="BH169" s="84"/>
      <c r="BI169" s="84"/>
      <c r="BJ169" s="91"/>
      <c r="BK169" s="84"/>
      <c r="BL169" s="84"/>
      <c r="BM169" s="84"/>
      <c r="BN169" s="91"/>
      <c r="BO169" s="84"/>
      <c r="BP169" s="84"/>
      <c r="BQ169" s="84"/>
      <c r="BR169" s="91"/>
      <c r="BS169" s="84"/>
      <c r="BT169" s="84"/>
      <c r="BU169" s="84"/>
      <c r="BV169" s="91"/>
      <c r="BW169" s="84"/>
      <c r="BX169" s="84"/>
      <c r="BY169" s="84"/>
      <c r="BZ169" s="91"/>
      <c r="CA169" s="84"/>
      <c r="CB169" s="84"/>
      <c r="CC169" s="84"/>
      <c r="CD169" s="91"/>
      <c r="CE169" s="4"/>
      <c r="CF169" s="4"/>
      <c r="CG169" s="4"/>
      <c r="CH169" s="4"/>
      <c r="CI169" s="4"/>
      <c r="CJ169" s="4"/>
      <c r="CK169" s="4"/>
      <c r="CL169" s="4"/>
      <c r="CM169" s="4"/>
      <c r="CN169" s="4"/>
      <c r="CO169" s="4"/>
      <c r="CP169" s="4"/>
      <c r="CQ169" s="4"/>
      <c r="CR169" s="4"/>
      <c r="CS169" s="4"/>
      <c r="CT169" s="4"/>
    </row>
    <row r="170" spans="2:98" x14ac:dyDescent="0.2">
      <c r="B170" s="138"/>
      <c r="C170" s="83"/>
      <c r="D170" s="86"/>
      <c r="E170" s="83"/>
      <c r="F170" s="90"/>
      <c r="G170" s="83"/>
      <c r="H170" s="83"/>
      <c r="I170" s="83"/>
      <c r="J170" s="11"/>
      <c r="K170" s="83"/>
      <c r="L170" s="83"/>
      <c r="M170" s="83"/>
      <c r="N170" s="11"/>
      <c r="O170" s="83"/>
      <c r="P170" s="83"/>
      <c r="Q170" s="83"/>
      <c r="R170" s="11"/>
      <c r="S170" s="83"/>
      <c r="T170" s="83"/>
      <c r="U170" s="83"/>
      <c r="V170" s="11"/>
      <c r="W170" s="83"/>
      <c r="X170" s="83"/>
      <c r="Y170" s="83"/>
      <c r="Z170" s="11"/>
      <c r="AA170" s="83"/>
      <c r="AB170" s="83"/>
      <c r="AC170" s="83"/>
      <c r="AD170" s="11"/>
      <c r="AE170" s="83"/>
      <c r="AF170" s="83"/>
      <c r="AG170" s="83"/>
      <c r="AH170" s="11"/>
      <c r="AI170" s="83"/>
      <c r="AJ170" s="83"/>
      <c r="AK170" s="83"/>
      <c r="AL170" s="11"/>
      <c r="AM170" s="83"/>
      <c r="AN170" s="83"/>
      <c r="AO170" s="83"/>
      <c r="AP170" s="11"/>
      <c r="AQ170" s="84"/>
      <c r="AR170" s="84"/>
      <c r="AS170" s="84"/>
      <c r="AT170" s="91"/>
      <c r="AU170" s="84"/>
      <c r="AV170" s="84"/>
      <c r="AW170" s="84"/>
      <c r="AX170" s="91"/>
      <c r="AY170" s="84"/>
      <c r="AZ170" s="84"/>
      <c r="BA170" s="84"/>
      <c r="BB170" s="91"/>
      <c r="BC170" s="84"/>
      <c r="BD170" s="84"/>
      <c r="BE170" s="84"/>
      <c r="BF170" s="91"/>
      <c r="BG170" s="84"/>
      <c r="BH170" s="84"/>
      <c r="BI170" s="84"/>
      <c r="BJ170" s="91"/>
      <c r="BK170" s="84"/>
      <c r="BL170" s="84"/>
      <c r="BM170" s="84"/>
      <c r="BN170" s="91"/>
      <c r="BO170" s="84"/>
      <c r="BP170" s="84"/>
      <c r="BQ170" s="84"/>
      <c r="BR170" s="91"/>
      <c r="BS170" s="84"/>
      <c r="BT170" s="84"/>
      <c r="BU170" s="84"/>
      <c r="BV170" s="91"/>
      <c r="BW170" s="84"/>
      <c r="BX170" s="84"/>
      <c r="BY170" s="84"/>
      <c r="BZ170" s="91"/>
      <c r="CA170" s="84"/>
      <c r="CB170" s="84"/>
      <c r="CC170" s="84"/>
      <c r="CD170" s="91"/>
      <c r="CE170" s="4"/>
      <c r="CF170" s="4"/>
      <c r="CG170" s="4"/>
      <c r="CH170" s="4"/>
      <c r="CI170" s="4"/>
      <c r="CJ170" s="4"/>
      <c r="CK170" s="4"/>
      <c r="CL170" s="4"/>
      <c r="CM170" s="4"/>
      <c r="CN170" s="4"/>
      <c r="CO170" s="4"/>
      <c r="CP170" s="4"/>
      <c r="CQ170" s="4"/>
      <c r="CR170" s="4"/>
      <c r="CS170" s="4"/>
      <c r="CT170" s="4"/>
    </row>
    <row r="171" spans="2:98" x14ac:dyDescent="0.2">
      <c r="B171" s="138"/>
      <c r="C171" s="83"/>
      <c r="D171" s="86"/>
      <c r="E171" s="83"/>
      <c r="F171" s="11"/>
      <c r="G171" s="83"/>
      <c r="H171" s="83"/>
      <c r="I171" s="83"/>
      <c r="J171" s="11"/>
      <c r="K171" s="83"/>
      <c r="L171" s="83"/>
      <c r="M171" s="83"/>
      <c r="N171" s="11"/>
      <c r="O171" s="83"/>
      <c r="P171" s="83"/>
      <c r="Q171" s="83"/>
      <c r="R171" s="11"/>
      <c r="S171" s="83"/>
      <c r="T171" s="83"/>
      <c r="U171" s="83"/>
      <c r="V171" s="11"/>
      <c r="W171" s="83"/>
      <c r="X171" s="83"/>
      <c r="Y171" s="83"/>
      <c r="Z171" s="11"/>
      <c r="AA171" s="83"/>
      <c r="AB171" s="83"/>
      <c r="AC171" s="83"/>
      <c r="AD171" s="11"/>
      <c r="AE171" s="83"/>
      <c r="AF171" s="83"/>
      <c r="AG171" s="83"/>
      <c r="AH171" s="11"/>
      <c r="AI171" s="83"/>
      <c r="AJ171" s="83"/>
      <c r="AK171" s="83"/>
      <c r="AL171" s="11"/>
      <c r="AM171" s="83"/>
      <c r="AN171" s="83"/>
      <c r="AO171" s="83"/>
      <c r="AP171" s="11"/>
      <c r="AQ171" s="84"/>
      <c r="AR171" s="84"/>
      <c r="AS171" s="84"/>
      <c r="AT171" s="91"/>
      <c r="AU171" s="84"/>
      <c r="AV171" s="84"/>
      <c r="AW171" s="84"/>
      <c r="AX171" s="91"/>
      <c r="AY171" s="84"/>
      <c r="AZ171" s="84"/>
      <c r="BA171" s="84"/>
      <c r="BB171" s="91"/>
      <c r="BC171" s="84"/>
      <c r="BD171" s="84"/>
      <c r="BE171" s="84"/>
      <c r="BF171" s="91"/>
      <c r="BG171" s="84"/>
      <c r="BH171" s="84"/>
      <c r="BI171" s="84"/>
      <c r="BJ171" s="91"/>
      <c r="BK171" s="84"/>
      <c r="BL171" s="84"/>
      <c r="BM171" s="84"/>
      <c r="BN171" s="91"/>
      <c r="BO171" s="84"/>
      <c r="BP171" s="84"/>
      <c r="BQ171" s="84"/>
      <c r="BR171" s="91"/>
      <c r="BS171" s="84"/>
      <c r="BT171" s="84"/>
      <c r="BU171" s="84"/>
      <c r="BV171" s="91"/>
      <c r="BW171" s="84"/>
      <c r="BX171" s="84"/>
      <c r="BY171" s="84"/>
      <c r="BZ171" s="91"/>
      <c r="CA171" s="84"/>
      <c r="CB171" s="84"/>
      <c r="CC171" s="84"/>
      <c r="CD171" s="91"/>
      <c r="CE171" s="4"/>
      <c r="CF171" s="4"/>
      <c r="CG171" s="4"/>
      <c r="CH171" s="4"/>
      <c r="CI171" s="4"/>
      <c r="CJ171" s="4"/>
      <c r="CK171" s="4"/>
      <c r="CL171" s="4"/>
      <c r="CM171" s="4"/>
      <c r="CN171" s="4"/>
      <c r="CO171" s="4"/>
      <c r="CP171" s="4"/>
      <c r="CQ171" s="4"/>
      <c r="CR171" s="4"/>
      <c r="CS171" s="4"/>
      <c r="CT171" s="4"/>
    </row>
    <row r="172" spans="2:98" x14ac:dyDescent="0.2">
      <c r="B172" s="138"/>
      <c r="C172" s="83"/>
      <c r="D172" s="83"/>
      <c r="E172" s="83"/>
      <c r="F172" s="11"/>
      <c r="G172" s="83"/>
      <c r="H172" s="83"/>
      <c r="I172" s="83"/>
      <c r="J172" s="11"/>
      <c r="K172" s="83"/>
      <c r="L172" s="83"/>
      <c r="M172" s="83"/>
      <c r="N172" s="11"/>
      <c r="O172" s="83"/>
      <c r="P172" s="83"/>
      <c r="Q172" s="83"/>
      <c r="R172" s="11"/>
      <c r="S172" s="83"/>
      <c r="T172" s="83"/>
      <c r="U172" s="83"/>
      <c r="V172" s="11"/>
      <c r="W172" s="83"/>
      <c r="X172" s="83"/>
      <c r="Y172" s="83"/>
      <c r="Z172" s="11"/>
      <c r="AA172" s="83"/>
      <c r="AB172" s="83"/>
      <c r="AC172" s="83"/>
      <c r="AD172" s="11"/>
      <c r="AE172" s="83"/>
      <c r="AF172" s="83"/>
      <c r="AG172" s="83"/>
      <c r="AH172" s="11"/>
      <c r="AI172" s="83"/>
      <c r="AJ172" s="83"/>
      <c r="AK172" s="83"/>
      <c r="AL172" s="11"/>
      <c r="AM172" s="83"/>
      <c r="AN172" s="83"/>
      <c r="AO172" s="83"/>
      <c r="AP172" s="11"/>
      <c r="AQ172" s="84"/>
      <c r="AR172" s="84"/>
      <c r="AS172" s="84"/>
      <c r="AT172" s="91"/>
      <c r="AU172" s="84"/>
      <c r="AV172" s="84"/>
      <c r="AW172" s="84"/>
      <c r="AX172" s="91"/>
      <c r="AY172" s="84"/>
      <c r="AZ172" s="84"/>
      <c r="BA172" s="84"/>
      <c r="BB172" s="91"/>
      <c r="BC172" s="84"/>
      <c r="BD172" s="84"/>
      <c r="BE172" s="84"/>
      <c r="BF172" s="91"/>
      <c r="BG172" s="84"/>
      <c r="BH172" s="84"/>
      <c r="BI172" s="84"/>
      <c r="BJ172" s="91"/>
      <c r="BK172" s="84"/>
      <c r="BL172" s="84"/>
      <c r="BM172" s="84"/>
      <c r="BN172" s="91"/>
      <c r="BO172" s="84"/>
      <c r="BP172" s="84"/>
      <c r="BQ172" s="84"/>
      <c r="BR172" s="91"/>
      <c r="BS172" s="84"/>
      <c r="BT172" s="84"/>
      <c r="BU172" s="84"/>
      <c r="BV172" s="91"/>
      <c r="BW172" s="84"/>
      <c r="BX172" s="84"/>
      <c r="BY172" s="84"/>
      <c r="BZ172" s="91"/>
      <c r="CA172" s="84"/>
      <c r="CB172" s="84"/>
      <c r="CC172" s="84"/>
      <c r="CD172" s="91"/>
      <c r="CE172" s="4"/>
      <c r="CF172" s="4"/>
      <c r="CG172" s="4"/>
      <c r="CH172" s="4"/>
      <c r="CI172" s="4"/>
      <c r="CJ172" s="4"/>
      <c r="CK172" s="4"/>
      <c r="CL172" s="4"/>
      <c r="CM172" s="4"/>
      <c r="CN172" s="4"/>
      <c r="CO172" s="4"/>
      <c r="CP172" s="4"/>
      <c r="CQ172" s="4"/>
      <c r="CR172" s="4"/>
      <c r="CS172" s="4"/>
      <c r="CT172" s="4"/>
    </row>
    <row r="173" spans="2:98" x14ac:dyDescent="0.2">
      <c r="B173" s="138"/>
      <c r="C173" s="83"/>
      <c r="D173" s="83"/>
      <c r="E173" s="83"/>
      <c r="F173" s="11"/>
      <c r="G173" s="83"/>
      <c r="H173" s="83"/>
      <c r="I173" s="83"/>
      <c r="J173" s="11"/>
      <c r="K173" s="83"/>
      <c r="L173" s="83"/>
      <c r="M173" s="83"/>
      <c r="N173" s="11"/>
      <c r="O173" s="83"/>
      <c r="P173" s="83"/>
      <c r="Q173" s="83"/>
      <c r="R173" s="11"/>
      <c r="S173" s="83"/>
      <c r="T173" s="83"/>
      <c r="U173" s="83"/>
      <c r="V173" s="11"/>
      <c r="W173" s="83"/>
      <c r="X173" s="83"/>
      <c r="Y173" s="83"/>
      <c r="Z173" s="11"/>
      <c r="AA173" s="83"/>
      <c r="AB173" s="83"/>
      <c r="AC173" s="83"/>
      <c r="AD173" s="11"/>
      <c r="AE173" s="83"/>
      <c r="AF173" s="83"/>
      <c r="AG173" s="83"/>
      <c r="AH173" s="11"/>
      <c r="AI173" s="83"/>
      <c r="AJ173" s="83"/>
      <c r="AK173" s="83"/>
      <c r="AL173" s="11"/>
      <c r="AM173" s="83"/>
      <c r="AN173" s="83"/>
      <c r="AO173" s="83"/>
      <c r="AP173" s="11"/>
      <c r="AQ173" s="84"/>
      <c r="AR173" s="84"/>
      <c r="AS173" s="84"/>
      <c r="AT173" s="91"/>
      <c r="AU173" s="84"/>
      <c r="AV173" s="84"/>
      <c r="AW173" s="84"/>
      <c r="AX173" s="91"/>
      <c r="AY173" s="84"/>
      <c r="AZ173" s="84"/>
      <c r="BA173" s="84"/>
      <c r="BB173" s="91"/>
      <c r="BC173" s="84"/>
      <c r="BD173" s="84"/>
      <c r="BE173" s="84"/>
      <c r="BF173" s="91"/>
      <c r="BG173" s="84"/>
      <c r="BH173" s="84"/>
      <c r="BI173" s="84"/>
      <c r="BJ173" s="91"/>
      <c r="BK173" s="84"/>
      <c r="BL173" s="84"/>
      <c r="BM173" s="84"/>
      <c r="BN173" s="91"/>
      <c r="BO173" s="84"/>
      <c r="BP173" s="84"/>
      <c r="BQ173" s="84"/>
      <c r="BR173" s="91"/>
      <c r="BS173" s="84"/>
      <c r="BT173" s="84"/>
      <c r="BU173" s="84"/>
      <c r="BV173" s="91"/>
      <c r="BW173" s="84"/>
      <c r="BX173" s="84"/>
      <c r="BY173" s="84"/>
      <c r="BZ173" s="91"/>
      <c r="CA173" s="84"/>
      <c r="CB173" s="84"/>
      <c r="CC173" s="84"/>
      <c r="CD173" s="91"/>
      <c r="CE173" s="4"/>
      <c r="CF173" s="4"/>
      <c r="CG173" s="4"/>
      <c r="CH173" s="4"/>
      <c r="CI173" s="4"/>
      <c r="CJ173" s="4"/>
      <c r="CK173" s="4"/>
      <c r="CL173" s="4"/>
      <c r="CM173" s="4"/>
      <c r="CN173" s="4"/>
      <c r="CO173" s="4"/>
      <c r="CP173" s="4"/>
      <c r="CQ173" s="4"/>
      <c r="CR173" s="4"/>
      <c r="CS173" s="4"/>
      <c r="CT173" s="4"/>
    </row>
    <row r="174" spans="2:98" x14ac:dyDescent="0.2">
      <c r="B174" s="138"/>
      <c r="C174" s="83"/>
      <c r="D174" s="83"/>
      <c r="E174" s="83"/>
      <c r="F174" s="11"/>
      <c r="G174" s="83"/>
      <c r="H174" s="83"/>
      <c r="I174" s="83"/>
      <c r="J174" s="11"/>
      <c r="K174" s="83"/>
      <c r="L174" s="83"/>
      <c r="M174" s="83"/>
      <c r="N174" s="11"/>
      <c r="O174" s="83"/>
      <c r="P174" s="83"/>
      <c r="Q174" s="83"/>
      <c r="R174" s="11"/>
      <c r="S174" s="83"/>
      <c r="T174" s="83"/>
      <c r="U174" s="83"/>
      <c r="V174" s="11"/>
      <c r="W174" s="83"/>
      <c r="X174" s="83"/>
      <c r="Y174" s="83"/>
      <c r="Z174" s="11"/>
      <c r="AA174" s="83"/>
      <c r="AB174" s="83"/>
      <c r="AC174" s="83"/>
      <c r="AD174" s="11"/>
      <c r="AE174" s="83"/>
      <c r="AF174" s="83"/>
      <c r="AG174" s="83"/>
      <c r="AH174" s="11"/>
      <c r="AI174" s="83"/>
      <c r="AJ174" s="83"/>
      <c r="AK174" s="83"/>
      <c r="AL174" s="11"/>
      <c r="AM174" s="83"/>
      <c r="AN174" s="83"/>
      <c r="AO174" s="83"/>
      <c r="AP174" s="11"/>
      <c r="AQ174" s="84"/>
      <c r="AR174" s="84"/>
      <c r="AS174" s="84"/>
      <c r="AT174" s="91"/>
      <c r="AU174" s="84"/>
      <c r="AV174" s="84"/>
      <c r="AW174" s="84"/>
      <c r="AX174" s="91"/>
      <c r="AY174" s="84"/>
      <c r="AZ174" s="84"/>
      <c r="BA174" s="84"/>
      <c r="BB174" s="91"/>
      <c r="BC174" s="84"/>
      <c r="BD174" s="84"/>
      <c r="BE174" s="84"/>
      <c r="BF174" s="91"/>
      <c r="BG174" s="84"/>
      <c r="BH174" s="84"/>
      <c r="BI174" s="84"/>
      <c r="BJ174" s="91"/>
      <c r="BK174" s="84"/>
      <c r="BL174" s="84"/>
      <c r="BM174" s="84"/>
      <c r="BN174" s="91"/>
      <c r="BO174" s="84"/>
      <c r="BP174" s="84"/>
      <c r="BQ174" s="84"/>
      <c r="BR174" s="91"/>
      <c r="BS174" s="84"/>
      <c r="BT174" s="84"/>
      <c r="BU174" s="84"/>
      <c r="BV174" s="91"/>
      <c r="BW174" s="84"/>
      <c r="BX174" s="84"/>
      <c r="BY174" s="84"/>
      <c r="BZ174" s="91"/>
      <c r="CA174" s="84"/>
      <c r="CB174" s="84"/>
      <c r="CC174" s="84"/>
      <c r="CD174" s="91"/>
      <c r="CE174" s="4"/>
      <c r="CF174" s="4"/>
      <c r="CG174" s="4"/>
      <c r="CH174" s="4"/>
      <c r="CI174" s="4"/>
      <c r="CJ174" s="4"/>
      <c r="CK174" s="4"/>
      <c r="CL174" s="4"/>
      <c r="CM174" s="4"/>
      <c r="CN174" s="4"/>
      <c r="CO174" s="4"/>
      <c r="CP174" s="4"/>
      <c r="CQ174" s="4"/>
      <c r="CR174" s="4"/>
      <c r="CS174" s="4"/>
      <c r="CT174" s="4"/>
    </row>
    <row r="175" spans="2:98" x14ac:dyDescent="0.2">
      <c r="B175" s="138"/>
      <c r="C175" s="83"/>
      <c r="D175" s="83"/>
      <c r="E175" s="83"/>
      <c r="F175" s="11"/>
      <c r="G175" s="83"/>
      <c r="H175" s="83"/>
      <c r="I175" s="83"/>
      <c r="J175" s="11"/>
      <c r="K175" s="83"/>
      <c r="L175" s="83"/>
      <c r="M175" s="83"/>
      <c r="N175" s="11"/>
      <c r="O175" s="83"/>
      <c r="P175" s="83"/>
      <c r="Q175" s="83"/>
      <c r="R175" s="11"/>
      <c r="S175" s="83"/>
      <c r="T175" s="83"/>
      <c r="U175" s="83"/>
      <c r="V175" s="11"/>
      <c r="W175" s="83"/>
      <c r="X175" s="83"/>
      <c r="Y175" s="83"/>
      <c r="Z175" s="11"/>
      <c r="AA175" s="83"/>
      <c r="AB175" s="83"/>
      <c r="AC175" s="83"/>
      <c r="AD175" s="11"/>
      <c r="AE175" s="83"/>
      <c r="AF175" s="83"/>
      <c r="AG175" s="83"/>
      <c r="AH175" s="11"/>
      <c r="AI175" s="83"/>
      <c r="AJ175" s="83"/>
      <c r="AK175" s="83"/>
      <c r="AL175" s="11"/>
      <c r="AM175" s="83"/>
      <c r="AN175" s="83"/>
      <c r="AO175" s="83"/>
      <c r="AP175" s="11"/>
      <c r="AQ175" s="84"/>
      <c r="AR175" s="84"/>
      <c r="AS175" s="84"/>
      <c r="AT175" s="91"/>
      <c r="AU175" s="84"/>
      <c r="AV175" s="84"/>
      <c r="AW175" s="84"/>
      <c r="AX175" s="91"/>
      <c r="AY175" s="84"/>
      <c r="AZ175" s="84"/>
      <c r="BA175" s="84"/>
      <c r="BB175" s="91"/>
      <c r="BC175" s="84"/>
      <c r="BD175" s="84"/>
      <c r="BE175" s="84"/>
      <c r="BF175" s="91"/>
      <c r="BG175" s="84"/>
      <c r="BH175" s="84"/>
      <c r="BI175" s="84"/>
      <c r="BJ175" s="91"/>
      <c r="BK175" s="84"/>
      <c r="BL175" s="84"/>
      <c r="BM175" s="84"/>
      <c r="BN175" s="91"/>
      <c r="BO175" s="84"/>
      <c r="BP175" s="84"/>
      <c r="BQ175" s="84"/>
      <c r="BR175" s="91"/>
      <c r="BS175" s="84"/>
      <c r="BT175" s="84"/>
      <c r="BU175" s="84"/>
      <c r="BV175" s="91"/>
      <c r="BW175" s="84"/>
      <c r="BX175" s="84"/>
      <c r="BY175" s="84"/>
      <c r="BZ175" s="91"/>
      <c r="CA175" s="84"/>
      <c r="CB175" s="84"/>
      <c r="CC175" s="84"/>
      <c r="CD175" s="91"/>
      <c r="CE175" s="4"/>
      <c r="CF175" s="4"/>
      <c r="CG175" s="4"/>
      <c r="CH175" s="4"/>
      <c r="CI175" s="4"/>
      <c r="CJ175" s="4"/>
      <c r="CK175" s="4"/>
      <c r="CL175" s="4"/>
      <c r="CM175" s="4"/>
      <c r="CN175" s="4"/>
      <c r="CO175" s="4"/>
      <c r="CP175" s="4"/>
      <c r="CQ175" s="4"/>
      <c r="CR175" s="4"/>
      <c r="CS175" s="4"/>
      <c r="CT175" s="4"/>
    </row>
    <row r="176" spans="2:98" x14ac:dyDescent="0.2">
      <c r="B176" s="138"/>
      <c r="C176" s="83"/>
      <c r="D176" s="83"/>
      <c r="E176" s="83"/>
      <c r="F176" s="11"/>
      <c r="G176" s="83"/>
      <c r="H176" s="83"/>
      <c r="I176" s="83"/>
      <c r="J176" s="11"/>
      <c r="K176" s="83"/>
      <c r="L176" s="83"/>
      <c r="M176" s="83"/>
      <c r="N176" s="11"/>
      <c r="O176" s="83"/>
      <c r="P176" s="83"/>
      <c r="Q176" s="83"/>
      <c r="R176" s="11"/>
      <c r="S176" s="83"/>
      <c r="T176" s="83"/>
      <c r="U176" s="83"/>
      <c r="V176" s="11"/>
      <c r="W176" s="83"/>
      <c r="X176" s="83"/>
      <c r="Y176" s="83"/>
      <c r="Z176" s="11"/>
      <c r="AA176" s="83"/>
      <c r="AB176" s="83"/>
      <c r="AC176" s="83"/>
      <c r="AD176" s="11"/>
      <c r="AE176" s="83"/>
      <c r="AF176" s="83"/>
      <c r="AG176" s="83"/>
      <c r="AH176" s="11"/>
      <c r="AI176" s="83"/>
      <c r="AJ176" s="83"/>
      <c r="AK176" s="83"/>
      <c r="AL176" s="11"/>
      <c r="AM176" s="83"/>
      <c r="AN176" s="83"/>
      <c r="AO176" s="83"/>
      <c r="AP176" s="11"/>
      <c r="AQ176" s="84"/>
      <c r="AR176" s="84"/>
      <c r="AS176" s="84"/>
      <c r="AT176" s="91"/>
      <c r="AU176" s="84"/>
      <c r="AV176" s="84"/>
      <c r="AW176" s="84"/>
      <c r="AX176" s="91"/>
      <c r="AY176" s="84"/>
      <c r="AZ176" s="84"/>
      <c r="BA176" s="84"/>
      <c r="BB176" s="91"/>
      <c r="BC176" s="84"/>
      <c r="BD176" s="84"/>
      <c r="BE176" s="84"/>
      <c r="BF176" s="91"/>
      <c r="BG176" s="84"/>
      <c r="BH176" s="84"/>
      <c r="BI176" s="84"/>
      <c r="BJ176" s="91"/>
      <c r="BK176" s="84"/>
      <c r="BL176" s="84"/>
      <c r="BM176" s="84"/>
      <c r="BN176" s="91"/>
      <c r="BO176" s="84"/>
      <c r="BP176" s="84"/>
      <c r="BQ176" s="84"/>
      <c r="BR176" s="91"/>
      <c r="BS176" s="84"/>
      <c r="BT176" s="84"/>
      <c r="BU176" s="84"/>
      <c r="BV176" s="91"/>
      <c r="BW176" s="84"/>
      <c r="BX176" s="84"/>
      <c r="BY176" s="84"/>
      <c r="BZ176" s="91"/>
      <c r="CA176" s="84"/>
      <c r="CB176" s="84"/>
      <c r="CC176" s="84"/>
      <c r="CD176" s="91"/>
      <c r="CE176" s="4"/>
      <c r="CF176" s="4"/>
      <c r="CG176" s="4"/>
      <c r="CH176" s="4"/>
      <c r="CI176" s="4"/>
      <c r="CJ176" s="4"/>
      <c r="CK176" s="4"/>
      <c r="CL176" s="4"/>
      <c r="CM176" s="4"/>
      <c r="CN176" s="4"/>
      <c r="CO176" s="4"/>
      <c r="CP176" s="4"/>
      <c r="CQ176" s="4"/>
      <c r="CR176" s="4"/>
      <c r="CS176" s="4"/>
      <c r="CT176" s="4"/>
    </row>
    <row r="177" spans="2:98" x14ac:dyDescent="0.2">
      <c r="B177" s="138"/>
      <c r="C177" s="83"/>
      <c r="D177" s="83"/>
      <c r="E177" s="83"/>
      <c r="F177" s="11"/>
      <c r="G177" s="83"/>
      <c r="H177" s="83"/>
      <c r="I177" s="83"/>
      <c r="J177" s="11"/>
      <c r="K177" s="83"/>
      <c r="L177" s="83"/>
      <c r="M177" s="83"/>
      <c r="N177" s="11"/>
      <c r="O177" s="83"/>
      <c r="P177" s="83"/>
      <c r="Q177" s="83"/>
      <c r="R177" s="11"/>
      <c r="S177" s="83"/>
      <c r="T177" s="83"/>
      <c r="U177" s="83"/>
      <c r="V177" s="11"/>
      <c r="W177" s="83"/>
      <c r="X177" s="83"/>
      <c r="Y177" s="83"/>
      <c r="Z177" s="11"/>
      <c r="AA177" s="83"/>
      <c r="AB177" s="83"/>
      <c r="AC177" s="83"/>
      <c r="AD177" s="11"/>
      <c r="AE177" s="83"/>
      <c r="AF177" s="83"/>
      <c r="AG177" s="83"/>
      <c r="AH177" s="11"/>
      <c r="AI177" s="83"/>
      <c r="AJ177" s="83"/>
      <c r="AK177" s="83"/>
      <c r="AL177" s="11"/>
      <c r="AM177" s="83"/>
      <c r="AN177" s="83"/>
      <c r="AO177" s="83"/>
      <c r="AP177" s="11"/>
      <c r="AQ177" s="84"/>
      <c r="AR177" s="84"/>
      <c r="AS177" s="84"/>
      <c r="AT177" s="91"/>
      <c r="AU177" s="84"/>
      <c r="AV177" s="84"/>
      <c r="AW177" s="84"/>
      <c r="AX177" s="91"/>
      <c r="AY177" s="84"/>
      <c r="AZ177" s="84"/>
      <c r="BA177" s="84"/>
      <c r="BB177" s="91"/>
      <c r="BC177" s="84"/>
      <c r="BD177" s="84"/>
      <c r="BE177" s="84"/>
      <c r="BF177" s="91"/>
      <c r="BG177" s="84"/>
      <c r="BH177" s="84"/>
      <c r="BI177" s="84"/>
      <c r="BJ177" s="91"/>
      <c r="BK177" s="84"/>
      <c r="BL177" s="84"/>
      <c r="BM177" s="84"/>
      <c r="BN177" s="91"/>
      <c r="BO177" s="84"/>
      <c r="BP177" s="84"/>
      <c r="BQ177" s="84"/>
      <c r="BR177" s="91"/>
      <c r="BS177" s="84"/>
      <c r="BT177" s="84"/>
      <c r="BU177" s="84"/>
      <c r="BV177" s="91"/>
      <c r="BW177" s="84"/>
      <c r="BX177" s="84"/>
      <c r="BY177" s="84"/>
      <c r="BZ177" s="91"/>
      <c r="CA177" s="84"/>
      <c r="CB177" s="84"/>
      <c r="CC177" s="84"/>
      <c r="CD177" s="91"/>
      <c r="CE177" s="4"/>
      <c r="CF177" s="4"/>
      <c r="CG177" s="4"/>
      <c r="CH177" s="4"/>
      <c r="CI177" s="4"/>
      <c r="CJ177" s="4"/>
      <c r="CK177" s="4"/>
      <c r="CL177" s="4"/>
      <c r="CM177" s="4"/>
      <c r="CN177" s="4"/>
      <c r="CO177" s="4"/>
      <c r="CP177" s="4"/>
      <c r="CQ177" s="4"/>
      <c r="CR177" s="4"/>
      <c r="CS177" s="4"/>
      <c r="CT177" s="4"/>
    </row>
    <row r="178" spans="2:98" x14ac:dyDescent="0.2">
      <c r="B178" s="138"/>
      <c r="C178" s="83"/>
      <c r="D178" s="83"/>
      <c r="E178" s="83"/>
      <c r="F178" s="11"/>
      <c r="G178" s="83"/>
      <c r="H178" s="83"/>
      <c r="I178" s="83"/>
      <c r="J178" s="11"/>
      <c r="K178" s="83"/>
      <c r="L178" s="83"/>
      <c r="M178" s="83"/>
      <c r="N178" s="11"/>
      <c r="O178" s="83"/>
      <c r="P178" s="83"/>
      <c r="Q178" s="83"/>
      <c r="R178" s="11"/>
      <c r="S178" s="83"/>
      <c r="T178" s="83"/>
      <c r="U178" s="83"/>
      <c r="V178" s="11"/>
      <c r="W178" s="83"/>
      <c r="X178" s="83"/>
      <c r="Y178" s="83"/>
      <c r="Z178" s="11"/>
      <c r="AA178" s="83"/>
      <c r="AB178" s="83"/>
      <c r="AC178" s="83"/>
      <c r="AD178" s="11"/>
      <c r="AE178" s="83"/>
      <c r="AF178" s="83"/>
      <c r="AG178" s="83"/>
      <c r="AH178" s="11"/>
      <c r="AI178" s="83"/>
      <c r="AJ178" s="83"/>
      <c r="AK178" s="83"/>
      <c r="AL178" s="11"/>
      <c r="AM178" s="83"/>
      <c r="AN178" s="83"/>
      <c r="AO178" s="83"/>
      <c r="AP178" s="11"/>
      <c r="AQ178" s="84"/>
      <c r="AR178" s="84"/>
      <c r="AS178" s="84"/>
      <c r="AT178" s="91"/>
      <c r="AU178" s="84"/>
      <c r="AV178" s="84"/>
      <c r="AW178" s="84"/>
      <c r="AX178" s="91"/>
      <c r="AY178" s="84"/>
      <c r="AZ178" s="84"/>
      <c r="BA178" s="84"/>
      <c r="BB178" s="91"/>
      <c r="BC178" s="84"/>
      <c r="BD178" s="84"/>
      <c r="BE178" s="84"/>
      <c r="BF178" s="91"/>
      <c r="BG178" s="84"/>
      <c r="BH178" s="84"/>
      <c r="BI178" s="84"/>
      <c r="BJ178" s="91"/>
      <c r="BK178" s="84"/>
      <c r="BL178" s="84"/>
      <c r="BM178" s="84"/>
      <c r="BN178" s="91"/>
      <c r="BO178" s="84"/>
      <c r="BP178" s="84"/>
      <c r="BQ178" s="84"/>
      <c r="BR178" s="91"/>
      <c r="BS178" s="84"/>
      <c r="BT178" s="84"/>
      <c r="BU178" s="84"/>
      <c r="BV178" s="91"/>
      <c r="BW178" s="84"/>
      <c r="BX178" s="84"/>
      <c r="BY178" s="84"/>
      <c r="BZ178" s="91"/>
      <c r="CA178" s="84"/>
      <c r="CB178" s="84"/>
      <c r="CC178" s="84"/>
      <c r="CD178" s="91"/>
      <c r="CE178" s="4"/>
      <c r="CF178" s="4"/>
      <c r="CG178" s="4"/>
      <c r="CH178" s="4"/>
      <c r="CI178" s="4"/>
      <c r="CJ178" s="4"/>
      <c r="CK178" s="4"/>
      <c r="CL178" s="4"/>
      <c r="CM178" s="4"/>
      <c r="CN178" s="4"/>
      <c r="CO178" s="4"/>
      <c r="CP178" s="4"/>
      <c r="CQ178" s="4"/>
      <c r="CR178" s="4"/>
      <c r="CS178" s="4"/>
      <c r="CT178" s="4"/>
    </row>
    <row r="179" spans="2:98" x14ac:dyDescent="0.2">
      <c r="B179" s="138"/>
      <c r="C179" s="83"/>
      <c r="D179" s="83"/>
      <c r="E179" s="83"/>
      <c r="F179" s="11"/>
      <c r="G179" s="83"/>
      <c r="H179" s="83"/>
      <c r="I179" s="83"/>
      <c r="J179" s="11"/>
      <c r="K179" s="83"/>
      <c r="L179" s="83"/>
      <c r="M179" s="83"/>
      <c r="N179" s="11"/>
      <c r="O179" s="83"/>
      <c r="P179" s="83"/>
      <c r="Q179" s="83"/>
      <c r="R179" s="11"/>
      <c r="S179" s="83"/>
      <c r="T179" s="83"/>
      <c r="U179" s="83"/>
      <c r="V179" s="11"/>
      <c r="W179" s="83"/>
      <c r="X179" s="83"/>
      <c r="Y179" s="83"/>
      <c r="Z179" s="11"/>
      <c r="AA179" s="83"/>
      <c r="AB179" s="83"/>
      <c r="AC179" s="83"/>
      <c r="AD179" s="11"/>
      <c r="AE179" s="83"/>
      <c r="AF179" s="83"/>
      <c r="AG179" s="83"/>
      <c r="AH179" s="11"/>
      <c r="AI179" s="83"/>
      <c r="AJ179" s="83"/>
      <c r="AK179" s="83"/>
      <c r="AL179" s="11"/>
      <c r="AM179" s="83"/>
      <c r="AN179" s="83"/>
      <c r="AO179" s="83"/>
      <c r="AP179" s="11"/>
      <c r="AQ179" s="84"/>
      <c r="AR179" s="84"/>
      <c r="AS179" s="84"/>
      <c r="AT179" s="91"/>
      <c r="AU179" s="84"/>
      <c r="AV179" s="84"/>
      <c r="AW179" s="84"/>
      <c r="AX179" s="91"/>
      <c r="AY179" s="84"/>
      <c r="AZ179" s="84"/>
      <c r="BA179" s="84"/>
      <c r="BB179" s="91"/>
      <c r="BC179" s="84"/>
      <c r="BD179" s="84"/>
      <c r="BE179" s="84"/>
      <c r="BF179" s="91"/>
      <c r="BG179" s="84"/>
      <c r="BH179" s="84"/>
      <c r="BI179" s="84"/>
      <c r="BJ179" s="91"/>
      <c r="BK179" s="84"/>
      <c r="BL179" s="84"/>
      <c r="BM179" s="84"/>
      <c r="BN179" s="91"/>
      <c r="BO179" s="84"/>
      <c r="BP179" s="84"/>
      <c r="BQ179" s="84"/>
      <c r="BR179" s="91"/>
      <c r="BS179" s="84"/>
      <c r="BT179" s="84"/>
      <c r="BU179" s="84"/>
      <c r="BV179" s="91"/>
      <c r="BW179" s="84"/>
      <c r="BX179" s="84"/>
      <c r="BY179" s="84"/>
      <c r="BZ179" s="91"/>
      <c r="CA179" s="84"/>
      <c r="CB179" s="84"/>
      <c r="CC179" s="84"/>
      <c r="CD179" s="91"/>
      <c r="CE179" s="4"/>
      <c r="CF179" s="4"/>
      <c r="CG179" s="4"/>
      <c r="CH179" s="4"/>
      <c r="CI179" s="4"/>
      <c r="CJ179" s="4"/>
      <c r="CK179" s="4"/>
      <c r="CL179" s="4"/>
      <c r="CM179" s="4"/>
      <c r="CN179" s="4"/>
      <c r="CO179" s="4"/>
      <c r="CP179" s="4"/>
      <c r="CQ179" s="4"/>
      <c r="CR179" s="4"/>
      <c r="CS179" s="4"/>
      <c r="CT179" s="4"/>
    </row>
    <row r="180" spans="2:98" x14ac:dyDescent="0.2">
      <c r="B180" s="138"/>
      <c r="C180" s="83"/>
      <c r="D180" s="83"/>
      <c r="E180" s="83"/>
      <c r="F180" s="11"/>
      <c r="G180" s="83"/>
      <c r="H180" s="83"/>
      <c r="I180" s="83"/>
      <c r="J180" s="11"/>
      <c r="K180" s="83"/>
      <c r="L180" s="83"/>
      <c r="M180" s="83"/>
      <c r="N180" s="11"/>
      <c r="O180" s="83"/>
      <c r="P180" s="83"/>
      <c r="Q180" s="83"/>
      <c r="R180" s="11"/>
      <c r="S180" s="83"/>
      <c r="T180" s="83"/>
      <c r="U180" s="83"/>
      <c r="V180" s="11"/>
      <c r="W180" s="83"/>
      <c r="X180" s="83"/>
      <c r="Y180" s="83"/>
      <c r="Z180" s="11"/>
      <c r="AA180" s="83"/>
      <c r="AB180" s="83"/>
      <c r="AC180" s="83"/>
      <c r="AD180" s="11"/>
      <c r="AE180" s="83"/>
      <c r="AF180" s="83"/>
      <c r="AG180" s="83"/>
      <c r="AH180" s="11"/>
      <c r="AI180" s="83"/>
      <c r="AJ180" s="83"/>
      <c r="AK180" s="83"/>
      <c r="AL180" s="11"/>
      <c r="AM180" s="83"/>
      <c r="AN180" s="83"/>
      <c r="AO180" s="83"/>
      <c r="AP180" s="11"/>
      <c r="AQ180" s="84"/>
      <c r="AR180" s="84"/>
      <c r="AS180" s="84"/>
      <c r="AT180" s="91"/>
      <c r="AU180" s="84"/>
      <c r="AV180" s="84"/>
      <c r="AW180" s="84"/>
      <c r="AX180" s="91"/>
      <c r="AY180" s="84"/>
      <c r="AZ180" s="84"/>
      <c r="BA180" s="84"/>
      <c r="BB180" s="91"/>
      <c r="BC180" s="84"/>
      <c r="BD180" s="84"/>
      <c r="BE180" s="84"/>
      <c r="BF180" s="91"/>
      <c r="BG180" s="84"/>
      <c r="BH180" s="84"/>
      <c r="BI180" s="84"/>
      <c r="BJ180" s="91"/>
      <c r="BK180" s="84"/>
      <c r="BL180" s="84"/>
      <c r="BM180" s="84"/>
      <c r="BN180" s="91"/>
      <c r="BO180" s="84"/>
      <c r="BP180" s="84"/>
      <c r="BQ180" s="84"/>
      <c r="BR180" s="91"/>
      <c r="BS180" s="84"/>
      <c r="BT180" s="84"/>
      <c r="BU180" s="84"/>
      <c r="BV180" s="91"/>
      <c r="BW180" s="84"/>
      <c r="BX180" s="84"/>
      <c r="BY180" s="84"/>
      <c r="BZ180" s="91"/>
      <c r="CA180" s="84"/>
      <c r="CB180" s="84"/>
      <c r="CC180" s="84"/>
      <c r="CD180" s="91"/>
      <c r="CE180" s="4"/>
      <c r="CF180" s="4"/>
      <c r="CG180" s="4"/>
      <c r="CH180" s="4"/>
      <c r="CI180" s="4"/>
      <c r="CJ180" s="4"/>
      <c r="CK180" s="4"/>
      <c r="CL180" s="4"/>
      <c r="CM180" s="4"/>
      <c r="CN180" s="4"/>
      <c r="CO180" s="4"/>
      <c r="CP180" s="4"/>
      <c r="CQ180" s="4"/>
      <c r="CR180" s="4"/>
      <c r="CS180" s="4"/>
      <c r="CT180" s="4"/>
    </row>
    <row r="181" spans="2:98" x14ac:dyDescent="0.2">
      <c r="C181" s="107">
        <f>D27</f>
        <v>0</v>
      </c>
      <c r="D181" s="107">
        <v>0</v>
      </c>
      <c r="G181" s="107">
        <f>H27</f>
        <v>0</v>
      </c>
      <c r="H181" s="107">
        <v>0</v>
      </c>
      <c r="K181" s="107">
        <f>L27</f>
        <v>0</v>
      </c>
      <c r="L181" s="107">
        <v>0</v>
      </c>
      <c r="O181" s="107">
        <f>P27</f>
        <v>0</v>
      </c>
      <c r="P181" s="107">
        <v>0</v>
      </c>
      <c r="S181" s="107">
        <f>T27</f>
        <v>0</v>
      </c>
      <c r="T181" s="107">
        <v>0</v>
      </c>
      <c r="W181" s="107">
        <f>X27</f>
        <v>0</v>
      </c>
      <c r="X181" s="107">
        <v>0</v>
      </c>
      <c r="AA181" s="107">
        <f>AB27</f>
        <v>0</v>
      </c>
      <c r="AB181" s="107">
        <v>0</v>
      </c>
      <c r="AE181" s="107">
        <f>AF27</f>
        <v>0</v>
      </c>
      <c r="AF181" s="107">
        <v>0</v>
      </c>
      <c r="AI181" s="107">
        <f>AJ27</f>
        <v>0</v>
      </c>
      <c r="AJ181" s="107">
        <v>0</v>
      </c>
      <c r="AM181" s="107">
        <f>AN27</f>
        <v>0</v>
      </c>
      <c r="AN181" s="107">
        <v>0</v>
      </c>
      <c r="AQ181" s="107">
        <f>AR27</f>
        <v>0</v>
      </c>
      <c r="AR181" s="107">
        <v>0</v>
      </c>
      <c r="AU181" s="107">
        <f>AV27</f>
        <v>0</v>
      </c>
      <c r="AY181" s="107">
        <f>AZ27</f>
        <v>0</v>
      </c>
      <c r="BC181" s="107">
        <f>BD27</f>
        <v>0</v>
      </c>
    </row>
    <row r="182" spans="2:98" x14ac:dyDescent="0.2">
      <c r="C182" s="107">
        <f>C27</f>
        <v>0</v>
      </c>
      <c r="D182" s="107">
        <v>0</v>
      </c>
      <c r="G182" s="107">
        <f>G27</f>
        <v>0</v>
      </c>
      <c r="H182" s="107">
        <v>0</v>
      </c>
      <c r="K182" s="107">
        <f>K27</f>
        <v>0</v>
      </c>
      <c r="L182" s="107">
        <v>0</v>
      </c>
      <c r="O182" s="107">
        <f>O27</f>
        <v>0</v>
      </c>
      <c r="P182" s="107">
        <v>0</v>
      </c>
      <c r="S182" s="107">
        <f>S27</f>
        <v>0</v>
      </c>
      <c r="T182" s="107">
        <v>0</v>
      </c>
      <c r="W182" s="107">
        <f>W27</f>
        <v>0</v>
      </c>
      <c r="X182" s="107">
        <v>0</v>
      </c>
      <c r="AA182" s="107">
        <f>AA27</f>
        <v>0</v>
      </c>
      <c r="AB182" s="107">
        <v>0</v>
      </c>
      <c r="AE182" s="107">
        <f>AE27</f>
        <v>0</v>
      </c>
      <c r="AF182" s="107">
        <v>0</v>
      </c>
      <c r="AI182" s="107">
        <f>AI27</f>
        <v>0</v>
      </c>
      <c r="AJ182" s="107">
        <v>0</v>
      </c>
      <c r="AM182" s="107">
        <f>AM27</f>
        <v>0</v>
      </c>
      <c r="AN182" s="107">
        <v>0</v>
      </c>
      <c r="AQ182" s="107">
        <f>AQ27</f>
        <v>0</v>
      </c>
      <c r="AR182" s="107">
        <v>0</v>
      </c>
      <c r="AU182" s="107">
        <f>AU27</f>
        <v>0</v>
      </c>
      <c r="AY182" s="107">
        <f>AY27</f>
        <v>0</v>
      </c>
      <c r="BC182" s="107">
        <f>BC27</f>
        <v>0</v>
      </c>
    </row>
  </sheetData>
  <phoneticPr fontId="0" type="noConversion"/>
  <printOptions headings="1"/>
  <pageMargins left="0.75" right="0.75" top="1" bottom="1" header="0.5" footer="0.5"/>
  <pageSetup paperSize="9" scale="80"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00"/>
  <sheetViews>
    <sheetView workbookViewId="0"/>
  </sheetViews>
  <sheetFormatPr defaultColWidth="9.140625" defaultRowHeight="12.75" x14ac:dyDescent="0.2"/>
  <cols>
    <col min="1" max="1" width="13.28515625" style="2" bestFit="1" customWidth="1"/>
    <col min="2" max="2" width="22.85546875" style="1" bestFit="1" customWidth="1"/>
    <col min="3" max="3" width="11.140625" style="1" customWidth="1"/>
    <col min="4" max="4" width="10.28515625" style="1" customWidth="1"/>
    <col min="5" max="29" width="9.140625" style="1"/>
    <col min="30" max="16384" width="9.140625" style="2"/>
  </cols>
  <sheetData>
    <row r="1" spans="1:29" x14ac:dyDescent="0.2">
      <c r="A1" s="2" t="s">
        <v>187</v>
      </c>
      <c r="B1" s="76"/>
    </row>
    <row r="2" spans="1:29" x14ac:dyDescent="0.2">
      <c r="B2" s="76"/>
      <c r="E2" s="52" t="s">
        <v>32</v>
      </c>
      <c r="F2" s="51" t="str">
        <f>'Target Site'!F3</f>
        <v>EXAMPLE CALCULATION</v>
      </c>
      <c r="K2" s="76"/>
    </row>
    <row r="3" spans="1:29" x14ac:dyDescent="0.2">
      <c r="B3" s="76"/>
      <c r="D3" s="51" t="s">
        <v>44</v>
      </c>
      <c r="K3" s="76"/>
    </row>
    <row r="4" spans="1:29" x14ac:dyDescent="0.2">
      <c r="C4" s="3"/>
      <c r="K4" s="76"/>
      <c r="AA4" s="43"/>
    </row>
    <row r="5" spans="1:29" s="1" customFormat="1" x14ac:dyDescent="0.2">
      <c r="B5" s="16" t="s">
        <v>45</v>
      </c>
      <c r="C5" s="27">
        <v>1</v>
      </c>
      <c r="D5" s="27">
        <v>2</v>
      </c>
      <c r="E5" s="27">
        <v>3</v>
      </c>
      <c r="F5" s="27">
        <v>4</v>
      </c>
      <c r="G5" s="27">
        <v>5</v>
      </c>
      <c r="H5" s="27">
        <v>6</v>
      </c>
      <c r="I5" s="27">
        <v>7</v>
      </c>
      <c r="J5" s="27">
        <v>8</v>
      </c>
      <c r="K5" s="27">
        <v>9</v>
      </c>
      <c r="L5" s="27">
        <v>10</v>
      </c>
      <c r="M5" s="27">
        <v>11</v>
      </c>
      <c r="N5" s="27">
        <v>12</v>
      </c>
      <c r="O5" s="27">
        <v>13</v>
      </c>
      <c r="P5" s="27">
        <v>14</v>
      </c>
      <c r="Q5" s="27">
        <v>15</v>
      </c>
      <c r="R5" s="27">
        <v>16</v>
      </c>
      <c r="S5" s="27">
        <v>17</v>
      </c>
      <c r="T5" s="27">
        <v>18</v>
      </c>
      <c r="U5" s="27">
        <v>19</v>
      </c>
      <c r="V5" s="27">
        <v>20</v>
      </c>
      <c r="W5" s="27">
        <v>21</v>
      </c>
      <c r="X5" s="27">
        <v>22</v>
      </c>
      <c r="Y5" s="27">
        <v>23</v>
      </c>
      <c r="Z5" s="27">
        <v>24</v>
      </c>
      <c r="AA5" s="9">
        <v>25</v>
      </c>
    </row>
    <row r="6" spans="1:29" s="1" customFormat="1" x14ac:dyDescent="0.2">
      <c r="B6" s="146" t="s">
        <v>54</v>
      </c>
      <c r="C6" s="25" t="s">
        <v>383</v>
      </c>
      <c r="D6" s="25" t="s">
        <v>294</v>
      </c>
      <c r="E6" s="25" t="s">
        <v>261</v>
      </c>
      <c r="F6" s="25" t="s">
        <v>262</v>
      </c>
      <c r="G6" s="25" t="s">
        <v>263</v>
      </c>
      <c r="H6" s="25" t="s">
        <v>791</v>
      </c>
      <c r="I6" s="25" t="s">
        <v>792</v>
      </c>
      <c r="J6" s="25" t="s">
        <v>793</v>
      </c>
      <c r="K6" s="25" t="s">
        <v>794</v>
      </c>
      <c r="L6" s="25" t="s">
        <v>795</v>
      </c>
      <c r="M6" s="25" t="s">
        <v>796</v>
      </c>
      <c r="N6" s="25" t="s">
        <v>797</v>
      </c>
      <c r="O6" s="25" t="s">
        <v>798</v>
      </c>
      <c r="P6" s="25" t="s">
        <v>799</v>
      </c>
      <c r="Q6" s="25" t="s">
        <v>800</v>
      </c>
      <c r="R6" s="25" t="s">
        <v>801</v>
      </c>
      <c r="S6" s="25" t="s">
        <v>802</v>
      </c>
      <c r="T6" s="25"/>
      <c r="U6" s="25"/>
      <c r="V6" s="25"/>
      <c r="W6" s="25"/>
      <c r="X6" s="25"/>
      <c r="Y6" s="25"/>
      <c r="Z6" s="25"/>
      <c r="AA6" s="25"/>
      <c r="AB6" s="3"/>
      <c r="AC6" s="3"/>
    </row>
    <row r="7" spans="1:29" ht="15.75" x14ac:dyDescent="0.3">
      <c r="B7" s="46" t="s">
        <v>46</v>
      </c>
      <c r="C7" s="26" t="s">
        <v>47</v>
      </c>
      <c r="D7" s="41"/>
      <c r="E7" s="26"/>
      <c r="F7" s="23"/>
      <c r="G7" s="23"/>
      <c r="H7" s="26"/>
      <c r="I7" s="26"/>
      <c r="J7" s="23"/>
      <c r="K7" s="23"/>
      <c r="L7" s="23"/>
      <c r="M7" s="23"/>
      <c r="N7" s="23"/>
      <c r="O7" s="23"/>
      <c r="P7" s="23"/>
      <c r="Q7" s="23"/>
      <c r="R7" s="23"/>
      <c r="S7" s="23"/>
      <c r="T7" s="23"/>
      <c r="U7" s="23"/>
      <c r="V7" s="23"/>
      <c r="W7" s="23"/>
      <c r="X7" s="23"/>
      <c r="Y7" s="23"/>
      <c r="Z7" s="23"/>
      <c r="AA7" s="9"/>
      <c r="AB7" s="3"/>
      <c r="AC7" s="3"/>
    </row>
    <row r="8" spans="1:29" x14ac:dyDescent="0.2">
      <c r="B8" s="467" t="s">
        <v>48</v>
      </c>
      <c r="C8" s="42"/>
      <c r="D8" s="23"/>
      <c r="E8" s="23"/>
      <c r="F8" s="23"/>
      <c r="G8" s="23"/>
      <c r="H8" s="42"/>
      <c r="I8" s="42"/>
      <c r="J8" s="23"/>
      <c r="K8" s="23"/>
      <c r="L8" s="23"/>
      <c r="M8" s="23"/>
      <c r="N8" s="23"/>
      <c r="O8" s="23"/>
      <c r="Q8" s="23"/>
      <c r="R8" s="23"/>
      <c r="S8" s="23"/>
      <c r="T8" s="23"/>
      <c r="U8" s="23"/>
      <c r="V8" s="23"/>
      <c r="W8" s="23"/>
      <c r="X8" s="23"/>
      <c r="Y8" s="23"/>
      <c r="Z8" s="23"/>
      <c r="AA8" s="11"/>
    </row>
    <row r="9" spans="1:29" x14ac:dyDescent="0.2">
      <c r="B9" s="467">
        <v>10</v>
      </c>
      <c r="C9" s="470">
        <v>33.722050999711946</v>
      </c>
      <c r="D9" s="470">
        <v>30.000000351107253</v>
      </c>
      <c r="E9" s="470">
        <v>24.749844533494294</v>
      </c>
      <c r="F9" s="470">
        <v>19.334883293606502</v>
      </c>
      <c r="G9" s="470">
        <v>10.004017574656956</v>
      </c>
      <c r="H9" s="470">
        <v>33.722050999711946</v>
      </c>
      <c r="I9" s="470">
        <v>30.000000351107253</v>
      </c>
      <c r="J9" s="470">
        <v>24.749844533494294</v>
      </c>
      <c r="K9" s="470">
        <v>19.334883293606502</v>
      </c>
      <c r="L9" s="470">
        <v>10.004017574656956</v>
      </c>
      <c r="M9" s="470">
        <v>33.722050999711946</v>
      </c>
      <c r="N9" s="470">
        <v>30.000000351107253</v>
      </c>
      <c r="O9" s="470">
        <v>24.749844533494294</v>
      </c>
      <c r="P9" s="470">
        <v>19.334883293606502</v>
      </c>
      <c r="Q9" s="470">
        <v>10.004017574656956</v>
      </c>
      <c r="R9" s="470">
        <v>14.135730097255273</v>
      </c>
      <c r="S9" s="470">
        <v>17.865112714270218</v>
      </c>
      <c r="T9" s="470"/>
      <c r="U9" s="470"/>
      <c r="V9" s="470"/>
      <c r="W9" s="470"/>
      <c r="X9" s="23"/>
      <c r="Y9" s="23"/>
      <c r="Z9" s="23"/>
      <c r="AA9" s="11"/>
    </row>
    <row r="10" spans="1:29" x14ac:dyDescent="0.2">
      <c r="B10" s="467">
        <v>30</v>
      </c>
      <c r="C10" s="470">
        <v>38.745660371004384</v>
      </c>
      <c r="D10" s="470">
        <v>35.450339911698187</v>
      </c>
      <c r="E10" s="470">
        <v>30.796217508409892</v>
      </c>
      <c r="F10" s="470">
        <v>26.557242222345074</v>
      </c>
      <c r="G10" s="470">
        <v>19.22028197558496</v>
      </c>
      <c r="H10" s="470">
        <v>38.745660371004384</v>
      </c>
      <c r="I10" s="470">
        <v>35.450339911698187</v>
      </c>
      <c r="J10" s="470">
        <v>30.796217508409892</v>
      </c>
      <c r="K10" s="470">
        <v>26.557242222345074</v>
      </c>
      <c r="L10" s="470">
        <v>19.22028197558496</v>
      </c>
      <c r="M10" s="470">
        <v>38.745660371004384</v>
      </c>
      <c r="N10" s="470">
        <v>35.450339911698187</v>
      </c>
      <c r="O10" s="470">
        <v>30.796217508409892</v>
      </c>
      <c r="P10" s="470">
        <v>26.557242222345074</v>
      </c>
      <c r="Q10" s="470">
        <v>19.22028197558496</v>
      </c>
      <c r="R10" s="470">
        <v>22.436296125884805</v>
      </c>
      <c r="S10" s="470">
        <v>25.373696900549731</v>
      </c>
      <c r="T10" s="470"/>
      <c r="U10" s="470"/>
      <c r="V10" s="470"/>
      <c r="W10" s="470"/>
      <c r="X10" s="23"/>
      <c r="Y10" s="23"/>
      <c r="Z10" s="23"/>
      <c r="AA10" s="11"/>
    </row>
    <row r="11" spans="1:29" x14ac:dyDescent="0.2">
      <c r="B11" s="467">
        <v>50</v>
      </c>
      <c r="C11" s="470">
        <v>41.167071852308155</v>
      </c>
      <c r="D11" s="470">
        <v>38.07025530896189</v>
      </c>
      <c r="E11" s="470">
        <v>33.69337127631573</v>
      </c>
      <c r="F11" s="470">
        <v>30.001259865931878</v>
      </c>
      <c r="G11" s="470">
        <v>23.591655898313071</v>
      </c>
      <c r="H11" s="470">
        <v>41.167071852308155</v>
      </c>
      <c r="I11" s="470">
        <v>38.07025530896189</v>
      </c>
      <c r="J11" s="470">
        <v>33.69337127631573</v>
      </c>
      <c r="K11" s="470">
        <v>30.001259865931878</v>
      </c>
      <c r="L11" s="470">
        <v>23.591655898313071</v>
      </c>
      <c r="M11" s="470">
        <v>41.167071852308155</v>
      </c>
      <c r="N11" s="470">
        <v>38.07025530896189</v>
      </c>
      <c r="O11" s="470">
        <v>33.69337127631573</v>
      </c>
      <c r="P11" s="470">
        <v>30.001259865931878</v>
      </c>
      <c r="Q11" s="470">
        <v>23.591655898313071</v>
      </c>
      <c r="R11" s="470">
        <v>26.381831157143946</v>
      </c>
      <c r="S11" s="470">
        <v>28.950913642973056</v>
      </c>
      <c r="T11" s="470"/>
      <c r="U11" s="470"/>
      <c r="V11" s="470"/>
      <c r="W11" s="470"/>
      <c r="X11" s="23"/>
      <c r="Y11" s="23"/>
      <c r="Z11" s="23"/>
      <c r="AA11" s="11"/>
    </row>
    <row r="12" spans="1:29" x14ac:dyDescent="0.2">
      <c r="B12" s="467">
        <v>100</v>
      </c>
      <c r="C12" s="470">
        <v>44.633158430230843</v>
      </c>
      <c r="D12" s="470">
        <v>41.806077399238795</v>
      </c>
      <c r="E12" s="470">
        <v>37.80582156626636</v>
      </c>
      <c r="F12" s="470">
        <v>34.535456782207113</v>
      </c>
      <c r="G12" s="470">
        <v>29.537582426968747</v>
      </c>
      <c r="H12" s="470">
        <v>44.633158430230843</v>
      </c>
      <c r="I12" s="470">
        <v>41.806077399238795</v>
      </c>
      <c r="J12" s="470">
        <v>37.80582156626636</v>
      </c>
      <c r="K12" s="470">
        <v>34.535456782207113</v>
      </c>
      <c r="L12" s="470">
        <v>29.537582426968747</v>
      </c>
      <c r="M12" s="470">
        <v>44.633158430230843</v>
      </c>
      <c r="N12" s="470">
        <v>41.806077399238795</v>
      </c>
      <c r="O12" s="470">
        <v>37.80582156626636</v>
      </c>
      <c r="P12" s="470">
        <v>34.535456782207113</v>
      </c>
      <c r="Q12" s="470">
        <v>29.537582426968747</v>
      </c>
      <c r="R12" s="470">
        <v>31.661727930368496</v>
      </c>
      <c r="S12" s="470">
        <v>33.690703113983517</v>
      </c>
      <c r="T12" s="470"/>
      <c r="U12" s="470"/>
      <c r="V12" s="470"/>
      <c r="W12" s="470"/>
      <c r="X12" s="23"/>
      <c r="Y12" s="23"/>
      <c r="Z12" s="23"/>
      <c r="AA12" s="11"/>
    </row>
    <row r="13" spans="1:29" x14ac:dyDescent="0.2">
      <c r="B13" s="467">
        <v>150</v>
      </c>
      <c r="C13" s="470">
        <v>46.821500703272953</v>
      </c>
      <c r="D13" s="470">
        <v>44.152808126890655</v>
      </c>
      <c r="E13" s="470">
        <v>40.373556360058991</v>
      </c>
      <c r="F13" s="470">
        <v>37.430288089004826</v>
      </c>
      <c r="G13" s="470">
        <v>32.970277554366234</v>
      </c>
      <c r="H13" s="470">
        <v>46.821500703272953</v>
      </c>
      <c r="I13" s="470">
        <v>44.152808126890655</v>
      </c>
      <c r="J13" s="470">
        <v>40.373556360058991</v>
      </c>
      <c r="K13" s="470">
        <v>37.430288089004826</v>
      </c>
      <c r="L13" s="470">
        <v>32.970277554366234</v>
      </c>
      <c r="M13" s="470">
        <v>46.821500703272953</v>
      </c>
      <c r="N13" s="470">
        <v>44.152808126890655</v>
      </c>
      <c r="O13" s="470">
        <v>40.373556360058991</v>
      </c>
      <c r="P13" s="470">
        <v>37.430288089004826</v>
      </c>
      <c r="Q13" s="470">
        <v>32.970277554366234</v>
      </c>
      <c r="R13" s="470">
        <v>34.894346503755536</v>
      </c>
      <c r="S13" s="470">
        <v>36.628936695870628</v>
      </c>
      <c r="T13" s="470"/>
      <c r="U13" s="470"/>
      <c r="V13" s="470"/>
      <c r="W13" s="470"/>
      <c r="X13" s="23"/>
      <c r="Y13" s="23"/>
      <c r="Z13" s="23"/>
      <c r="AA13" s="11"/>
    </row>
    <row r="14" spans="1:29" x14ac:dyDescent="0.2">
      <c r="B14" s="467">
        <v>200</v>
      </c>
      <c r="C14" s="470">
        <v>48.483924696744758</v>
      </c>
      <c r="D14" s="470">
        <v>45.928279415274886</v>
      </c>
      <c r="E14" s="470">
        <v>42.306595853066383</v>
      </c>
      <c r="F14" s="470">
        <v>39.661731445351705</v>
      </c>
      <c r="G14" s="470">
        <v>35.633943675595084</v>
      </c>
      <c r="H14" s="470">
        <v>48.483924696744758</v>
      </c>
      <c r="I14" s="470">
        <v>45.928279415274886</v>
      </c>
      <c r="J14" s="470">
        <v>42.306595853066383</v>
      </c>
      <c r="K14" s="470">
        <v>39.661731445351705</v>
      </c>
      <c r="L14" s="470">
        <v>35.633943675595084</v>
      </c>
      <c r="M14" s="470">
        <v>48.483924696744758</v>
      </c>
      <c r="N14" s="470">
        <v>45.928279415274886</v>
      </c>
      <c r="O14" s="470">
        <v>42.306595853066383</v>
      </c>
      <c r="P14" s="470">
        <v>39.661731445351705</v>
      </c>
      <c r="Q14" s="470">
        <v>35.633943675595084</v>
      </c>
      <c r="R14" s="470">
        <v>37.309471703288786</v>
      </c>
      <c r="S14" s="470">
        <v>38.933034636253474</v>
      </c>
      <c r="T14" s="470"/>
      <c r="U14" s="470"/>
      <c r="V14" s="470"/>
      <c r="W14" s="470"/>
      <c r="X14" s="23"/>
      <c r="Y14" s="23"/>
      <c r="Z14" s="23"/>
      <c r="AA14" s="11"/>
    </row>
    <row r="15" spans="1:29" x14ac:dyDescent="0.2">
      <c r="B15" s="467">
        <v>300</v>
      </c>
      <c r="C15" s="470">
        <v>51.042414152772558</v>
      </c>
      <c r="D15" s="470">
        <v>48.648170179372705</v>
      </c>
      <c r="E15" s="470">
        <v>45.250919703124381</v>
      </c>
      <c r="F15" s="470">
        <v>43.055765714682003</v>
      </c>
      <c r="G15" s="470">
        <v>39.695534607474976</v>
      </c>
      <c r="H15" s="470">
        <v>51.042414152772558</v>
      </c>
      <c r="I15" s="470">
        <v>48.648170179372705</v>
      </c>
      <c r="J15" s="470">
        <v>45.250919703124381</v>
      </c>
      <c r="K15" s="470">
        <v>43.055765714682003</v>
      </c>
      <c r="L15" s="470">
        <v>39.695534607474976</v>
      </c>
      <c r="M15" s="470">
        <v>51.042414152772558</v>
      </c>
      <c r="N15" s="470">
        <v>48.648170179372705</v>
      </c>
      <c r="O15" s="470">
        <v>45.250919703124381</v>
      </c>
      <c r="P15" s="470">
        <v>43.055765714682003</v>
      </c>
      <c r="Q15" s="470">
        <v>39.695534607474976</v>
      </c>
      <c r="R15" s="470">
        <v>40.928788163867878</v>
      </c>
      <c r="S15" s="470">
        <v>42.462062562003844</v>
      </c>
      <c r="T15" s="470"/>
      <c r="U15" s="470"/>
      <c r="V15" s="470"/>
      <c r="W15" s="470"/>
      <c r="X15" s="23"/>
      <c r="Y15" s="23"/>
      <c r="Z15" s="23"/>
      <c r="AA15" s="11"/>
    </row>
    <row r="16" spans="1:29" x14ac:dyDescent="0.2">
      <c r="B16" s="467">
        <v>400</v>
      </c>
      <c r="C16" s="470">
        <v>53.059519937619662</v>
      </c>
      <c r="D16" s="470">
        <v>50.782788829023367</v>
      </c>
      <c r="E16" s="470">
        <v>47.548168916277277</v>
      </c>
      <c r="F16" s="470">
        <v>45.65884102349316</v>
      </c>
      <c r="G16" s="470">
        <v>42.791176812467533</v>
      </c>
      <c r="H16" s="470">
        <v>53.059519937619662</v>
      </c>
      <c r="I16" s="470">
        <v>50.782788829023367</v>
      </c>
      <c r="J16" s="470">
        <v>47.548168916277277</v>
      </c>
      <c r="K16" s="470">
        <v>45.65884102349316</v>
      </c>
      <c r="L16" s="470">
        <v>42.791176812467533</v>
      </c>
      <c r="M16" s="470">
        <v>53.059519937619662</v>
      </c>
      <c r="N16" s="470">
        <v>50.782788829023367</v>
      </c>
      <c r="O16" s="470">
        <v>47.548168916277277</v>
      </c>
      <c r="P16" s="470">
        <v>45.65884102349316</v>
      </c>
      <c r="Q16" s="470">
        <v>42.791176812467533</v>
      </c>
      <c r="R16" s="470">
        <v>43.691381073536135</v>
      </c>
      <c r="S16" s="470">
        <v>45.164987652295075</v>
      </c>
      <c r="T16" s="470"/>
      <c r="U16" s="470"/>
      <c r="V16" s="470"/>
      <c r="W16" s="470"/>
      <c r="X16" s="23"/>
      <c r="Y16" s="23"/>
      <c r="Z16" s="23"/>
      <c r="AA16" s="11"/>
    </row>
    <row r="17" spans="2:27" x14ac:dyDescent="0.2">
      <c r="B17" s="467">
        <v>600</v>
      </c>
      <c r="C17" s="470">
        <v>56.27737264305528</v>
      </c>
      <c r="D17" s="470">
        <v>54.175864123318576</v>
      </c>
      <c r="E17" s="470">
        <v>51.181268465437327</v>
      </c>
      <c r="F17" s="470">
        <v>49.673689786986614</v>
      </c>
      <c r="G17" s="470">
        <v>47.447926931820547</v>
      </c>
      <c r="H17" s="470">
        <v>56.27737264305528</v>
      </c>
      <c r="I17" s="470">
        <v>54.175864123318576</v>
      </c>
      <c r="J17" s="470">
        <v>51.181268465437327</v>
      </c>
      <c r="K17" s="470">
        <v>49.673689786986614</v>
      </c>
      <c r="L17" s="470">
        <v>47.447926931820547</v>
      </c>
      <c r="M17" s="470">
        <v>56.27737264305528</v>
      </c>
      <c r="N17" s="470">
        <v>54.175864123318576</v>
      </c>
      <c r="O17" s="470">
        <v>51.181268465437327</v>
      </c>
      <c r="P17" s="470">
        <v>49.673689786986614</v>
      </c>
      <c r="Q17" s="470">
        <v>47.447926931820547</v>
      </c>
      <c r="R17" s="470">
        <v>47.932614992952097</v>
      </c>
      <c r="S17" s="470">
        <v>49.300552107851665</v>
      </c>
      <c r="T17" s="470"/>
      <c r="U17" s="470"/>
      <c r="V17" s="470"/>
      <c r="W17" s="470"/>
      <c r="X17" s="23"/>
      <c r="Y17" s="23"/>
      <c r="Z17" s="23"/>
      <c r="AA17" s="11"/>
    </row>
    <row r="18" spans="2:27" x14ac:dyDescent="0.2">
      <c r="B18" s="467">
        <v>1000</v>
      </c>
      <c r="C18" s="470">
        <v>61.099736886581091</v>
      </c>
      <c r="D18" s="470">
        <v>59.260808598698652</v>
      </c>
      <c r="E18" s="470">
        <v>56.615429571181416</v>
      </c>
      <c r="F18" s="470">
        <v>55.509497467525271</v>
      </c>
      <c r="G18" s="470">
        <v>53.830669193516123</v>
      </c>
      <c r="H18" s="470">
        <v>61.099736886581091</v>
      </c>
      <c r="I18" s="470">
        <v>59.260808598698652</v>
      </c>
      <c r="J18" s="470">
        <v>56.615429571181416</v>
      </c>
      <c r="K18" s="470">
        <v>55.509497467525271</v>
      </c>
      <c r="L18" s="470">
        <v>53.830669193516123</v>
      </c>
      <c r="M18" s="470">
        <v>61.099736886581091</v>
      </c>
      <c r="N18" s="470">
        <v>59.260808598698652</v>
      </c>
      <c r="O18" s="470">
        <v>56.615429571181416</v>
      </c>
      <c r="P18" s="470">
        <v>55.509497467525271</v>
      </c>
      <c r="Q18" s="470">
        <v>53.830669193516123</v>
      </c>
      <c r="R18" s="470">
        <v>54.021639429963543</v>
      </c>
      <c r="S18" s="470">
        <v>55.23127476213525</v>
      </c>
      <c r="T18" s="470"/>
      <c r="U18" s="470"/>
      <c r="V18" s="470"/>
      <c r="W18" s="470"/>
      <c r="X18" s="23"/>
      <c r="Y18" s="23"/>
      <c r="Z18" s="23"/>
      <c r="AA18" s="11"/>
    </row>
    <row r="19" spans="2:27" x14ac:dyDescent="0.2">
      <c r="B19" s="467">
        <v>2000</v>
      </c>
      <c r="C19" s="470">
        <v>68.584461796234194</v>
      </c>
      <c r="D19" s="470">
        <v>67.385765414662799</v>
      </c>
      <c r="E19" s="470">
        <v>65.53063927540569</v>
      </c>
      <c r="F19" s="470">
        <v>64.960552903398352</v>
      </c>
      <c r="G19" s="470">
        <v>63.542027167350419</v>
      </c>
      <c r="H19" s="470">
        <v>68.584461796234194</v>
      </c>
      <c r="I19" s="470">
        <v>67.385765414662799</v>
      </c>
      <c r="J19" s="470">
        <v>65.53063927540569</v>
      </c>
      <c r="K19" s="470">
        <v>64.960552903398352</v>
      </c>
      <c r="L19" s="470">
        <v>63.542027167350419</v>
      </c>
      <c r="M19" s="470">
        <v>68.584461796234194</v>
      </c>
      <c r="N19" s="470">
        <v>67.385765414662799</v>
      </c>
      <c r="O19" s="470">
        <v>65.53063927540569</v>
      </c>
      <c r="P19" s="470">
        <v>64.960552903398352</v>
      </c>
      <c r="Q19" s="470">
        <v>63.542027167350419</v>
      </c>
      <c r="R19" s="470">
        <v>63.881627993896629</v>
      </c>
      <c r="S19" s="470">
        <v>64.725856131136538</v>
      </c>
      <c r="T19" s="470"/>
      <c r="U19" s="470"/>
      <c r="V19" s="470"/>
      <c r="W19" s="470"/>
      <c r="X19" s="23"/>
      <c r="Y19" s="23"/>
      <c r="Z19" s="23"/>
      <c r="AA19" s="11"/>
    </row>
    <row r="20" spans="2:27" x14ac:dyDescent="0.2">
      <c r="B20" s="467">
        <v>609.57025297165501</v>
      </c>
      <c r="C20" s="470">
        <v>56.413260302865687</v>
      </c>
      <c r="D20" s="470">
        <v>54.318968892170709</v>
      </c>
      <c r="E20" s="470">
        <v>51.334165928365039</v>
      </c>
      <c r="F20" s="470">
        <v>49.840193324350999</v>
      </c>
      <c r="G20" s="470">
        <v>47.636645714315016</v>
      </c>
      <c r="H20" s="470">
        <v>56.413260302865687</v>
      </c>
      <c r="I20" s="470">
        <v>54.318968892170709</v>
      </c>
      <c r="J20" s="470">
        <v>51.334165928365039</v>
      </c>
      <c r="K20" s="470">
        <v>49.840193324350999</v>
      </c>
      <c r="L20" s="470">
        <v>47.636645714315016</v>
      </c>
      <c r="M20" s="470">
        <v>56.413260302865687</v>
      </c>
      <c r="N20" s="470">
        <v>54.318968892170709</v>
      </c>
      <c r="O20" s="470">
        <v>51.334165928365039</v>
      </c>
      <c r="P20" s="470">
        <v>49.840193324350999</v>
      </c>
      <c r="Q20" s="470">
        <v>47.636645714315016</v>
      </c>
      <c r="R20" s="470">
        <v>48.107659455097284</v>
      </c>
      <c r="S20" s="470">
        <v>49.471018852409216</v>
      </c>
      <c r="T20" s="470"/>
      <c r="U20" s="470"/>
      <c r="V20" s="470"/>
      <c r="W20" s="470"/>
      <c r="X20" s="23"/>
      <c r="Y20" s="23"/>
      <c r="Z20" s="23"/>
      <c r="AA20" s="11"/>
    </row>
    <row r="21" spans="2:27" x14ac:dyDescent="0.2">
      <c r="B21" s="467">
        <v>54.3</v>
      </c>
      <c r="C21" s="470">
        <v>41.566640249491748</v>
      </c>
      <c r="D21" s="470">
        <v>38.501896644419361</v>
      </c>
      <c r="E21" s="470">
        <v>34.169803620318504</v>
      </c>
      <c r="F21" s="470">
        <v>30.559445064631046</v>
      </c>
      <c r="G21" s="470">
        <v>24.306230706658486</v>
      </c>
      <c r="H21" s="470">
        <v>41.566640249491748</v>
      </c>
      <c r="I21" s="470">
        <v>38.501896644419361</v>
      </c>
      <c r="J21" s="470">
        <v>34.169803620318504</v>
      </c>
      <c r="K21" s="470">
        <v>30.559445064631046</v>
      </c>
      <c r="L21" s="470">
        <v>24.306230706658486</v>
      </c>
      <c r="M21" s="470">
        <v>41.566640249491748</v>
      </c>
      <c r="N21" s="470">
        <v>38.501896644419361</v>
      </c>
      <c r="O21" s="470">
        <v>34.169803620318504</v>
      </c>
      <c r="P21" s="470">
        <v>30.559445064631046</v>
      </c>
      <c r="Q21" s="470">
        <v>24.306230706658486</v>
      </c>
      <c r="R21" s="470">
        <v>27.024770856791434</v>
      </c>
      <c r="S21" s="470">
        <v>29.537207123338892</v>
      </c>
      <c r="T21" s="470"/>
      <c r="U21" s="470"/>
      <c r="V21" s="470"/>
      <c r="W21" s="470"/>
      <c r="X21" s="23"/>
      <c r="Y21" s="23"/>
      <c r="Z21" s="23"/>
      <c r="AA21" s="11"/>
    </row>
    <row r="22" spans="2:27" x14ac:dyDescent="0.2">
      <c r="B22" s="467">
        <v>90.5</v>
      </c>
      <c r="C22" s="470">
        <v>44.116031069408265</v>
      </c>
      <c r="D22" s="470">
        <v>41.250052076697934</v>
      </c>
      <c r="E22" s="470">
        <v>37.195496825184314</v>
      </c>
      <c r="F22" s="470">
        <v>33.869490129256633</v>
      </c>
      <c r="G22" s="470">
        <v>28.714822307271515</v>
      </c>
      <c r="H22" s="470">
        <v>44.116031069408265</v>
      </c>
      <c r="I22" s="470">
        <v>41.250052076697934</v>
      </c>
      <c r="J22" s="470">
        <v>37.195496825184314</v>
      </c>
      <c r="K22" s="470">
        <v>33.869490129256633</v>
      </c>
      <c r="L22" s="470">
        <v>28.714822307271515</v>
      </c>
      <c r="M22" s="470">
        <v>44.116031069408265</v>
      </c>
      <c r="N22" s="470">
        <v>41.250052076697934</v>
      </c>
      <c r="O22" s="470">
        <v>37.195496825184314</v>
      </c>
      <c r="P22" s="470">
        <v>33.869490129256633</v>
      </c>
      <c r="Q22" s="470">
        <v>28.714822307271515</v>
      </c>
      <c r="R22" s="470">
        <v>30.895939475982747</v>
      </c>
      <c r="S22" s="470">
        <v>33.026963502084648</v>
      </c>
      <c r="T22" s="470"/>
      <c r="U22" s="470"/>
      <c r="V22" s="470"/>
      <c r="W22" s="470"/>
      <c r="X22" s="23"/>
      <c r="Y22" s="23"/>
      <c r="Z22" s="23"/>
      <c r="AA22" s="11"/>
    </row>
    <row r="23" spans="2:27" x14ac:dyDescent="0.2">
      <c r="B23" s="467">
        <v>120.7</v>
      </c>
      <c r="C23" s="470">
        <v>45.629421130453608</v>
      </c>
      <c r="D23" s="470">
        <v>42.87573986311363</v>
      </c>
      <c r="E23" s="470">
        <v>38.97792440805425</v>
      </c>
      <c r="F23" s="470">
        <v>35.841406981413463</v>
      </c>
      <c r="G23" s="470">
        <v>31.082880495667457</v>
      </c>
      <c r="H23" s="470">
        <v>45.629421130453608</v>
      </c>
      <c r="I23" s="470">
        <v>42.87573986311363</v>
      </c>
      <c r="J23" s="470">
        <v>38.97792440805425</v>
      </c>
      <c r="K23" s="470">
        <v>35.841406981413463</v>
      </c>
      <c r="L23" s="470">
        <v>31.082880495667457</v>
      </c>
      <c r="M23" s="470">
        <v>45.629421130453608</v>
      </c>
      <c r="N23" s="470">
        <v>42.87573986311363</v>
      </c>
      <c r="O23" s="470">
        <v>38.97792440805425</v>
      </c>
      <c r="P23" s="470">
        <v>35.841406981413463</v>
      </c>
      <c r="Q23" s="470">
        <v>31.082880495667457</v>
      </c>
      <c r="R23" s="470">
        <v>33.137918865482156</v>
      </c>
      <c r="S23" s="470">
        <v>35.006829680083314</v>
      </c>
      <c r="T23" s="470"/>
      <c r="U23" s="470"/>
      <c r="V23" s="470"/>
      <c r="W23" s="470"/>
      <c r="X23" s="23"/>
      <c r="Y23" s="23"/>
      <c r="Z23" s="23"/>
      <c r="AA23" s="11"/>
    </row>
    <row r="24" spans="2:27" x14ac:dyDescent="0.2">
      <c r="B24" s="467">
        <v>144.80000000000001</v>
      </c>
      <c r="C24" s="470">
        <v>46.624605395550837</v>
      </c>
      <c r="D24" s="470">
        <v>43.942096578803124</v>
      </c>
      <c r="E24" s="470">
        <v>40.143575190895561</v>
      </c>
      <c r="F24" s="470">
        <v>37.166605381189498</v>
      </c>
      <c r="G24" s="470">
        <v>32.656371988175614</v>
      </c>
      <c r="H24" s="470">
        <v>46.624605395550837</v>
      </c>
      <c r="I24" s="470">
        <v>43.942096578803124</v>
      </c>
      <c r="J24" s="470">
        <v>40.143575190895561</v>
      </c>
      <c r="K24" s="470">
        <v>37.166605381189498</v>
      </c>
      <c r="L24" s="470">
        <v>32.656371988175614</v>
      </c>
      <c r="M24" s="470">
        <v>46.624605395550837</v>
      </c>
      <c r="N24" s="470">
        <v>43.942096578803124</v>
      </c>
      <c r="O24" s="470">
        <v>40.143575190895561</v>
      </c>
      <c r="P24" s="470">
        <v>37.166605381189498</v>
      </c>
      <c r="Q24" s="470">
        <v>32.656371988175614</v>
      </c>
      <c r="R24" s="470">
        <v>34.605429120621274</v>
      </c>
      <c r="S24" s="470">
        <v>36.358433028502283</v>
      </c>
      <c r="T24" s="470"/>
      <c r="U24" s="470"/>
      <c r="V24" s="470"/>
      <c r="W24" s="470"/>
      <c r="X24" s="23"/>
      <c r="Y24" s="23"/>
      <c r="Z24" s="23"/>
      <c r="AA24" s="11"/>
    </row>
    <row r="25" spans="2:27" x14ac:dyDescent="0.2">
      <c r="B25" s="467">
        <v>181</v>
      </c>
      <c r="C25" s="470">
        <v>47.894797570686677</v>
      </c>
      <c r="D25" s="470">
        <v>45.299834647911005</v>
      </c>
      <c r="E25" s="470">
        <v>41.62337264691012</v>
      </c>
      <c r="F25" s="470">
        <v>38.871104292161135</v>
      </c>
      <c r="G25" s="470">
        <v>34.688931234696618</v>
      </c>
      <c r="H25" s="470">
        <v>47.894797570686677</v>
      </c>
      <c r="I25" s="470">
        <v>45.299834647911005</v>
      </c>
      <c r="J25" s="470">
        <v>41.62337264691012</v>
      </c>
      <c r="K25" s="470">
        <v>38.871104292161135</v>
      </c>
      <c r="L25" s="470">
        <v>34.688931234696618</v>
      </c>
      <c r="M25" s="470">
        <v>47.894797570686677</v>
      </c>
      <c r="N25" s="470">
        <v>45.299834647911005</v>
      </c>
      <c r="O25" s="470">
        <v>41.62337264691012</v>
      </c>
      <c r="P25" s="470">
        <v>38.871104292161135</v>
      </c>
      <c r="Q25" s="470">
        <v>34.688931234696618</v>
      </c>
      <c r="R25" s="470">
        <v>36.458893000737724</v>
      </c>
      <c r="S25" s="470">
        <v>38.114118020519186</v>
      </c>
      <c r="T25" s="470"/>
      <c r="U25" s="470"/>
      <c r="V25" s="470"/>
      <c r="W25" s="470"/>
      <c r="X25" s="23"/>
      <c r="Y25" s="23"/>
      <c r="Z25" s="23"/>
      <c r="AA25" s="11"/>
    </row>
    <row r="26" spans="2:27" x14ac:dyDescent="0.2">
      <c r="B26" s="46"/>
      <c r="C26" s="427"/>
      <c r="D26" s="54"/>
      <c r="E26" s="54"/>
      <c r="F26" s="54"/>
      <c r="G26" s="54"/>
      <c r="H26" s="54"/>
      <c r="I26" s="54"/>
      <c r="J26" s="54"/>
      <c r="K26" s="23"/>
      <c r="L26" s="54"/>
      <c r="M26" s="54"/>
      <c r="N26" s="54"/>
      <c r="O26" s="54"/>
      <c r="P26" s="54"/>
      <c r="Q26" s="23"/>
      <c r="R26" s="54"/>
      <c r="S26" s="54"/>
      <c r="T26" s="23"/>
      <c r="U26" s="23"/>
      <c r="V26" s="23"/>
      <c r="W26" s="23"/>
      <c r="X26" s="23"/>
      <c r="Y26" s="23"/>
      <c r="Z26" s="23"/>
      <c r="AA26" s="11"/>
    </row>
    <row r="27" spans="2:27" ht="15.75" x14ac:dyDescent="0.3">
      <c r="B27" s="46" t="s">
        <v>49</v>
      </c>
      <c r="C27" s="1095" t="s">
        <v>82</v>
      </c>
      <c r="D27" s="469"/>
      <c r="E27" s="469"/>
      <c r="F27" s="469"/>
      <c r="G27" s="469"/>
      <c r="H27" s="469"/>
      <c r="I27" s="469"/>
      <c r="J27" s="469"/>
      <c r="K27" s="469"/>
      <c r="L27" s="469"/>
      <c r="M27" s="469"/>
      <c r="N27" s="469"/>
      <c r="O27" s="469"/>
      <c r="P27" s="469"/>
      <c r="Q27" s="469"/>
      <c r="R27" s="469"/>
      <c r="S27" s="469"/>
      <c r="T27" s="469"/>
      <c r="U27" s="469"/>
      <c r="V27" s="469"/>
      <c r="W27" s="469"/>
      <c r="X27" s="23"/>
      <c r="Y27" s="23"/>
      <c r="Z27" s="23"/>
      <c r="AA27" s="11"/>
    </row>
    <row r="28" spans="2:27" x14ac:dyDescent="0.2">
      <c r="B28" s="468" t="s">
        <v>83</v>
      </c>
      <c r="C28" s="469">
        <v>3</v>
      </c>
      <c r="D28" s="469">
        <v>3</v>
      </c>
      <c r="E28" s="469">
        <v>3</v>
      </c>
      <c r="F28" s="469">
        <v>3</v>
      </c>
      <c r="G28" s="469">
        <v>3</v>
      </c>
      <c r="H28" s="469">
        <v>3</v>
      </c>
      <c r="I28" s="469">
        <v>3</v>
      </c>
      <c r="J28" s="469">
        <v>3</v>
      </c>
      <c r="K28" s="469">
        <v>3</v>
      </c>
      <c r="L28" s="469">
        <v>3</v>
      </c>
      <c r="M28" s="469">
        <v>3</v>
      </c>
      <c r="N28" s="469">
        <v>3</v>
      </c>
      <c r="O28" s="469">
        <v>3</v>
      </c>
      <c r="P28" s="469">
        <v>3</v>
      </c>
      <c r="Q28" s="469">
        <v>3</v>
      </c>
      <c r="R28" s="469">
        <v>3</v>
      </c>
      <c r="S28" s="469">
        <v>3</v>
      </c>
      <c r="T28" s="469"/>
      <c r="U28" s="469"/>
      <c r="V28" s="469"/>
      <c r="W28" s="469"/>
      <c r="X28" s="23"/>
      <c r="Y28" s="23"/>
      <c r="Z28" s="23"/>
      <c r="AA28" s="11"/>
    </row>
    <row r="29" spans="2:27" x14ac:dyDescent="0.2">
      <c r="B29" s="467" t="s">
        <v>48</v>
      </c>
      <c r="C29" s="470"/>
      <c r="D29" s="470"/>
      <c r="E29" s="470"/>
      <c r="F29" s="470"/>
      <c r="G29" s="470"/>
      <c r="H29" s="470"/>
      <c r="I29" s="470"/>
      <c r="J29" s="470"/>
      <c r="K29" s="470"/>
      <c r="L29" s="470"/>
      <c r="M29" s="470"/>
      <c r="N29" s="470"/>
      <c r="O29" s="470"/>
      <c r="P29" s="470"/>
      <c r="Q29" s="470"/>
      <c r="R29" s="470"/>
      <c r="S29" s="470"/>
      <c r="T29" s="470"/>
      <c r="U29" s="470"/>
      <c r="V29" s="470"/>
      <c r="W29" s="470"/>
      <c r="X29" s="23"/>
      <c r="Y29" s="23"/>
      <c r="Z29" s="23"/>
      <c r="AA29" s="11"/>
    </row>
    <row r="30" spans="2:27" x14ac:dyDescent="0.2">
      <c r="B30" s="467">
        <v>10</v>
      </c>
      <c r="C30" s="470">
        <v>48.102793123079266</v>
      </c>
      <c r="D30" s="470">
        <v>45.038340366451564</v>
      </c>
      <c r="E30" s="470">
        <v>40.541148308706809</v>
      </c>
      <c r="F30" s="470">
        <v>35.812252047893033</v>
      </c>
      <c r="G30" s="470">
        <v>27.031162156516487</v>
      </c>
      <c r="H30" s="470">
        <v>48.102793123079266</v>
      </c>
      <c r="I30" s="470">
        <v>45.038340366451564</v>
      </c>
      <c r="J30" s="470">
        <v>40.541148308706809</v>
      </c>
      <c r="K30" s="470">
        <v>35.812252047893033</v>
      </c>
      <c r="L30" s="470">
        <v>27.031162156516487</v>
      </c>
      <c r="M30" s="470">
        <v>48.102793123079266</v>
      </c>
      <c r="N30" s="470">
        <v>45.038340366451564</v>
      </c>
      <c r="O30" s="470">
        <v>40.541148308706809</v>
      </c>
      <c r="P30" s="470">
        <v>35.812252047893033</v>
      </c>
      <c r="Q30" s="470">
        <v>27.031162156516487</v>
      </c>
      <c r="R30" s="470">
        <v>30.990942773722704</v>
      </c>
      <c r="S30" s="470">
        <v>34.468886832905426</v>
      </c>
      <c r="T30" s="470"/>
      <c r="U30" s="470"/>
      <c r="V30" s="470"/>
      <c r="W30" s="470"/>
      <c r="X30" s="23"/>
      <c r="Y30" s="23"/>
      <c r="Z30" s="23"/>
      <c r="AA30" s="11"/>
    </row>
    <row r="31" spans="2:27" x14ac:dyDescent="0.2">
      <c r="B31" s="467">
        <v>30</v>
      </c>
      <c r="C31" s="470">
        <v>53.739940925977272</v>
      </c>
      <c r="D31" s="470">
        <v>51.435999466284294</v>
      </c>
      <c r="E31" s="470">
        <v>47.997437306770834</v>
      </c>
      <c r="F31" s="470">
        <v>45.010670490712613</v>
      </c>
      <c r="G31" s="470">
        <v>38.994565998915057</v>
      </c>
      <c r="H31" s="470">
        <v>53.739940925977272</v>
      </c>
      <c r="I31" s="470">
        <v>51.435999466284294</v>
      </c>
      <c r="J31" s="470">
        <v>47.997437306770834</v>
      </c>
      <c r="K31" s="470">
        <v>45.010670490712613</v>
      </c>
      <c r="L31" s="470">
        <v>38.994565998915057</v>
      </c>
      <c r="M31" s="470">
        <v>53.739940925977272</v>
      </c>
      <c r="N31" s="470">
        <v>51.435999466284294</v>
      </c>
      <c r="O31" s="470">
        <v>47.997437306770834</v>
      </c>
      <c r="P31" s="470">
        <v>45.010670490712613</v>
      </c>
      <c r="Q31" s="470">
        <v>38.994565998915057</v>
      </c>
      <c r="R31" s="470">
        <v>41.709077359969854</v>
      </c>
      <c r="S31" s="470">
        <v>44.089459591325067</v>
      </c>
      <c r="T31" s="470"/>
      <c r="U31" s="470"/>
      <c r="V31" s="470"/>
      <c r="W31" s="470"/>
      <c r="X31" s="23"/>
      <c r="Y31" s="23"/>
      <c r="Z31" s="23"/>
      <c r="AA31" s="11"/>
    </row>
    <row r="32" spans="2:27" x14ac:dyDescent="0.2">
      <c r="B32" s="467">
        <v>50</v>
      </c>
      <c r="C32" s="470">
        <v>56.11105813914309</v>
      </c>
      <c r="D32" s="470">
        <v>54.213739825697772</v>
      </c>
      <c r="E32" s="470">
        <v>51.342943820690365</v>
      </c>
      <c r="F32" s="470">
        <v>49.203429554480323</v>
      </c>
      <c r="G32" s="470">
        <v>44.541377128854414</v>
      </c>
      <c r="H32" s="470">
        <v>56.11105813914309</v>
      </c>
      <c r="I32" s="470">
        <v>54.213739825697772</v>
      </c>
      <c r="J32" s="470">
        <v>51.342943820690365</v>
      </c>
      <c r="K32" s="470">
        <v>49.203429554480323</v>
      </c>
      <c r="L32" s="470">
        <v>44.541377128854414</v>
      </c>
      <c r="M32" s="470">
        <v>56.11105813914309</v>
      </c>
      <c r="N32" s="470">
        <v>54.213739825697772</v>
      </c>
      <c r="O32" s="470">
        <v>51.342943820690365</v>
      </c>
      <c r="P32" s="470">
        <v>49.203429554480323</v>
      </c>
      <c r="Q32" s="470">
        <v>44.541377128854414</v>
      </c>
      <c r="R32" s="470">
        <v>46.659581374913557</v>
      </c>
      <c r="S32" s="470">
        <v>48.494260793047843</v>
      </c>
      <c r="T32" s="470"/>
      <c r="U32" s="470"/>
      <c r="V32" s="470"/>
      <c r="W32" s="470"/>
      <c r="X32" s="23"/>
      <c r="Y32" s="23"/>
      <c r="Z32" s="23"/>
      <c r="AA32" s="11"/>
    </row>
    <row r="33" spans="2:27" x14ac:dyDescent="0.2">
      <c r="B33" s="467">
        <v>100</v>
      </c>
      <c r="C33" s="470">
        <v>58.916977430221536</v>
      </c>
      <c r="D33" s="470">
        <v>57.61544200024926</v>
      </c>
      <c r="E33" s="470">
        <v>55.600713256086053</v>
      </c>
      <c r="F33" s="470">
        <v>54.196623684488358</v>
      </c>
      <c r="G33" s="470">
        <v>51.623020572195671</v>
      </c>
      <c r="H33" s="470">
        <v>58.916977430221536</v>
      </c>
      <c r="I33" s="470">
        <v>57.61544200024926</v>
      </c>
      <c r="J33" s="470">
        <v>55.600713256086053</v>
      </c>
      <c r="K33" s="470">
        <v>54.196623684488358</v>
      </c>
      <c r="L33" s="470">
        <v>51.623020572195671</v>
      </c>
      <c r="M33" s="470">
        <v>58.916977430221536</v>
      </c>
      <c r="N33" s="470">
        <v>57.61544200024926</v>
      </c>
      <c r="O33" s="470">
        <v>55.600713256086053</v>
      </c>
      <c r="P33" s="470">
        <v>54.196623684488358</v>
      </c>
      <c r="Q33" s="470">
        <v>51.623020572195671</v>
      </c>
      <c r="R33" s="470">
        <v>52.846575621201083</v>
      </c>
      <c r="S33" s="470">
        <v>53.801514256268312</v>
      </c>
      <c r="T33" s="470"/>
      <c r="U33" s="470"/>
      <c r="V33" s="470"/>
      <c r="W33" s="470"/>
      <c r="X33" s="23"/>
      <c r="Y33" s="23"/>
      <c r="Z33" s="23"/>
      <c r="AA33" s="11"/>
    </row>
    <row r="34" spans="2:27" x14ac:dyDescent="0.2">
      <c r="B34" s="467">
        <v>150</v>
      </c>
      <c r="C34" s="428">
        <v>60.346274888667736</v>
      </c>
      <c r="D34" s="470">
        <v>59.382414267337779</v>
      </c>
      <c r="E34" s="470">
        <v>57.882327717702452</v>
      </c>
      <c r="F34" s="470">
        <v>56.839299521318949</v>
      </c>
      <c r="G34" s="470">
        <v>55.17556993023355</v>
      </c>
      <c r="H34" s="470">
        <v>60.346274888667736</v>
      </c>
      <c r="I34" s="470">
        <v>59.382414267337779</v>
      </c>
      <c r="J34" s="470">
        <v>57.882327717702452</v>
      </c>
      <c r="K34" s="470">
        <v>56.839299521318949</v>
      </c>
      <c r="L34" s="470">
        <v>55.17556993023355</v>
      </c>
      <c r="M34" s="470">
        <v>60.346274888667736</v>
      </c>
      <c r="N34" s="470">
        <v>59.382414267337779</v>
      </c>
      <c r="O34" s="470">
        <v>57.882327717702452</v>
      </c>
      <c r="P34" s="470">
        <v>56.839299521318949</v>
      </c>
      <c r="Q34" s="470">
        <v>55.17556993023355</v>
      </c>
      <c r="R34" s="470">
        <v>56.088854182892376</v>
      </c>
      <c r="S34" s="470">
        <v>56.535353210462915</v>
      </c>
      <c r="T34" s="470"/>
      <c r="U34" s="470"/>
      <c r="V34" s="470"/>
      <c r="W34" s="470"/>
      <c r="X34" s="23"/>
      <c r="Y34" s="23"/>
      <c r="Z34" s="23"/>
      <c r="AA34" s="11"/>
    </row>
    <row r="35" spans="2:27" x14ac:dyDescent="0.2">
      <c r="B35" s="467">
        <v>200</v>
      </c>
      <c r="C35" s="470">
        <v>61.322876469681731</v>
      </c>
      <c r="D35" s="470">
        <v>60.569492222513034</v>
      </c>
      <c r="E35" s="470">
        <v>59.411042312542676</v>
      </c>
      <c r="F35" s="470">
        <v>58.574260687267653</v>
      </c>
      <c r="G35" s="470">
        <v>57.514594234246943</v>
      </c>
      <c r="H35" s="470">
        <v>61.322876469681731</v>
      </c>
      <c r="I35" s="470">
        <v>60.569492222513034</v>
      </c>
      <c r="J35" s="470">
        <v>59.411042312542676</v>
      </c>
      <c r="K35" s="470">
        <v>58.574260687267653</v>
      </c>
      <c r="L35" s="470">
        <v>57.514594234246943</v>
      </c>
      <c r="M35" s="470">
        <v>61.322876469681731</v>
      </c>
      <c r="N35" s="470">
        <v>60.569492222513034</v>
      </c>
      <c r="O35" s="470">
        <v>59.411042312542676</v>
      </c>
      <c r="P35" s="470">
        <v>58.574260687267653</v>
      </c>
      <c r="Q35" s="470">
        <v>57.514594234246943</v>
      </c>
      <c r="R35" s="470">
        <v>58.128731575046864</v>
      </c>
      <c r="S35" s="470">
        <v>58.357883484568234</v>
      </c>
      <c r="T35" s="470"/>
      <c r="U35" s="470"/>
      <c r="V35" s="470"/>
      <c r="W35" s="470"/>
      <c r="X35" s="23"/>
      <c r="Y35" s="23"/>
      <c r="Z35" s="23"/>
      <c r="AA35" s="11"/>
    </row>
    <row r="36" spans="2:27" x14ac:dyDescent="0.2">
      <c r="B36" s="467">
        <v>300</v>
      </c>
      <c r="C36" s="470">
        <v>62.787575745445139</v>
      </c>
      <c r="D36" s="470">
        <v>62.26240850301771</v>
      </c>
      <c r="E36" s="470">
        <v>61.507195082562802</v>
      </c>
      <c r="F36" s="470">
        <v>60.79492608963757</v>
      </c>
      <c r="G36" s="470">
        <v>60.371138719373775</v>
      </c>
      <c r="H36" s="470">
        <v>62.787575745445139</v>
      </c>
      <c r="I36" s="470">
        <v>62.26240850301771</v>
      </c>
      <c r="J36" s="470">
        <v>61.507195082562802</v>
      </c>
      <c r="K36" s="470">
        <v>60.79492608963757</v>
      </c>
      <c r="L36" s="470">
        <v>60.371138719373775</v>
      </c>
      <c r="M36" s="470">
        <v>62.787575745445139</v>
      </c>
      <c r="N36" s="470">
        <v>62.26240850301771</v>
      </c>
      <c r="O36" s="470">
        <v>61.507195082562802</v>
      </c>
      <c r="P36" s="470">
        <v>60.79492608963757</v>
      </c>
      <c r="Q36" s="470">
        <v>60.371138719373775</v>
      </c>
      <c r="R36" s="470">
        <v>60.54077219772995</v>
      </c>
      <c r="S36" s="470">
        <v>60.691012436284829</v>
      </c>
      <c r="T36" s="470"/>
      <c r="U36" s="470"/>
      <c r="V36" s="470"/>
      <c r="W36" s="470"/>
      <c r="X36" s="23"/>
      <c r="Y36" s="23"/>
      <c r="Z36" s="23"/>
      <c r="AA36" s="11"/>
    </row>
    <row r="37" spans="2:27" x14ac:dyDescent="0.2">
      <c r="B37" s="467">
        <v>400</v>
      </c>
      <c r="C37" s="470">
        <v>63.999120314374643</v>
      </c>
      <c r="D37" s="470">
        <v>63.581581770128786</v>
      </c>
      <c r="E37" s="470">
        <v>63.036229281601678</v>
      </c>
      <c r="F37" s="470">
        <v>62.279360659599632</v>
      </c>
      <c r="G37" s="470">
        <v>62.054385187975839</v>
      </c>
      <c r="H37" s="470">
        <v>63.999120314374643</v>
      </c>
      <c r="I37" s="470">
        <v>63.581581770128786</v>
      </c>
      <c r="J37" s="470">
        <v>63.036229281601678</v>
      </c>
      <c r="K37" s="470">
        <v>62.279360659599632</v>
      </c>
      <c r="L37" s="470">
        <v>62.054385187975839</v>
      </c>
      <c r="M37" s="470">
        <v>63.999120314374643</v>
      </c>
      <c r="N37" s="470">
        <v>63.581581770128786</v>
      </c>
      <c r="O37" s="470">
        <v>63.036229281601678</v>
      </c>
      <c r="P37" s="470">
        <v>62.279360659599632</v>
      </c>
      <c r="Q37" s="470">
        <v>62.054385187975839</v>
      </c>
      <c r="R37" s="470">
        <v>61.959445171926198</v>
      </c>
      <c r="S37" s="470">
        <v>62.221154517878645</v>
      </c>
      <c r="T37" s="470"/>
      <c r="U37" s="470"/>
      <c r="V37" s="470"/>
      <c r="W37" s="470"/>
      <c r="X37" s="23"/>
      <c r="Y37" s="23"/>
      <c r="Z37" s="23"/>
      <c r="AA37" s="11"/>
    </row>
    <row r="38" spans="2:27" x14ac:dyDescent="0.2">
      <c r="B38" s="467">
        <v>600</v>
      </c>
      <c r="C38" s="470">
        <v>66.077640821602358</v>
      </c>
      <c r="D38" s="470">
        <v>65.758100565971787</v>
      </c>
      <c r="E38" s="470">
        <v>65.407311964685789</v>
      </c>
      <c r="F38" s="470">
        <v>64.479527564715909</v>
      </c>
      <c r="G38" s="470">
        <v>64.108418474814641</v>
      </c>
      <c r="H38" s="470">
        <v>66.077640821602358</v>
      </c>
      <c r="I38" s="470">
        <v>65.758100565971787</v>
      </c>
      <c r="J38" s="470">
        <v>65.407311964685789</v>
      </c>
      <c r="K38" s="470">
        <v>64.479527564715909</v>
      </c>
      <c r="L38" s="470">
        <v>64.108418474814641</v>
      </c>
      <c r="M38" s="470">
        <v>66.077640821602358</v>
      </c>
      <c r="N38" s="470">
        <v>65.758100565971787</v>
      </c>
      <c r="O38" s="470">
        <v>65.407311964685789</v>
      </c>
      <c r="P38" s="470">
        <v>64.479527564715909</v>
      </c>
      <c r="Q38" s="470">
        <v>64.108418474814641</v>
      </c>
      <c r="R38" s="470">
        <v>63.81282036816819</v>
      </c>
      <c r="S38" s="470">
        <v>64.41602619562893</v>
      </c>
      <c r="T38" s="470"/>
      <c r="U38" s="470"/>
      <c r="V38" s="470"/>
      <c r="W38" s="470"/>
      <c r="X38" s="23"/>
      <c r="Y38" s="23"/>
      <c r="Z38" s="23"/>
      <c r="AA38" s="11"/>
    </row>
    <row r="39" spans="2:27" x14ac:dyDescent="0.2">
      <c r="B39" s="467">
        <v>1000</v>
      </c>
      <c r="C39" s="470">
        <v>69.239446286041741</v>
      </c>
      <c r="D39" s="470">
        <v>69.044071995129642</v>
      </c>
      <c r="E39" s="470">
        <v>68.874710736967984</v>
      </c>
      <c r="F39" s="470">
        <v>67.843004566826735</v>
      </c>
      <c r="G39" s="470">
        <v>66.803445477072771</v>
      </c>
      <c r="H39" s="470">
        <v>69.239446286041741</v>
      </c>
      <c r="I39" s="470">
        <v>69.044071995129642</v>
      </c>
      <c r="J39" s="470">
        <v>68.874710736967984</v>
      </c>
      <c r="K39" s="470">
        <v>67.843004566826735</v>
      </c>
      <c r="L39" s="470">
        <v>66.803445477072771</v>
      </c>
      <c r="M39" s="470">
        <v>69.239446286041741</v>
      </c>
      <c r="N39" s="470">
        <v>69.044071995129642</v>
      </c>
      <c r="O39" s="470">
        <v>68.874710736967984</v>
      </c>
      <c r="P39" s="470">
        <v>67.843004566826735</v>
      </c>
      <c r="Q39" s="470">
        <v>66.803445477072771</v>
      </c>
      <c r="R39" s="470">
        <v>66.649420527519638</v>
      </c>
      <c r="S39" s="470">
        <v>67.67732372646546</v>
      </c>
      <c r="T39" s="470"/>
      <c r="U39" s="470"/>
      <c r="V39" s="470"/>
      <c r="W39" s="470"/>
      <c r="X39" s="23"/>
      <c r="Y39" s="23"/>
      <c r="Z39" s="23"/>
      <c r="AA39" s="11"/>
    </row>
    <row r="40" spans="2:27" x14ac:dyDescent="0.2">
      <c r="B40" s="467">
        <v>2000</v>
      </c>
      <c r="C40" s="470">
        <v>72.923143028029273</v>
      </c>
      <c r="D40" s="470">
        <v>73.116964883224625</v>
      </c>
      <c r="E40" s="470">
        <v>73.401215775161745</v>
      </c>
      <c r="F40" s="470">
        <v>72.831129403154421</v>
      </c>
      <c r="G40" s="470">
        <v>71.412603667106481</v>
      </c>
      <c r="H40" s="470">
        <v>72.923143028029273</v>
      </c>
      <c r="I40" s="470">
        <v>73.116964883224625</v>
      </c>
      <c r="J40" s="470">
        <v>73.401215775161745</v>
      </c>
      <c r="K40" s="470">
        <v>72.831129403154421</v>
      </c>
      <c r="L40" s="470">
        <v>71.412603667106481</v>
      </c>
      <c r="M40" s="470">
        <v>72.923143028029273</v>
      </c>
      <c r="N40" s="470">
        <v>73.116964883224625</v>
      </c>
      <c r="O40" s="470">
        <v>73.401215775161745</v>
      </c>
      <c r="P40" s="470">
        <v>72.831129403154421</v>
      </c>
      <c r="Q40" s="470">
        <v>71.412603667106481</v>
      </c>
      <c r="R40" s="470">
        <v>71.752204493652698</v>
      </c>
      <c r="S40" s="470">
        <v>72.596432630892593</v>
      </c>
      <c r="T40" s="470"/>
      <c r="U40" s="470"/>
      <c r="V40" s="470"/>
      <c r="W40" s="470"/>
      <c r="X40" s="23"/>
      <c r="Y40" s="23"/>
      <c r="Z40" s="23"/>
      <c r="AA40" s="11"/>
    </row>
    <row r="41" spans="2:27" x14ac:dyDescent="0.2">
      <c r="B41" s="467">
        <v>609.57025297165501</v>
      </c>
      <c r="C41" s="470">
        <v>66.167988079206623</v>
      </c>
      <c r="D41" s="470">
        <v>65.851717313452838</v>
      </c>
      <c r="E41" s="470">
        <v>65.50682903978732</v>
      </c>
      <c r="F41" s="470">
        <v>64.572108465182779</v>
      </c>
      <c r="G41" s="470">
        <v>64.186091618094707</v>
      </c>
      <c r="H41" s="470">
        <v>66.167988079206623</v>
      </c>
      <c r="I41" s="470">
        <v>65.851717313452838</v>
      </c>
      <c r="J41" s="470">
        <v>65.50682903978732</v>
      </c>
      <c r="K41" s="470">
        <v>64.572108465182779</v>
      </c>
      <c r="L41" s="470">
        <v>64.186091618094707</v>
      </c>
      <c r="M41" s="470">
        <v>66.167988079206623</v>
      </c>
      <c r="N41" s="470">
        <v>65.851717313452838</v>
      </c>
      <c r="O41" s="470">
        <v>65.50682903978732</v>
      </c>
      <c r="P41" s="470">
        <v>64.572108465182779</v>
      </c>
      <c r="Q41" s="470">
        <v>64.186091618094707</v>
      </c>
      <c r="R41" s="470">
        <v>63.88794179166797</v>
      </c>
      <c r="S41" s="470">
        <v>64.506777154623606</v>
      </c>
      <c r="T41" s="470"/>
      <c r="U41" s="470"/>
      <c r="V41" s="470"/>
      <c r="W41" s="470"/>
      <c r="X41" s="23"/>
      <c r="Y41" s="23"/>
      <c r="Z41" s="23"/>
      <c r="AA41" s="11"/>
    </row>
    <row r="42" spans="2:27" x14ac:dyDescent="0.2">
      <c r="B42" s="467">
        <v>54.3</v>
      </c>
      <c r="C42" s="470">
        <v>56.471622481844499</v>
      </c>
      <c r="D42" s="470">
        <v>54.643316231894275</v>
      </c>
      <c r="E42" s="470">
        <v>51.869707627675282</v>
      </c>
      <c r="F42" s="470">
        <v>49.858048908350071</v>
      </c>
      <c r="G42" s="470">
        <v>45.428010230541659</v>
      </c>
      <c r="H42" s="470">
        <v>56.471622481844499</v>
      </c>
      <c r="I42" s="470">
        <v>54.643316231894275</v>
      </c>
      <c r="J42" s="470">
        <v>51.869707627675282</v>
      </c>
      <c r="K42" s="470">
        <v>49.858048908350071</v>
      </c>
      <c r="L42" s="470">
        <v>45.428010230541659</v>
      </c>
      <c r="M42" s="470">
        <v>56.471622481844499</v>
      </c>
      <c r="N42" s="470">
        <v>54.643316231894275</v>
      </c>
      <c r="O42" s="470">
        <v>51.869707627675282</v>
      </c>
      <c r="P42" s="470">
        <v>49.858048908350071</v>
      </c>
      <c r="Q42" s="470">
        <v>45.428010230541659</v>
      </c>
      <c r="R42" s="470">
        <v>47.446644329448958</v>
      </c>
      <c r="S42" s="470">
        <v>49.19021436667402</v>
      </c>
      <c r="T42" s="470"/>
      <c r="U42" s="470"/>
      <c r="V42" s="470"/>
      <c r="W42" s="470"/>
      <c r="X42" s="23"/>
      <c r="Y42" s="23"/>
      <c r="Z42" s="23"/>
      <c r="AA42" s="11"/>
    </row>
    <row r="43" spans="2:27" x14ac:dyDescent="0.2">
      <c r="B43" s="467">
        <v>90.5</v>
      </c>
      <c r="C43" s="470">
        <v>58.544139815903819</v>
      </c>
      <c r="D43" s="470">
        <v>57.156046442509471</v>
      </c>
      <c r="E43" s="470">
        <v>55.013818988293266</v>
      </c>
      <c r="F43" s="470">
        <v>53.52356669991903</v>
      </c>
      <c r="G43" s="470">
        <v>50.692912747252194</v>
      </c>
      <c r="H43" s="470">
        <v>58.544139815903819</v>
      </c>
      <c r="I43" s="470">
        <v>57.156046442509471</v>
      </c>
      <c r="J43" s="470">
        <v>55.013818988293266</v>
      </c>
      <c r="K43" s="470">
        <v>53.52356669991903</v>
      </c>
      <c r="L43" s="470">
        <v>50.692912747252194</v>
      </c>
      <c r="M43" s="470">
        <v>58.544139815903819</v>
      </c>
      <c r="N43" s="470">
        <v>57.156046442509471</v>
      </c>
      <c r="O43" s="470">
        <v>55.013818988293266</v>
      </c>
      <c r="P43" s="470">
        <v>53.52356669991903</v>
      </c>
      <c r="Q43" s="470">
        <v>50.692912747252194</v>
      </c>
      <c r="R43" s="470">
        <v>52.004605208016727</v>
      </c>
      <c r="S43" s="470">
        <v>53.116124340940218</v>
      </c>
      <c r="T43" s="470"/>
      <c r="U43" s="470"/>
      <c r="V43" s="470"/>
      <c r="W43" s="470"/>
      <c r="X43" s="23"/>
      <c r="Y43" s="23"/>
      <c r="Z43" s="23"/>
      <c r="AA43" s="11"/>
    </row>
    <row r="44" spans="2:27" x14ac:dyDescent="0.2">
      <c r="B44" s="467">
        <v>120.7</v>
      </c>
      <c r="C44" s="470">
        <v>59.594694616017385</v>
      </c>
      <c r="D44" s="470">
        <v>58.453719513157033</v>
      </c>
      <c r="E44" s="470">
        <v>56.679760447482813</v>
      </c>
      <c r="F44" s="470">
        <v>55.445499671333053</v>
      </c>
      <c r="G44" s="470">
        <v>53.29445438752974</v>
      </c>
      <c r="H44" s="470">
        <v>59.594694616017385</v>
      </c>
      <c r="I44" s="470">
        <v>58.453719513157033</v>
      </c>
      <c r="J44" s="470">
        <v>56.679760447482813</v>
      </c>
      <c r="K44" s="470">
        <v>55.445499671333053</v>
      </c>
      <c r="L44" s="470">
        <v>53.29445438752974</v>
      </c>
      <c r="M44" s="470">
        <v>59.594694616017385</v>
      </c>
      <c r="N44" s="470">
        <v>58.453719513157033</v>
      </c>
      <c r="O44" s="470">
        <v>56.679760447482813</v>
      </c>
      <c r="P44" s="470">
        <v>55.445499671333053</v>
      </c>
      <c r="Q44" s="470">
        <v>53.29445438752974</v>
      </c>
      <c r="R44" s="470">
        <v>54.393766297806238</v>
      </c>
      <c r="S44" s="470">
        <v>55.085527579463673</v>
      </c>
      <c r="T44" s="470"/>
      <c r="U44" s="470"/>
      <c r="V44" s="470"/>
      <c r="W44" s="470"/>
      <c r="X44" s="23"/>
      <c r="Y44" s="23"/>
      <c r="Z44" s="23"/>
      <c r="AA44" s="11"/>
    </row>
    <row r="45" spans="2:27" x14ac:dyDescent="0.2">
      <c r="B45" s="467">
        <v>144.80000000000001</v>
      </c>
      <c r="C45" s="470">
        <v>60.225873224480523</v>
      </c>
      <c r="D45" s="470">
        <v>59.234106976603556</v>
      </c>
      <c r="E45" s="470">
        <v>57.690176302858021</v>
      </c>
      <c r="F45" s="470">
        <v>56.617398461597531</v>
      </c>
      <c r="G45" s="470">
        <v>54.875325013001472</v>
      </c>
      <c r="H45" s="470">
        <v>60.225873224480523</v>
      </c>
      <c r="I45" s="470">
        <v>59.234106976603556</v>
      </c>
      <c r="J45" s="470">
        <v>57.690176302858021</v>
      </c>
      <c r="K45" s="470">
        <v>56.617398461597531</v>
      </c>
      <c r="L45" s="470">
        <v>54.875325013001472</v>
      </c>
      <c r="M45" s="470">
        <v>60.225873224480523</v>
      </c>
      <c r="N45" s="470">
        <v>59.234106976603556</v>
      </c>
      <c r="O45" s="470">
        <v>57.690176302858021</v>
      </c>
      <c r="P45" s="470">
        <v>56.617398461597531</v>
      </c>
      <c r="Q45" s="470">
        <v>54.875325013001472</v>
      </c>
      <c r="R45" s="470">
        <v>55.82173417832874</v>
      </c>
      <c r="S45" s="470">
        <v>56.303488952766841</v>
      </c>
      <c r="T45" s="470"/>
      <c r="U45" s="470"/>
      <c r="V45" s="470"/>
      <c r="W45" s="470"/>
      <c r="X45" s="23"/>
      <c r="Y45" s="23"/>
      <c r="Z45" s="23"/>
      <c r="AA45" s="11"/>
    </row>
    <row r="46" spans="2:27" x14ac:dyDescent="0.2">
      <c r="B46" s="467">
        <v>181</v>
      </c>
      <c r="C46" s="470">
        <v>60.983171980295126</v>
      </c>
      <c r="D46" s="470">
        <v>60.160611797716328</v>
      </c>
      <c r="E46" s="470">
        <v>58.887465433957729</v>
      </c>
      <c r="F46" s="470">
        <v>57.98790149713566</v>
      </c>
      <c r="G46" s="470">
        <v>56.727837768536979</v>
      </c>
      <c r="H46" s="470">
        <v>60.983171980295126</v>
      </c>
      <c r="I46" s="470">
        <v>60.160611797716328</v>
      </c>
      <c r="J46" s="470">
        <v>58.887465433957729</v>
      </c>
      <c r="K46" s="470">
        <v>57.98790149713566</v>
      </c>
      <c r="L46" s="470">
        <v>56.727837768536979</v>
      </c>
      <c r="M46" s="470">
        <v>60.983171980295126</v>
      </c>
      <c r="N46" s="470">
        <v>60.160611797716328</v>
      </c>
      <c r="O46" s="470">
        <v>58.887465433957729</v>
      </c>
      <c r="P46" s="470">
        <v>57.98790149713566</v>
      </c>
      <c r="Q46" s="470">
        <v>56.727837768536979</v>
      </c>
      <c r="R46" s="470">
        <v>57.450384743517944</v>
      </c>
      <c r="S46" s="470">
        <v>57.740461165164824</v>
      </c>
      <c r="T46" s="470"/>
      <c r="U46" s="470"/>
      <c r="V46" s="470"/>
      <c r="W46" s="470"/>
      <c r="X46" s="23"/>
      <c r="Y46" s="23"/>
      <c r="Z46" s="23"/>
      <c r="AA46" s="11"/>
    </row>
    <row r="47" spans="2:27" x14ac:dyDescent="0.2">
      <c r="B47" s="59"/>
      <c r="C47" s="23"/>
      <c r="D47" s="23"/>
      <c r="E47" s="23"/>
      <c r="F47" s="23"/>
      <c r="G47" s="23"/>
      <c r="H47" s="23"/>
      <c r="I47" s="23"/>
      <c r="J47" s="23"/>
      <c r="K47" s="23"/>
      <c r="L47" s="23"/>
      <c r="M47" s="23"/>
      <c r="N47" s="23"/>
      <c r="O47" s="23"/>
      <c r="P47" s="23"/>
      <c r="Q47" s="23"/>
      <c r="R47" s="23"/>
      <c r="S47" s="23"/>
      <c r="T47" s="23"/>
      <c r="U47" s="23"/>
      <c r="V47" s="23"/>
      <c r="W47" s="23"/>
      <c r="X47" s="23"/>
      <c r="Y47" s="23"/>
      <c r="Z47" s="23"/>
      <c r="AA47" s="11"/>
    </row>
    <row r="48" spans="2:27" x14ac:dyDescent="0.2">
      <c r="B48" s="82" t="s">
        <v>84</v>
      </c>
      <c r="C48" s="23"/>
      <c r="D48" s="23"/>
      <c r="E48" s="23"/>
      <c r="F48" s="23"/>
      <c r="G48" s="23"/>
      <c r="H48" s="23"/>
      <c r="I48" s="23"/>
      <c r="J48" s="23"/>
      <c r="K48" s="23"/>
      <c r="L48" s="23"/>
      <c r="M48" s="23"/>
      <c r="N48" s="23"/>
      <c r="O48" s="23"/>
      <c r="P48" s="23"/>
      <c r="Q48" s="23"/>
      <c r="R48" s="23"/>
      <c r="S48" s="23"/>
      <c r="T48" s="23"/>
      <c r="U48" s="23"/>
      <c r="V48" s="23"/>
      <c r="W48" s="23"/>
      <c r="X48" s="23"/>
      <c r="Y48" s="23"/>
      <c r="Z48" s="23"/>
      <c r="AA48" s="11"/>
    </row>
    <row r="49" spans="2:27" x14ac:dyDescent="0.2">
      <c r="B49" s="59" t="s">
        <v>85</v>
      </c>
      <c r="C49" s="23"/>
      <c r="D49" s="23"/>
      <c r="E49" s="23"/>
      <c r="F49" s="23"/>
      <c r="G49" s="23"/>
      <c r="H49" s="23"/>
      <c r="I49" s="23"/>
      <c r="J49" s="23"/>
      <c r="K49" s="23"/>
      <c r="L49" s="23"/>
      <c r="M49" s="23"/>
      <c r="N49" s="23"/>
      <c r="O49" s="23"/>
      <c r="P49" s="23"/>
      <c r="Q49" s="23"/>
      <c r="R49" s="23"/>
      <c r="S49" s="23"/>
      <c r="T49" s="23"/>
      <c r="U49" s="23"/>
      <c r="V49" s="23"/>
      <c r="W49" s="23"/>
      <c r="X49" s="23"/>
      <c r="Y49" s="23"/>
      <c r="Z49" s="23"/>
      <c r="AA49" s="11"/>
    </row>
    <row r="50" spans="2:27" x14ac:dyDescent="0.2">
      <c r="B50" s="82"/>
      <c r="C50" s="23"/>
      <c r="D50" s="23"/>
      <c r="E50" s="23"/>
      <c r="F50" s="23"/>
      <c r="G50" s="23"/>
      <c r="H50" s="23"/>
      <c r="I50" s="23"/>
      <c r="J50" s="23"/>
      <c r="K50" s="23"/>
      <c r="L50" s="23"/>
      <c r="M50" s="23"/>
      <c r="N50" s="23"/>
      <c r="O50" s="23"/>
      <c r="P50" s="23"/>
      <c r="Q50" s="23"/>
      <c r="R50" s="23"/>
      <c r="S50" s="23"/>
      <c r="T50" s="23"/>
      <c r="U50" s="23"/>
      <c r="V50" s="23"/>
      <c r="W50" s="23"/>
      <c r="X50" s="23"/>
      <c r="Y50" s="23"/>
      <c r="Z50" s="23"/>
      <c r="AA50" s="11"/>
    </row>
    <row r="51" spans="2:27" x14ac:dyDescent="0.2">
      <c r="B51" s="82"/>
      <c r="C51" s="23"/>
      <c r="D51" s="23"/>
      <c r="E51" s="23"/>
      <c r="F51" s="23"/>
      <c r="G51" s="23"/>
      <c r="H51" s="23"/>
      <c r="I51" s="23"/>
      <c r="J51" s="23"/>
      <c r="K51" s="23"/>
      <c r="L51" s="23"/>
      <c r="M51" s="23"/>
      <c r="N51" s="23"/>
      <c r="O51" s="23"/>
      <c r="P51" s="23"/>
      <c r="Q51" s="23"/>
      <c r="R51" s="23"/>
      <c r="S51" s="23"/>
      <c r="T51" s="23"/>
      <c r="U51" s="23"/>
      <c r="V51" s="23"/>
      <c r="W51" s="23"/>
      <c r="X51" s="23"/>
      <c r="Y51" s="23"/>
      <c r="Z51" s="23"/>
      <c r="AA51" s="11"/>
    </row>
    <row r="52" spans="2:27" x14ac:dyDescent="0.2">
      <c r="B52" s="82"/>
      <c r="C52" s="473"/>
      <c r="D52" s="23"/>
      <c r="E52" s="23"/>
      <c r="F52" s="23"/>
      <c r="G52" s="23"/>
      <c r="H52" s="473"/>
      <c r="I52" s="23"/>
      <c r="J52" s="23"/>
      <c r="K52" s="23"/>
      <c r="L52" s="23"/>
      <c r="M52" s="23"/>
      <c r="N52" s="23"/>
      <c r="O52" s="473"/>
      <c r="P52" s="23"/>
      <c r="Q52" s="23"/>
      <c r="R52" s="23"/>
      <c r="S52" s="23"/>
      <c r="T52" s="23"/>
      <c r="U52" s="23"/>
      <c r="V52" s="23"/>
      <c r="W52" s="23"/>
      <c r="X52" s="23"/>
      <c r="Y52" s="23"/>
      <c r="Z52" s="23"/>
      <c r="AA52" s="11"/>
    </row>
    <row r="53" spans="2:27" x14ac:dyDescent="0.2">
      <c r="B53" s="82"/>
      <c r="C53" s="23"/>
      <c r="D53" s="23"/>
      <c r="E53" s="23"/>
      <c r="F53" s="23"/>
      <c r="G53" s="23"/>
      <c r="H53" s="23"/>
      <c r="I53" s="23"/>
      <c r="J53" s="23"/>
      <c r="K53" s="23"/>
      <c r="L53" s="23"/>
      <c r="M53" s="23"/>
      <c r="N53" s="23"/>
      <c r="O53" s="23"/>
      <c r="P53" s="23"/>
      <c r="Q53" s="23"/>
      <c r="R53" s="23"/>
      <c r="S53" s="23"/>
      <c r="T53" s="23"/>
      <c r="U53" s="23"/>
      <c r="V53" s="23"/>
      <c r="W53" s="23"/>
      <c r="X53" s="23"/>
      <c r="Y53" s="23"/>
      <c r="Z53" s="23"/>
      <c r="AA53" s="11"/>
    </row>
    <row r="54" spans="2:27" x14ac:dyDescent="0.2">
      <c r="B54" s="24"/>
      <c r="C54" s="473"/>
      <c r="D54" s="23"/>
      <c r="E54" s="23"/>
      <c r="F54" s="23"/>
      <c r="G54" s="23"/>
      <c r="H54" s="23"/>
      <c r="I54" s="23"/>
      <c r="J54" s="23"/>
      <c r="K54" s="23"/>
      <c r="L54" s="23"/>
      <c r="M54" s="23"/>
      <c r="N54" s="23"/>
      <c r="O54" s="23"/>
      <c r="P54" s="23"/>
      <c r="Q54" s="23"/>
      <c r="R54" s="23"/>
      <c r="S54" s="23"/>
      <c r="T54" s="23"/>
      <c r="U54" s="23"/>
      <c r="V54" s="23"/>
      <c r="W54" s="23"/>
      <c r="X54" s="23"/>
      <c r="Y54" s="23"/>
      <c r="Z54" s="23"/>
      <c r="AA54" s="11"/>
    </row>
    <row r="55" spans="2:27" x14ac:dyDescent="0.2">
      <c r="B55" s="24"/>
      <c r="C55" s="23"/>
      <c r="D55" s="23"/>
      <c r="E55" s="23"/>
      <c r="F55" s="23"/>
      <c r="G55" s="23"/>
      <c r="H55" s="23"/>
      <c r="I55" s="23"/>
      <c r="J55" s="23"/>
      <c r="K55" s="23"/>
      <c r="L55" s="23"/>
      <c r="M55" s="23"/>
      <c r="N55" s="23"/>
      <c r="O55" s="23"/>
      <c r="P55" s="23"/>
      <c r="Q55" s="23"/>
      <c r="R55" s="23"/>
      <c r="S55" s="23"/>
      <c r="T55" s="23"/>
      <c r="U55" s="23"/>
      <c r="V55" s="23"/>
      <c r="W55" s="23"/>
      <c r="X55" s="23"/>
      <c r="Y55" s="23"/>
      <c r="Z55" s="23"/>
      <c r="AA55" s="11"/>
    </row>
    <row r="56" spans="2:27" x14ac:dyDescent="0.2">
      <c r="B56" s="24"/>
      <c r="C56" s="23"/>
      <c r="D56" s="23"/>
      <c r="E56" s="23"/>
      <c r="F56" s="23"/>
      <c r="G56" s="23"/>
      <c r="H56" s="23"/>
      <c r="I56" s="23"/>
      <c r="J56" s="23"/>
      <c r="K56" s="23"/>
      <c r="L56" s="23"/>
      <c r="M56" s="23"/>
      <c r="N56" s="23"/>
      <c r="O56" s="23"/>
      <c r="P56" s="23"/>
      <c r="Q56" s="23"/>
      <c r="R56" s="23"/>
      <c r="S56" s="23"/>
      <c r="T56" s="23"/>
      <c r="U56" s="23"/>
      <c r="V56" s="23"/>
      <c r="W56" s="23"/>
      <c r="X56" s="23"/>
      <c r="Y56" s="23"/>
      <c r="Z56" s="23"/>
      <c r="AA56" s="11"/>
    </row>
    <row r="57" spans="2:27" x14ac:dyDescent="0.2">
      <c r="B57" s="24"/>
      <c r="C57" s="23"/>
      <c r="D57" s="23"/>
      <c r="E57" s="23"/>
      <c r="F57" s="23"/>
      <c r="G57" s="23"/>
      <c r="H57" s="23"/>
      <c r="I57" s="23"/>
      <c r="J57" s="23"/>
      <c r="K57" s="23"/>
      <c r="L57" s="23"/>
      <c r="M57" s="23"/>
      <c r="N57" s="23"/>
      <c r="O57" s="23"/>
      <c r="P57" s="23"/>
      <c r="Q57" s="23"/>
      <c r="R57" s="23"/>
      <c r="S57" s="23"/>
      <c r="T57" s="23"/>
      <c r="U57" s="23"/>
      <c r="V57" s="23"/>
      <c r="W57" s="23"/>
      <c r="X57" s="23"/>
      <c r="Y57" s="23"/>
      <c r="Z57" s="23"/>
      <c r="AA57" s="11"/>
    </row>
    <row r="58" spans="2:27" x14ac:dyDescent="0.2">
      <c r="B58" s="24"/>
      <c r="C58" s="23"/>
      <c r="D58" s="23"/>
      <c r="E58" s="23"/>
      <c r="F58" s="23"/>
      <c r="G58" s="23"/>
      <c r="H58" s="23"/>
      <c r="I58" s="23"/>
      <c r="J58" s="23"/>
      <c r="K58" s="23"/>
      <c r="L58" s="23"/>
      <c r="M58" s="23"/>
      <c r="N58" s="23"/>
      <c r="O58" s="23"/>
      <c r="P58" s="23"/>
      <c r="Q58" s="23"/>
      <c r="R58" s="23"/>
      <c r="S58" s="23"/>
      <c r="T58" s="23"/>
      <c r="U58" s="23"/>
      <c r="V58" s="23"/>
      <c r="W58" s="23"/>
      <c r="X58" s="23"/>
      <c r="Y58" s="23"/>
      <c r="Z58" s="23"/>
      <c r="AA58" s="11"/>
    </row>
    <row r="59" spans="2:27" x14ac:dyDescent="0.2">
      <c r="B59" s="24"/>
      <c r="C59" s="23"/>
      <c r="D59" s="23"/>
      <c r="E59" s="23"/>
      <c r="F59" s="23"/>
      <c r="G59" s="23"/>
      <c r="H59" s="23"/>
      <c r="I59" s="23"/>
      <c r="J59" s="23"/>
      <c r="K59" s="23"/>
      <c r="L59" s="23"/>
      <c r="M59" s="23"/>
      <c r="N59" s="23"/>
      <c r="O59" s="23"/>
      <c r="P59" s="23"/>
      <c r="Q59" s="23"/>
      <c r="R59" s="23"/>
      <c r="S59" s="23"/>
      <c r="T59" s="23"/>
      <c r="U59" s="23"/>
      <c r="V59" s="23"/>
      <c r="W59" s="23"/>
      <c r="X59" s="23"/>
      <c r="Y59" s="23"/>
      <c r="Z59" s="23"/>
      <c r="AA59" s="11"/>
    </row>
    <row r="60" spans="2:27" x14ac:dyDescent="0.2">
      <c r="B60" s="24"/>
      <c r="C60" s="23"/>
      <c r="D60" s="23"/>
      <c r="E60" s="23"/>
      <c r="F60" s="23"/>
      <c r="G60" s="23"/>
      <c r="H60" s="23"/>
      <c r="I60" s="23"/>
      <c r="J60" s="23"/>
      <c r="K60" s="23"/>
      <c r="L60" s="23"/>
      <c r="M60" s="23"/>
      <c r="N60" s="23"/>
      <c r="O60" s="23"/>
      <c r="P60" s="23"/>
      <c r="Q60" s="23"/>
      <c r="R60" s="23"/>
      <c r="S60" s="23"/>
      <c r="T60" s="23"/>
      <c r="U60" s="23"/>
      <c r="V60" s="23"/>
      <c r="W60" s="23"/>
      <c r="X60" s="23"/>
      <c r="Y60" s="23"/>
      <c r="Z60" s="23"/>
      <c r="AA60" s="11"/>
    </row>
    <row r="61" spans="2:27" x14ac:dyDescent="0.2">
      <c r="B61" s="24"/>
      <c r="C61" s="23"/>
      <c r="D61" s="23"/>
      <c r="E61" s="23"/>
      <c r="F61" s="23"/>
      <c r="G61" s="23"/>
      <c r="H61" s="23"/>
      <c r="I61" s="23"/>
      <c r="J61" s="23"/>
      <c r="K61" s="23"/>
      <c r="L61" s="23"/>
      <c r="M61" s="23"/>
      <c r="N61" s="23"/>
      <c r="O61" s="23"/>
      <c r="P61" s="23"/>
      <c r="Q61" s="23"/>
      <c r="R61" s="23"/>
      <c r="S61" s="23"/>
      <c r="T61" s="23"/>
      <c r="U61" s="23"/>
      <c r="V61" s="23"/>
      <c r="W61" s="23"/>
      <c r="X61" s="23"/>
      <c r="Y61" s="23"/>
      <c r="Z61" s="23"/>
      <c r="AA61" s="11"/>
    </row>
    <row r="62" spans="2:27" x14ac:dyDescent="0.2">
      <c r="B62" s="24"/>
      <c r="C62" s="23"/>
      <c r="D62" s="23"/>
      <c r="E62" s="23"/>
      <c r="F62" s="23"/>
      <c r="G62" s="23"/>
      <c r="H62" s="23"/>
      <c r="I62" s="23"/>
      <c r="J62" s="23"/>
      <c r="K62" s="23"/>
      <c r="L62" s="23"/>
      <c r="M62" s="23"/>
      <c r="N62" s="23"/>
      <c r="O62" s="23"/>
      <c r="P62" s="23"/>
      <c r="Q62" s="23"/>
      <c r="R62" s="23"/>
      <c r="S62" s="23"/>
      <c r="T62" s="23"/>
      <c r="U62" s="23"/>
      <c r="V62" s="23"/>
      <c r="W62" s="23"/>
      <c r="X62" s="23"/>
      <c r="Y62" s="23"/>
      <c r="Z62" s="23"/>
      <c r="AA62" s="11"/>
    </row>
    <row r="63" spans="2:27" x14ac:dyDescent="0.2">
      <c r="B63" s="24"/>
      <c r="C63" s="23"/>
      <c r="D63" s="23"/>
      <c r="E63" s="23"/>
      <c r="F63" s="23"/>
      <c r="G63" s="23"/>
      <c r="H63" s="23"/>
      <c r="I63" s="23"/>
      <c r="J63" s="23"/>
      <c r="K63" s="23"/>
      <c r="L63" s="23"/>
      <c r="M63" s="23"/>
      <c r="N63" s="23"/>
      <c r="O63" s="23"/>
      <c r="P63" s="23"/>
      <c r="Q63" s="23"/>
      <c r="R63" s="23"/>
      <c r="S63" s="23"/>
      <c r="T63" s="23"/>
      <c r="U63" s="23"/>
      <c r="V63" s="23"/>
      <c r="W63" s="23"/>
      <c r="X63" s="23"/>
      <c r="Y63" s="23"/>
      <c r="Z63" s="23"/>
      <c r="AA63" s="11"/>
    </row>
    <row r="64" spans="2:27" x14ac:dyDescent="0.2">
      <c r="B64" s="24"/>
      <c r="C64" s="23"/>
      <c r="D64" s="23"/>
      <c r="E64" s="23"/>
      <c r="F64" s="23"/>
      <c r="G64" s="23"/>
      <c r="H64" s="23"/>
      <c r="I64" s="23"/>
      <c r="J64" s="23"/>
      <c r="K64" s="23"/>
      <c r="L64" s="23"/>
      <c r="M64" s="23"/>
      <c r="N64" s="23"/>
      <c r="O64" s="23"/>
      <c r="P64" s="23"/>
      <c r="Q64" s="23"/>
      <c r="R64" s="23"/>
      <c r="S64" s="23"/>
      <c r="T64" s="23"/>
      <c r="U64" s="23"/>
      <c r="V64" s="23"/>
      <c r="W64" s="23"/>
      <c r="X64" s="23"/>
      <c r="Y64" s="23"/>
      <c r="Z64" s="23"/>
      <c r="AA64" s="11"/>
    </row>
    <row r="65" spans="2:27" x14ac:dyDescent="0.2">
      <c r="B65" s="24"/>
      <c r="C65" s="23"/>
      <c r="D65" s="23"/>
      <c r="E65" s="23"/>
      <c r="F65" s="23"/>
      <c r="G65" s="23"/>
      <c r="H65" s="23"/>
      <c r="I65" s="23"/>
      <c r="J65" s="23"/>
      <c r="K65" s="23"/>
      <c r="L65" s="23"/>
      <c r="M65" s="23"/>
      <c r="N65" s="23"/>
      <c r="O65" s="23"/>
      <c r="P65" s="23"/>
      <c r="Q65" s="23"/>
      <c r="R65" s="23"/>
      <c r="S65" s="23"/>
      <c r="T65" s="23"/>
      <c r="U65" s="23"/>
      <c r="V65" s="23"/>
      <c r="W65" s="23"/>
      <c r="X65" s="23"/>
      <c r="Y65" s="23"/>
      <c r="Z65" s="23"/>
      <c r="AA65" s="11"/>
    </row>
    <row r="66" spans="2:27" x14ac:dyDescent="0.2">
      <c r="B66" s="24"/>
      <c r="C66" s="23"/>
      <c r="D66" s="23"/>
      <c r="E66" s="23"/>
      <c r="F66" s="23"/>
      <c r="G66" s="23"/>
      <c r="H66" s="23"/>
      <c r="I66" s="23"/>
      <c r="J66" s="23"/>
      <c r="K66" s="23"/>
      <c r="L66" s="23"/>
      <c r="M66" s="23"/>
      <c r="N66" s="23"/>
      <c r="O66" s="23"/>
      <c r="P66" s="23"/>
      <c r="Q66" s="23"/>
      <c r="R66" s="23"/>
      <c r="S66" s="23"/>
      <c r="T66" s="23"/>
      <c r="U66" s="23"/>
      <c r="V66" s="23"/>
      <c r="W66" s="23"/>
      <c r="X66" s="23"/>
      <c r="Y66" s="23"/>
      <c r="Z66" s="23"/>
      <c r="AA66" s="11"/>
    </row>
    <row r="67" spans="2:27" x14ac:dyDescent="0.2">
      <c r="B67" s="24"/>
      <c r="C67" s="23"/>
      <c r="D67" s="23"/>
      <c r="E67" s="23"/>
      <c r="F67" s="23"/>
      <c r="G67" s="23"/>
      <c r="H67" s="23"/>
      <c r="I67" s="23"/>
      <c r="J67" s="23"/>
      <c r="K67" s="23"/>
      <c r="L67" s="23"/>
      <c r="M67" s="23"/>
      <c r="N67" s="23"/>
      <c r="O67" s="23"/>
      <c r="P67" s="23"/>
      <c r="Q67" s="23"/>
      <c r="R67" s="23"/>
      <c r="S67" s="23"/>
      <c r="T67" s="23"/>
      <c r="U67" s="23"/>
      <c r="V67" s="23"/>
      <c r="W67" s="23"/>
      <c r="X67" s="23"/>
      <c r="Y67" s="23"/>
      <c r="Z67" s="23"/>
      <c r="AA67" s="11"/>
    </row>
    <row r="68" spans="2:27" x14ac:dyDescent="0.2">
      <c r="B68" s="24"/>
      <c r="C68" s="23"/>
      <c r="D68" s="23"/>
      <c r="E68" s="23"/>
      <c r="F68" s="23"/>
      <c r="G68" s="23"/>
      <c r="H68" s="23"/>
      <c r="I68" s="23"/>
      <c r="J68" s="23"/>
      <c r="K68" s="23"/>
      <c r="L68" s="23"/>
      <c r="M68" s="23"/>
      <c r="N68" s="23"/>
      <c r="O68" s="23"/>
      <c r="P68" s="23"/>
      <c r="Q68" s="23"/>
      <c r="R68" s="23"/>
      <c r="S68" s="23"/>
      <c r="T68" s="23"/>
      <c r="U68" s="23"/>
      <c r="V68" s="23"/>
      <c r="W68" s="23"/>
      <c r="X68" s="23"/>
      <c r="Y68" s="23"/>
      <c r="Z68" s="23"/>
      <c r="AA68" s="11"/>
    </row>
    <row r="69" spans="2:27" x14ac:dyDescent="0.2">
      <c r="B69" s="24"/>
      <c r="C69" s="23"/>
      <c r="D69" s="23"/>
      <c r="E69" s="23"/>
      <c r="F69" s="23"/>
      <c r="G69" s="23"/>
      <c r="H69" s="23"/>
      <c r="I69" s="23"/>
      <c r="J69" s="23"/>
      <c r="K69" s="23"/>
      <c r="L69" s="23"/>
      <c r="M69" s="23"/>
      <c r="N69" s="23"/>
      <c r="O69" s="23"/>
      <c r="P69" s="23"/>
      <c r="Q69" s="23"/>
      <c r="R69" s="23"/>
      <c r="S69" s="23"/>
      <c r="T69" s="23"/>
      <c r="U69" s="23"/>
      <c r="V69" s="23"/>
      <c r="W69" s="23"/>
      <c r="X69" s="23"/>
      <c r="Y69" s="23"/>
      <c r="Z69" s="23"/>
      <c r="AA69" s="11"/>
    </row>
    <row r="70" spans="2:27" x14ac:dyDescent="0.2">
      <c r="B70" s="24"/>
      <c r="C70" s="23"/>
      <c r="D70" s="23"/>
      <c r="E70" s="23"/>
      <c r="F70" s="23"/>
      <c r="G70" s="23"/>
      <c r="H70" s="23"/>
      <c r="I70" s="23"/>
      <c r="J70" s="23"/>
      <c r="K70" s="23"/>
      <c r="L70" s="23"/>
      <c r="M70" s="23"/>
      <c r="N70" s="23"/>
      <c r="O70" s="23"/>
      <c r="P70" s="23"/>
      <c r="Q70" s="23"/>
      <c r="R70" s="23"/>
      <c r="S70" s="23"/>
      <c r="T70" s="23"/>
      <c r="U70" s="23"/>
      <c r="V70" s="23"/>
      <c r="W70" s="23"/>
      <c r="X70" s="23"/>
      <c r="Y70" s="23"/>
      <c r="Z70" s="23"/>
      <c r="AA70" s="11"/>
    </row>
    <row r="71" spans="2:27" x14ac:dyDescent="0.2">
      <c r="B71" s="24"/>
      <c r="C71" s="23"/>
      <c r="D71" s="23"/>
      <c r="E71" s="23"/>
      <c r="F71" s="23"/>
      <c r="G71" s="23"/>
      <c r="H71" s="23"/>
      <c r="I71" s="23"/>
      <c r="J71" s="23"/>
      <c r="K71" s="23"/>
      <c r="L71" s="23"/>
      <c r="M71" s="23"/>
      <c r="N71" s="23"/>
      <c r="O71" s="23"/>
      <c r="P71" s="23"/>
      <c r="Q71" s="23"/>
      <c r="R71" s="23"/>
      <c r="S71" s="23"/>
      <c r="T71" s="23"/>
      <c r="U71" s="23"/>
      <c r="V71" s="23"/>
      <c r="W71" s="23"/>
      <c r="X71" s="23"/>
      <c r="Y71" s="23"/>
      <c r="Z71" s="23"/>
      <c r="AA71" s="11"/>
    </row>
    <row r="72" spans="2:27" x14ac:dyDescent="0.2">
      <c r="B72" s="24"/>
      <c r="C72" s="23"/>
      <c r="D72" s="23"/>
      <c r="E72" s="23"/>
      <c r="F72" s="23"/>
      <c r="G72" s="23"/>
      <c r="H72" s="23"/>
      <c r="I72" s="23"/>
      <c r="J72" s="23"/>
      <c r="K72" s="23"/>
      <c r="L72" s="23"/>
      <c r="M72" s="23"/>
      <c r="N72" s="23"/>
      <c r="O72" s="23"/>
      <c r="P72" s="23"/>
      <c r="Q72" s="23"/>
      <c r="R72" s="23"/>
      <c r="S72" s="23"/>
      <c r="T72" s="23"/>
      <c r="U72" s="23"/>
      <c r="V72" s="23"/>
      <c r="W72" s="23"/>
      <c r="X72" s="23"/>
      <c r="Y72" s="23"/>
      <c r="Z72" s="23"/>
      <c r="AA72" s="11"/>
    </row>
    <row r="73" spans="2:27" x14ac:dyDescent="0.2">
      <c r="B73" s="24"/>
      <c r="C73" s="23"/>
      <c r="D73" s="23"/>
      <c r="E73" s="23"/>
      <c r="F73" s="23"/>
      <c r="G73" s="23"/>
      <c r="H73" s="23"/>
      <c r="I73" s="23"/>
      <c r="J73" s="23"/>
      <c r="K73" s="23"/>
      <c r="L73" s="23"/>
      <c r="M73" s="23"/>
      <c r="N73" s="23"/>
      <c r="O73" s="23"/>
      <c r="P73" s="23"/>
      <c r="Q73" s="23"/>
      <c r="R73" s="23"/>
      <c r="S73" s="23"/>
      <c r="T73" s="23"/>
      <c r="U73" s="23"/>
      <c r="V73" s="23"/>
      <c r="W73" s="23"/>
      <c r="X73" s="23"/>
      <c r="Y73" s="23"/>
      <c r="Z73" s="23"/>
      <c r="AA73" s="11"/>
    </row>
    <row r="74" spans="2:27" x14ac:dyDescent="0.2">
      <c r="B74" s="24"/>
      <c r="C74" s="23"/>
      <c r="D74" s="23"/>
      <c r="E74" s="23"/>
      <c r="F74" s="23"/>
      <c r="G74" s="23"/>
      <c r="H74" s="23"/>
      <c r="I74" s="23"/>
      <c r="J74" s="23"/>
      <c r="K74" s="23"/>
      <c r="L74" s="23"/>
      <c r="M74" s="23"/>
      <c r="N74" s="23"/>
      <c r="O74" s="23"/>
      <c r="P74" s="23"/>
      <c r="Q74" s="23"/>
      <c r="R74" s="23"/>
      <c r="S74" s="23"/>
      <c r="T74" s="23"/>
      <c r="U74" s="23"/>
      <c r="V74" s="23"/>
      <c r="W74" s="23"/>
      <c r="X74" s="23"/>
      <c r="Y74" s="23"/>
      <c r="Z74" s="23"/>
      <c r="AA74" s="11"/>
    </row>
    <row r="75" spans="2:27" x14ac:dyDescent="0.2">
      <c r="B75" s="24"/>
      <c r="C75" s="23"/>
      <c r="D75" s="23"/>
      <c r="E75" s="92"/>
      <c r="F75" s="23"/>
      <c r="G75" s="23"/>
      <c r="H75" s="23"/>
      <c r="I75" s="23"/>
      <c r="J75" s="23"/>
      <c r="K75" s="23"/>
      <c r="L75" s="23"/>
      <c r="M75" s="23"/>
      <c r="N75" s="23"/>
      <c r="O75" s="23"/>
      <c r="P75" s="23"/>
      <c r="Q75" s="23"/>
      <c r="R75" s="23"/>
      <c r="S75" s="23"/>
      <c r="T75" s="23"/>
      <c r="U75" s="23"/>
      <c r="V75" s="23"/>
      <c r="W75" s="23"/>
      <c r="X75" s="23"/>
      <c r="Y75" s="23"/>
      <c r="Z75" s="23"/>
      <c r="AA75" s="11"/>
    </row>
    <row r="76" spans="2:27" x14ac:dyDescent="0.2">
      <c r="B76" s="24"/>
      <c r="C76" s="23"/>
      <c r="D76" s="23"/>
      <c r="E76" s="23"/>
      <c r="F76" s="23"/>
      <c r="G76" s="23"/>
      <c r="H76" s="23"/>
      <c r="I76" s="23"/>
      <c r="J76" s="23"/>
      <c r="K76" s="23"/>
      <c r="L76" s="23"/>
      <c r="M76" s="23"/>
      <c r="N76" s="23"/>
      <c r="O76" s="23"/>
      <c r="P76" s="23"/>
      <c r="Q76" s="23"/>
      <c r="R76" s="23"/>
      <c r="S76" s="23"/>
      <c r="T76" s="23"/>
      <c r="U76" s="23"/>
      <c r="V76" s="23"/>
      <c r="W76" s="23"/>
      <c r="X76" s="23"/>
      <c r="Y76" s="23"/>
      <c r="Z76" s="23"/>
      <c r="AA76" s="11"/>
    </row>
    <row r="77" spans="2:27" x14ac:dyDescent="0.2">
      <c r="B77" s="24"/>
      <c r="C77" s="23"/>
      <c r="D77" s="23"/>
      <c r="E77" s="23"/>
      <c r="F77" s="23"/>
      <c r="G77" s="23"/>
      <c r="H77" s="23"/>
      <c r="I77" s="23"/>
      <c r="J77" s="23"/>
      <c r="K77" s="23"/>
      <c r="L77" s="23"/>
      <c r="M77" s="23"/>
      <c r="N77" s="23"/>
      <c r="O77" s="23"/>
      <c r="P77" s="23"/>
      <c r="Q77" s="23"/>
      <c r="R77" s="23"/>
      <c r="S77" s="23"/>
      <c r="T77" s="23"/>
      <c r="U77" s="23"/>
      <c r="V77" s="23"/>
      <c r="W77" s="23"/>
      <c r="X77" s="23"/>
      <c r="Y77" s="23"/>
      <c r="Z77" s="23"/>
      <c r="AA77" s="11"/>
    </row>
    <row r="78" spans="2:27" x14ac:dyDescent="0.2">
      <c r="B78" s="24"/>
      <c r="C78" s="23"/>
      <c r="D78" s="23"/>
      <c r="E78" s="23"/>
      <c r="F78" s="23"/>
      <c r="G78" s="23"/>
      <c r="H78" s="23"/>
      <c r="I78" s="23"/>
      <c r="J78" s="23"/>
      <c r="K78" s="23"/>
      <c r="L78" s="23"/>
      <c r="M78" s="23"/>
      <c r="N78" s="23"/>
      <c r="O78" s="23"/>
      <c r="P78" s="23"/>
      <c r="Q78" s="23"/>
      <c r="R78" s="23"/>
      <c r="S78" s="23"/>
      <c r="T78" s="23"/>
      <c r="U78" s="23"/>
      <c r="V78" s="23"/>
      <c r="W78" s="23"/>
      <c r="X78" s="23"/>
      <c r="Y78" s="23"/>
      <c r="Z78" s="23"/>
      <c r="AA78" s="11"/>
    </row>
    <row r="79" spans="2:27" x14ac:dyDescent="0.2">
      <c r="B79" s="24"/>
      <c r="C79" s="23"/>
      <c r="D79" s="23"/>
      <c r="E79" s="23"/>
      <c r="F79" s="23"/>
      <c r="G79" s="23"/>
      <c r="H79" s="23"/>
      <c r="I79" s="23"/>
      <c r="J79" s="23"/>
      <c r="K79" s="23"/>
      <c r="L79" s="23"/>
      <c r="M79" s="23"/>
      <c r="N79" s="23"/>
      <c r="O79" s="23"/>
      <c r="P79" s="23"/>
      <c r="Q79" s="23"/>
      <c r="R79" s="23"/>
      <c r="S79" s="23"/>
      <c r="T79" s="23"/>
      <c r="U79" s="23"/>
      <c r="V79" s="23"/>
      <c r="W79" s="23"/>
      <c r="X79" s="23"/>
      <c r="Y79" s="23"/>
      <c r="Z79" s="23"/>
      <c r="AA79" s="11"/>
    </row>
    <row r="80" spans="2:27" x14ac:dyDescent="0.2">
      <c r="B80" s="24"/>
      <c r="C80" s="23"/>
      <c r="D80" s="23"/>
      <c r="E80" s="23"/>
      <c r="F80" s="23"/>
      <c r="G80" s="23"/>
      <c r="H80" s="23"/>
      <c r="I80" s="23"/>
      <c r="J80" s="23"/>
      <c r="K80" s="23"/>
      <c r="L80" s="23"/>
      <c r="M80" s="23"/>
      <c r="N80" s="23"/>
      <c r="O80" s="23"/>
      <c r="P80" s="23"/>
      <c r="Q80" s="23"/>
      <c r="R80" s="23"/>
      <c r="S80" s="23"/>
      <c r="T80" s="23"/>
      <c r="U80" s="23"/>
      <c r="V80" s="23"/>
      <c r="W80" s="23"/>
      <c r="X80" s="23"/>
      <c r="Y80" s="23"/>
      <c r="Z80" s="23"/>
      <c r="AA80" s="11"/>
    </row>
    <row r="81" spans="2:27" x14ac:dyDescent="0.2">
      <c r="B81" s="24"/>
      <c r="C81" s="23"/>
      <c r="D81" s="23"/>
      <c r="E81" s="23"/>
      <c r="F81" s="23"/>
      <c r="G81" s="23"/>
      <c r="H81" s="23"/>
      <c r="I81" s="23"/>
      <c r="J81" s="23"/>
      <c r="K81" s="23"/>
      <c r="L81" s="23"/>
      <c r="M81" s="23"/>
      <c r="N81" s="23"/>
      <c r="O81" s="23"/>
      <c r="P81" s="23"/>
      <c r="Q81" s="23"/>
      <c r="R81" s="23"/>
      <c r="S81" s="23"/>
      <c r="T81" s="23"/>
      <c r="U81" s="23"/>
      <c r="V81" s="23"/>
      <c r="W81" s="23"/>
      <c r="X81" s="23"/>
      <c r="Y81" s="23"/>
      <c r="Z81" s="23"/>
      <c r="AA81" s="11"/>
    </row>
    <row r="82" spans="2:27" x14ac:dyDescent="0.2">
      <c r="B82" s="24"/>
      <c r="C82" s="23"/>
      <c r="D82" s="23"/>
      <c r="E82" s="23"/>
      <c r="F82" s="23"/>
      <c r="G82" s="23"/>
      <c r="H82" s="23"/>
      <c r="I82" s="23"/>
      <c r="J82" s="23"/>
      <c r="K82" s="23"/>
      <c r="L82" s="23"/>
      <c r="M82" s="23"/>
      <c r="N82" s="23"/>
      <c r="O82" s="23"/>
      <c r="P82" s="23"/>
      <c r="Q82" s="23"/>
      <c r="R82" s="23"/>
      <c r="S82" s="23"/>
      <c r="T82" s="23"/>
      <c r="U82" s="23"/>
      <c r="V82" s="23"/>
      <c r="W82" s="23"/>
      <c r="X82" s="23"/>
      <c r="Y82" s="23"/>
      <c r="Z82" s="23"/>
      <c r="AA82" s="11"/>
    </row>
    <row r="83" spans="2:27" x14ac:dyDescent="0.2">
      <c r="B83" s="24"/>
      <c r="C83" s="23"/>
      <c r="D83" s="23"/>
      <c r="E83" s="23"/>
      <c r="F83" s="23"/>
      <c r="G83" s="23"/>
      <c r="H83" s="23"/>
      <c r="I83" s="23"/>
      <c r="J83" s="23"/>
      <c r="K83" s="23"/>
      <c r="L83" s="23"/>
      <c r="M83" s="23"/>
      <c r="N83" s="23"/>
      <c r="O83" s="23"/>
      <c r="P83" s="23"/>
      <c r="Q83" s="23"/>
      <c r="R83" s="23"/>
      <c r="S83" s="23"/>
      <c r="T83" s="23"/>
      <c r="U83" s="23"/>
      <c r="V83" s="23"/>
      <c r="W83" s="23"/>
      <c r="X83" s="23"/>
      <c r="Y83" s="23"/>
      <c r="Z83" s="23"/>
      <c r="AA83" s="11"/>
    </row>
    <row r="84" spans="2:27" x14ac:dyDescent="0.2">
      <c r="B84" s="24"/>
      <c r="C84" s="23"/>
      <c r="D84" s="23"/>
      <c r="E84" s="23"/>
      <c r="F84" s="23"/>
      <c r="G84" s="23"/>
      <c r="H84" s="23"/>
      <c r="I84" s="23"/>
      <c r="J84" s="23"/>
      <c r="K84" s="23"/>
      <c r="L84" s="23"/>
      <c r="M84" s="23"/>
      <c r="N84" s="23"/>
      <c r="O84" s="23"/>
      <c r="P84" s="23"/>
      <c r="Q84" s="23"/>
      <c r="R84" s="23"/>
      <c r="S84" s="23"/>
      <c r="T84" s="23"/>
      <c r="U84" s="23"/>
      <c r="V84" s="23"/>
      <c r="W84" s="23"/>
      <c r="X84" s="23"/>
      <c r="Y84" s="23"/>
      <c r="Z84" s="23"/>
      <c r="AA84" s="11"/>
    </row>
    <row r="85" spans="2:27" x14ac:dyDescent="0.2">
      <c r="B85" s="24"/>
      <c r="C85" s="23"/>
      <c r="D85" s="23"/>
      <c r="E85" s="23"/>
      <c r="F85" s="23"/>
      <c r="G85" s="23"/>
      <c r="H85" s="23"/>
      <c r="I85" s="23"/>
      <c r="J85" s="23"/>
      <c r="K85" s="23"/>
      <c r="L85" s="23"/>
      <c r="M85" s="23"/>
      <c r="N85" s="23"/>
      <c r="O85" s="23"/>
      <c r="P85" s="23"/>
      <c r="Q85" s="23"/>
      <c r="R85" s="23"/>
      <c r="S85" s="23"/>
      <c r="T85" s="23"/>
      <c r="U85" s="23"/>
      <c r="V85" s="23"/>
      <c r="W85" s="23"/>
      <c r="X85" s="23"/>
      <c r="Y85" s="23"/>
      <c r="Z85" s="23"/>
      <c r="AA85" s="11"/>
    </row>
    <row r="86" spans="2:27" x14ac:dyDescent="0.2">
      <c r="B86" s="24"/>
      <c r="C86" s="23"/>
      <c r="D86" s="23"/>
      <c r="E86" s="23"/>
      <c r="F86" s="23"/>
      <c r="G86" s="23"/>
      <c r="H86" s="23"/>
      <c r="I86" s="23"/>
      <c r="J86" s="23"/>
      <c r="K86" s="23"/>
      <c r="L86" s="23"/>
      <c r="M86" s="23"/>
      <c r="N86" s="23"/>
      <c r="O86" s="23"/>
      <c r="P86" s="23"/>
      <c r="Q86" s="23"/>
      <c r="R86" s="23"/>
      <c r="S86" s="23"/>
      <c r="T86" s="23"/>
      <c r="U86" s="23"/>
      <c r="V86" s="23"/>
      <c r="W86" s="23"/>
      <c r="X86" s="23"/>
      <c r="Y86" s="23"/>
      <c r="Z86" s="23"/>
      <c r="AA86" s="11"/>
    </row>
    <row r="87" spans="2:27" x14ac:dyDescent="0.2">
      <c r="B87" s="24"/>
      <c r="C87" s="23"/>
      <c r="D87" s="23"/>
      <c r="E87" s="23"/>
      <c r="F87" s="23"/>
      <c r="G87" s="23"/>
      <c r="H87" s="23"/>
      <c r="I87" s="23"/>
      <c r="J87" s="23"/>
      <c r="K87" s="23"/>
      <c r="L87" s="23"/>
      <c r="M87" s="23"/>
      <c r="N87" s="23"/>
      <c r="O87" s="23"/>
      <c r="P87" s="23"/>
      <c r="Q87" s="23"/>
      <c r="R87" s="23"/>
      <c r="S87" s="23"/>
      <c r="T87" s="23"/>
      <c r="U87" s="23"/>
      <c r="V87" s="23"/>
      <c r="W87" s="23"/>
      <c r="X87" s="23"/>
      <c r="Y87" s="23"/>
      <c r="Z87" s="23"/>
      <c r="AA87" s="11"/>
    </row>
    <row r="88" spans="2:27" x14ac:dyDescent="0.2">
      <c r="B88" s="24"/>
      <c r="C88" s="23"/>
      <c r="D88" s="23"/>
      <c r="E88" s="23"/>
      <c r="F88" s="23"/>
      <c r="G88" s="23"/>
      <c r="H88" s="23"/>
      <c r="I88" s="23"/>
      <c r="J88" s="23"/>
      <c r="K88" s="23"/>
      <c r="L88" s="23"/>
      <c r="M88" s="23"/>
      <c r="N88" s="23"/>
      <c r="O88" s="23"/>
      <c r="P88" s="23"/>
      <c r="Q88" s="23"/>
      <c r="R88" s="23"/>
      <c r="S88" s="23"/>
      <c r="T88" s="23"/>
      <c r="U88" s="23"/>
      <c r="V88" s="23"/>
      <c r="W88" s="23"/>
      <c r="X88" s="23"/>
      <c r="Y88" s="23"/>
      <c r="Z88" s="23"/>
      <c r="AA88" s="11"/>
    </row>
    <row r="89" spans="2:27" x14ac:dyDescent="0.2">
      <c r="B89" s="24"/>
      <c r="C89" s="23"/>
      <c r="D89" s="23"/>
      <c r="E89" s="23"/>
      <c r="F89" s="23"/>
      <c r="G89" s="23"/>
      <c r="H89" s="23"/>
      <c r="I89" s="23"/>
      <c r="J89" s="23"/>
      <c r="K89" s="23"/>
      <c r="L89" s="23"/>
      <c r="M89" s="23"/>
      <c r="N89" s="23"/>
      <c r="O89" s="23"/>
      <c r="P89" s="23"/>
      <c r="Q89" s="23"/>
      <c r="R89" s="23"/>
      <c r="S89" s="23"/>
      <c r="T89" s="23"/>
      <c r="U89" s="23"/>
      <c r="V89" s="23"/>
      <c r="W89" s="23"/>
      <c r="X89" s="23"/>
      <c r="Y89" s="23"/>
      <c r="Z89" s="23"/>
      <c r="AA89" s="11"/>
    </row>
    <row r="90" spans="2:27" x14ac:dyDescent="0.2">
      <c r="B90" s="24"/>
      <c r="C90" s="23"/>
      <c r="D90" s="23"/>
      <c r="E90" s="23"/>
      <c r="F90" s="23"/>
      <c r="G90" s="23"/>
      <c r="H90" s="23"/>
      <c r="I90" s="23"/>
      <c r="J90" s="23"/>
      <c r="K90" s="23"/>
      <c r="L90" s="23"/>
      <c r="M90" s="23"/>
      <c r="N90" s="23"/>
      <c r="O90" s="23"/>
      <c r="P90" s="23"/>
      <c r="Q90" s="23"/>
      <c r="R90" s="23"/>
      <c r="S90" s="23"/>
      <c r="T90" s="23"/>
      <c r="U90" s="23"/>
      <c r="V90" s="23"/>
      <c r="W90" s="23"/>
      <c r="X90" s="23"/>
      <c r="Y90" s="23"/>
      <c r="Z90" s="23"/>
      <c r="AA90" s="11"/>
    </row>
    <row r="91" spans="2:27" x14ac:dyDescent="0.2">
      <c r="B91" s="24"/>
      <c r="C91" s="23"/>
      <c r="D91" s="23"/>
      <c r="E91" s="23"/>
      <c r="F91" s="23"/>
      <c r="G91" s="23"/>
      <c r="H91" s="23"/>
      <c r="I91" s="23"/>
      <c r="J91" s="23"/>
      <c r="K91" s="23"/>
      <c r="L91" s="23"/>
      <c r="M91" s="23"/>
      <c r="N91" s="23"/>
      <c r="O91" s="23"/>
      <c r="P91" s="23"/>
      <c r="Q91" s="23"/>
      <c r="R91" s="23"/>
      <c r="S91" s="23"/>
      <c r="T91" s="23"/>
      <c r="U91" s="23"/>
      <c r="V91" s="23"/>
      <c r="W91" s="23"/>
      <c r="X91" s="23"/>
      <c r="Y91" s="23"/>
      <c r="Z91" s="23"/>
      <c r="AA91" s="11"/>
    </row>
    <row r="92" spans="2:27" x14ac:dyDescent="0.2">
      <c r="B92" s="24"/>
      <c r="C92" s="23"/>
      <c r="D92" s="23"/>
      <c r="E92" s="23"/>
      <c r="F92" s="23"/>
      <c r="G92" s="23"/>
      <c r="H92" s="23"/>
      <c r="I92" s="23"/>
      <c r="J92" s="23"/>
      <c r="K92" s="23"/>
      <c r="L92" s="23"/>
      <c r="M92" s="23"/>
      <c r="N92" s="23"/>
      <c r="O92" s="23"/>
      <c r="P92" s="23"/>
      <c r="Q92" s="23"/>
      <c r="R92" s="23"/>
      <c r="S92" s="23"/>
      <c r="T92" s="23"/>
      <c r="U92" s="23"/>
      <c r="V92" s="23"/>
      <c r="W92" s="23"/>
      <c r="X92" s="23"/>
      <c r="Y92" s="23"/>
      <c r="Z92" s="23"/>
      <c r="AA92" s="11"/>
    </row>
    <row r="93" spans="2:27" x14ac:dyDescent="0.2">
      <c r="B93" s="24"/>
      <c r="C93" s="23"/>
      <c r="D93" s="23"/>
      <c r="E93" s="23"/>
      <c r="F93" s="23"/>
      <c r="G93" s="23"/>
      <c r="H93" s="23"/>
      <c r="I93" s="23"/>
      <c r="J93" s="23"/>
      <c r="K93" s="23"/>
      <c r="L93" s="23"/>
      <c r="M93" s="23"/>
      <c r="N93" s="23"/>
      <c r="O93" s="23"/>
      <c r="P93" s="23"/>
      <c r="Q93" s="23"/>
      <c r="R93" s="23"/>
      <c r="S93" s="23"/>
      <c r="T93" s="23"/>
      <c r="U93" s="23"/>
      <c r="V93" s="23"/>
      <c r="W93" s="23"/>
      <c r="X93" s="23"/>
      <c r="Y93" s="23"/>
      <c r="Z93" s="23"/>
      <c r="AA93" s="11"/>
    </row>
    <row r="94" spans="2:27" x14ac:dyDescent="0.2">
      <c r="B94" s="24"/>
      <c r="C94" s="23"/>
      <c r="D94" s="23"/>
      <c r="E94" s="23"/>
      <c r="F94" s="23"/>
      <c r="G94" s="23"/>
      <c r="H94" s="23"/>
      <c r="I94" s="23"/>
      <c r="J94" s="23"/>
      <c r="K94" s="23"/>
      <c r="L94" s="23"/>
      <c r="M94" s="23"/>
      <c r="N94" s="23"/>
      <c r="O94" s="23"/>
      <c r="P94" s="23"/>
      <c r="Q94" s="23"/>
      <c r="R94" s="23"/>
      <c r="S94" s="23"/>
      <c r="T94" s="23"/>
      <c r="U94" s="23"/>
      <c r="V94" s="23"/>
      <c r="W94" s="23"/>
      <c r="X94" s="23"/>
      <c r="Y94" s="23"/>
      <c r="Z94" s="23"/>
      <c r="AA94" s="11"/>
    </row>
    <row r="95" spans="2:27" x14ac:dyDescent="0.2">
      <c r="B95" s="24"/>
      <c r="C95" s="23"/>
      <c r="D95" s="23"/>
      <c r="E95" s="23"/>
      <c r="F95" s="23"/>
      <c r="G95" s="23"/>
      <c r="H95" s="23"/>
      <c r="I95" s="23"/>
      <c r="J95" s="23"/>
      <c r="K95" s="23"/>
      <c r="L95" s="23"/>
      <c r="M95" s="23"/>
      <c r="N95" s="23"/>
      <c r="O95" s="23"/>
      <c r="P95" s="23"/>
      <c r="Q95" s="23"/>
      <c r="R95" s="23"/>
      <c r="S95" s="23"/>
      <c r="T95" s="23"/>
      <c r="U95" s="23"/>
      <c r="V95" s="23"/>
      <c r="W95" s="23"/>
      <c r="X95" s="23"/>
      <c r="Y95" s="23"/>
      <c r="Z95" s="23"/>
      <c r="AA95" s="11"/>
    </row>
    <row r="96" spans="2:27" x14ac:dyDescent="0.2">
      <c r="B96" s="24"/>
      <c r="C96" s="23"/>
      <c r="D96" s="23"/>
      <c r="E96" s="23"/>
      <c r="F96" s="23"/>
      <c r="G96" s="23"/>
      <c r="H96" s="23"/>
      <c r="I96" s="23"/>
      <c r="J96" s="23"/>
      <c r="K96" s="23"/>
      <c r="L96" s="23"/>
      <c r="M96" s="23"/>
      <c r="N96" s="23"/>
      <c r="O96" s="23"/>
      <c r="P96" s="23"/>
      <c r="Q96" s="23"/>
      <c r="R96" s="23"/>
      <c r="S96" s="23"/>
      <c r="T96" s="23"/>
      <c r="U96" s="23"/>
      <c r="V96" s="23"/>
      <c r="W96" s="23"/>
      <c r="X96" s="23"/>
      <c r="Y96" s="23"/>
      <c r="Z96" s="23"/>
      <c r="AA96" s="11"/>
    </row>
    <row r="97" spans="2:27" x14ac:dyDescent="0.2">
      <c r="B97" s="24"/>
      <c r="C97" s="23"/>
      <c r="D97" s="23"/>
      <c r="E97" s="23"/>
      <c r="F97" s="23"/>
      <c r="G97" s="23"/>
      <c r="H97" s="23"/>
      <c r="I97" s="23"/>
      <c r="J97" s="23"/>
      <c r="K97" s="23"/>
      <c r="L97" s="23"/>
      <c r="M97" s="23"/>
      <c r="N97" s="23"/>
      <c r="O97" s="23"/>
      <c r="P97" s="23"/>
      <c r="Q97" s="23"/>
      <c r="R97" s="23"/>
      <c r="S97" s="23"/>
      <c r="T97" s="23"/>
      <c r="U97" s="23"/>
      <c r="V97" s="23"/>
      <c r="W97" s="23"/>
      <c r="X97" s="23"/>
      <c r="Y97" s="23"/>
      <c r="Z97" s="23"/>
      <c r="AA97" s="11"/>
    </row>
    <row r="98" spans="2:27" x14ac:dyDescent="0.2">
      <c r="B98" s="24"/>
      <c r="C98" s="23"/>
      <c r="D98" s="23"/>
      <c r="E98" s="23"/>
      <c r="F98" s="23"/>
      <c r="G98" s="23"/>
      <c r="H98" s="23"/>
      <c r="I98" s="23"/>
      <c r="J98" s="23"/>
      <c r="K98" s="23"/>
      <c r="L98" s="23"/>
      <c r="M98" s="23"/>
      <c r="N98" s="23"/>
      <c r="O98" s="23"/>
      <c r="P98" s="23"/>
      <c r="Q98" s="23"/>
      <c r="R98" s="23"/>
      <c r="S98" s="23"/>
      <c r="T98" s="23"/>
      <c r="U98" s="23"/>
      <c r="V98" s="23"/>
      <c r="W98" s="23"/>
      <c r="X98" s="23"/>
      <c r="Y98" s="23"/>
      <c r="Z98" s="23"/>
      <c r="AA98" s="11"/>
    </row>
    <row r="99" spans="2:27" x14ac:dyDescent="0.2">
      <c r="B99" s="24"/>
      <c r="C99" s="23"/>
      <c r="D99" s="23"/>
      <c r="E99" s="23"/>
      <c r="F99" s="23"/>
      <c r="G99" s="23"/>
      <c r="H99" s="23"/>
      <c r="I99" s="23"/>
      <c r="J99" s="23"/>
      <c r="K99" s="23"/>
      <c r="L99" s="23"/>
      <c r="M99" s="23"/>
      <c r="N99" s="23"/>
      <c r="O99" s="23"/>
      <c r="P99" s="23"/>
      <c r="Q99" s="23"/>
      <c r="R99" s="23"/>
      <c r="S99" s="23"/>
      <c r="T99" s="23"/>
      <c r="U99" s="23"/>
      <c r="V99" s="23"/>
      <c r="W99" s="23"/>
      <c r="X99" s="23"/>
      <c r="Y99" s="23"/>
      <c r="Z99" s="23"/>
      <c r="AA99" s="11"/>
    </row>
    <row r="100" spans="2:27" x14ac:dyDescent="0.2">
      <c r="B100" s="49"/>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13"/>
    </row>
  </sheetData>
  <phoneticPr fontId="0" type="noConversion"/>
  <printOptions headings="1"/>
  <pageMargins left="0.74803149606299213" right="0.74803149606299213" top="0.98425196850393704" bottom="0.98425196850393704" header="0.51181102362204722" footer="0.51181102362204722"/>
  <pageSetup paperSize="9" orientation="landscape"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AA100"/>
  <sheetViews>
    <sheetView workbookViewId="0"/>
  </sheetViews>
  <sheetFormatPr defaultColWidth="9.140625" defaultRowHeight="12.75" x14ac:dyDescent="0.2"/>
  <cols>
    <col min="1" max="1" width="12.85546875" style="2" bestFit="1" customWidth="1"/>
    <col min="2" max="2" width="21" style="2" bestFit="1" customWidth="1"/>
    <col min="3" max="16384" width="9.140625" style="2"/>
  </cols>
  <sheetData>
    <row r="1" spans="1:27" ht="14.25" x14ac:dyDescent="0.2">
      <c r="A1" s="196">
        <f ca="1">NOW()</f>
        <v>44631.687362268516</v>
      </c>
      <c r="B1" s="47"/>
      <c r="C1" s="22"/>
      <c r="D1" s="22"/>
      <c r="E1" s="21"/>
      <c r="F1" s="22"/>
      <c r="G1" s="22"/>
      <c r="H1" s="22"/>
      <c r="I1" s="21"/>
      <c r="J1" s="22"/>
      <c r="K1" s="22"/>
      <c r="L1" s="22"/>
      <c r="M1" s="1"/>
      <c r="N1" s="1"/>
      <c r="O1" s="1"/>
      <c r="P1" s="1"/>
      <c r="Q1" s="1"/>
      <c r="R1" s="1"/>
      <c r="S1" s="1"/>
      <c r="T1" s="1"/>
      <c r="U1" s="1"/>
      <c r="V1" s="1"/>
      <c r="W1" s="1"/>
      <c r="X1" s="1"/>
      <c r="Y1" s="1"/>
      <c r="Z1" s="1"/>
      <c r="AA1" s="1"/>
    </row>
    <row r="2" spans="1:27" x14ac:dyDescent="0.2">
      <c r="B2" s="48"/>
      <c r="C2" s="1"/>
      <c r="D2" s="1"/>
      <c r="E2" s="52" t="s">
        <v>32</v>
      </c>
      <c r="F2" s="51" t="str">
        <f>'Target Site'!F3</f>
        <v>EXAMPLE CALCULATION</v>
      </c>
      <c r="G2" s="1"/>
      <c r="H2" s="1"/>
      <c r="I2" s="1"/>
      <c r="J2" s="1"/>
      <c r="K2" s="1"/>
      <c r="L2" s="1"/>
      <c r="M2" s="1"/>
      <c r="N2" s="1"/>
      <c r="O2" s="1"/>
      <c r="P2" s="1"/>
      <c r="Q2" s="1"/>
      <c r="R2" s="1"/>
      <c r="S2" s="1"/>
      <c r="T2" s="1"/>
      <c r="U2" s="1"/>
      <c r="V2" s="1"/>
      <c r="W2" s="1"/>
      <c r="X2" s="1"/>
      <c r="Y2" s="1"/>
      <c r="Z2" s="1"/>
      <c r="AA2" s="1"/>
    </row>
    <row r="3" spans="1:27" x14ac:dyDescent="0.2">
      <c r="B3" s="48"/>
      <c r="C3" s="1"/>
      <c r="D3" s="51" t="s">
        <v>53</v>
      </c>
      <c r="E3" s="1"/>
      <c r="F3" s="1"/>
      <c r="G3" s="1"/>
      <c r="H3" s="1"/>
      <c r="I3" s="1"/>
      <c r="J3" s="48"/>
      <c r="K3" s="48"/>
      <c r="L3" s="1"/>
      <c r="M3" s="1"/>
      <c r="N3" s="1"/>
      <c r="O3" s="1"/>
      <c r="P3" s="1"/>
      <c r="Q3" s="1"/>
      <c r="R3" s="1"/>
      <c r="S3" s="1"/>
      <c r="T3" s="1"/>
      <c r="U3" s="1"/>
      <c r="V3" s="1"/>
      <c r="W3" s="1"/>
      <c r="X3" s="1"/>
      <c r="Y3" s="1"/>
      <c r="Z3" s="1"/>
      <c r="AA3" s="1"/>
    </row>
    <row r="4" spans="1:27" x14ac:dyDescent="0.2">
      <c r="B4" s="48"/>
      <c r="C4" s="1"/>
      <c r="D4" s="48"/>
      <c r="E4" s="1"/>
      <c r="F4" s="1"/>
      <c r="G4" s="1"/>
      <c r="H4" s="1"/>
      <c r="I4" s="1"/>
      <c r="J4" s="1"/>
      <c r="K4" s="1"/>
      <c r="L4" s="1"/>
      <c r="M4" s="1"/>
      <c r="N4" s="1"/>
      <c r="O4" s="1"/>
      <c r="P4" s="1"/>
      <c r="Q4" s="1"/>
      <c r="R4" s="1"/>
      <c r="S4" s="1"/>
      <c r="T4" s="1"/>
      <c r="U4" s="1"/>
      <c r="V4" s="1"/>
      <c r="W4" s="1"/>
      <c r="X4" s="1"/>
      <c r="Y4" s="1"/>
      <c r="Z4" s="1"/>
      <c r="AA4" s="43"/>
    </row>
    <row r="5" spans="1:27" x14ac:dyDescent="0.2">
      <c r="B5" s="16"/>
      <c r="C5" s="27"/>
      <c r="D5" s="27"/>
      <c r="E5" s="27"/>
      <c r="F5" s="27"/>
      <c r="G5" s="27"/>
      <c r="H5" s="27"/>
      <c r="I5" s="27"/>
      <c r="J5" s="27"/>
      <c r="K5" s="27"/>
      <c r="L5" s="27"/>
      <c r="M5" s="27"/>
      <c r="N5" s="27"/>
      <c r="O5" s="27"/>
      <c r="P5" s="27"/>
      <c r="Q5" s="27"/>
      <c r="R5" s="27"/>
      <c r="S5" s="27"/>
      <c r="T5" s="27"/>
      <c r="U5" s="27"/>
      <c r="V5" s="27"/>
      <c r="W5" s="27"/>
      <c r="X5" s="27"/>
      <c r="Y5" s="27"/>
      <c r="Z5" s="27"/>
      <c r="AA5" s="9"/>
    </row>
    <row r="6" spans="1:27" x14ac:dyDescent="0.2">
      <c r="B6" s="59"/>
      <c r="C6" s="23"/>
      <c r="D6" s="23"/>
      <c r="E6" s="23"/>
      <c r="F6" s="23"/>
      <c r="G6" s="23"/>
      <c r="H6" s="23"/>
      <c r="I6" s="23"/>
      <c r="J6" s="23"/>
      <c r="K6" s="23"/>
      <c r="L6" s="23"/>
      <c r="M6" s="23"/>
      <c r="N6" s="23"/>
      <c r="O6" s="23"/>
      <c r="P6" s="23"/>
      <c r="Q6" s="23"/>
      <c r="R6" s="23"/>
      <c r="S6" s="23"/>
      <c r="T6" s="23"/>
      <c r="U6" s="23"/>
      <c r="V6" s="23"/>
      <c r="W6" s="23"/>
      <c r="X6" s="23"/>
      <c r="Y6" s="23"/>
      <c r="Z6" s="23"/>
      <c r="AA6" s="11"/>
    </row>
    <row r="7" spans="1:27" x14ac:dyDescent="0.2">
      <c r="B7" s="24"/>
      <c r="C7" s="26"/>
      <c r="D7" s="23"/>
      <c r="E7" s="23"/>
      <c r="F7" s="23"/>
      <c r="G7" s="23"/>
      <c r="H7" s="23"/>
      <c r="I7" s="23"/>
      <c r="J7" s="23"/>
      <c r="K7" s="23"/>
      <c r="L7" s="23"/>
      <c r="M7" s="23"/>
      <c r="N7" s="23"/>
      <c r="O7" s="23"/>
      <c r="P7" s="23"/>
      <c r="Q7" s="23"/>
      <c r="R7" s="23"/>
      <c r="S7" s="23"/>
      <c r="T7" s="23"/>
      <c r="U7" s="23"/>
      <c r="V7" s="23"/>
      <c r="W7" s="23"/>
      <c r="X7" s="23"/>
      <c r="Y7" s="23"/>
      <c r="Z7" s="23"/>
      <c r="AA7" s="11"/>
    </row>
    <row r="8" spans="1:27" x14ac:dyDescent="0.2">
      <c r="B8" s="44"/>
      <c r="C8" s="77"/>
      <c r="D8" s="23"/>
      <c r="E8" s="23"/>
      <c r="F8" s="23"/>
      <c r="G8" s="23"/>
      <c r="H8" s="23"/>
      <c r="I8" s="23"/>
      <c r="J8" s="23"/>
      <c r="K8" s="23"/>
      <c r="L8" s="23"/>
      <c r="M8" s="23"/>
      <c r="N8" s="23"/>
      <c r="O8" s="23"/>
      <c r="P8" s="23"/>
      <c r="Q8" s="23"/>
      <c r="R8" s="23"/>
      <c r="S8" s="23"/>
      <c r="T8" s="23"/>
      <c r="U8" s="23"/>
      <c r="V8" s="23"/>
      <c r="W8" s="23"/>
      <c r="X8" s="23"/>
      <c r="Y8" s="23"/>
      <c r="Z8" s="23"/>
      <c r="AA8" s="11"/>
    </row>
    <row r="9" spans="1:27" x14ac:dyDescent="0.2">
      <c r="B9" s="44"/>
      <c r="C9" s="54"/>
      <c r="D9" s="54"/>
      <c r="E9" s="54"/>
      <c r="F9" s="54"/>
      <c r="G9" s="54"/>
      <c r="H9" s="54"/>
      <c r="I9" s="54"/>
      <c r="J9" s="54"/>
      <c r="K9" s="54"/>
      <c r="L9" s="78"/>
      <c r="M9" s="54"/>
      <c r="N9" s="78"/>
      <c r="O9" s="78"/>
      <c r="P9" s="78"/>
      <c r="Q9" s="78"/>
      <c r="R9" s="78"/>
      <c r="S9" s="78"/>
      <c r="T9" s="78"/>
      <c r="U9" s="78"/>
      <c r="V9" s="78"/>
      <c r="W9" s="78"/>
      <c r="X9" s="78"/>
      <c r="Y9" s="78"/>
      <c r="Z9" s="78"/>
      <c r="AA9" s="79"/>
    </row>
    <row r="10" spans="1:27" x14ac:dyDescent="0.2">
      <c r="B10" s="44"/>
      <c r="C10" s="54"/>
      <c r="D10" s="54"/>
      <c r="E10" s="54"/>
      <c r="F10" s="54"/>
      <c r="G10" s="54"/>
      <c r="H10" s="54"/>
      <c r="I10" s="54"/>
      <c r="J10" s="54"/>
      <c r="K10" s="54"/>
      <c r="L10" s="78"/>
      <c r="M10" s="54"/>
      <c r="N10" s="78"/>
      <c r="O10" s="78"/>
      <c r="P10" s="78"/>
      <c r="Q10" s="78"/>
      <c r="R10" s="78"/>
      <c r="S10" s="78"/>
      <c r="T10" s="78"/>
      <c r="U10" s="78"/>
      <c r="V10" s="78"/>
      <c r="W10" s="78"/>
      <c r="X10" s="78"/>
      <c r="Y10" s="78"/>
      <c r="Z10" s="78"/>
      <c r="AA10" s="79"/>
    </row>
    <row r="11" spans="1:27" x14ac:dyDescent="0.2">
      <c r="B11" s="44"/>
      <c r="C11" s="54"/>
      <c r="D11" s="54"/>
      <c r="E11" s="54"/>
      <c r="F11" s="54"/>
      <c r="G11" s="54"/>
      <c r="H11" s="54"/>
      <c r="I11" s="54"/>
      <c r="J11" s="54"/>
      <c r="K11" s="54"/>
      <c r="L11" s="78"/>
      <c r="M11" s="54"/>
      <c r="N11" s="78"/>
      <c r="O11" s="78"/>
      <c r="P11" s="78"/>
      <c r="Q11" s="78"/>
      <c r="R11" s="78"/>
      <c r="S11" s="78"/>
      <c r="T11" s="78"/>
      <c r="U11" s="78"/>
      <c r="V11" s="78"/>
      <c r="W11" s="78"/>
      <c r="X11" s="78"/>
      <c r="Y11" s="78"/>
      <c r="Z11" s="78"/>
      <c r="AA11" s="79"/>
    </row>
    <row r="12" spans="1:27" x14ac:dyDescent="0.2">
      <c r="B12" s="44"/>
      <c r="C12" s="54"/>
      <c r="D12" s="54"/>
      <c r="E12" s="54"/>
      <c r="F12" s="54"/>
      <c r="G12" s="54"/>
      <c r="H12" s="54"/>
      <c r="I12" s="54"/>
      <c r="J12" s="54"/>
      <c r="K12" s="78"/>
      <c r="L12" s="78"/>
      <c r="M12" s="54"/>
      <c r="N12" s="78"/>
      <c r="O12" s="78"/>
      <c r="P12" s="78"/>
      <c r="Q12" s="78"/>
      <c r="R12" s="78"/>
      <c r="S12" s="78"/>
      <c r="T12" s="78"/>
      <c r="U12" s="78"/>
      <c r="V12" s="78"/>
      <c r="W12" s="78"/>
      <c r="X12" s="78"/>
      <c r="Y12" s="78"/>
      <c r="Z12" s="78"/>
      <c r="AA12" s="79"/>
    </row>
    <row r="13" spans="1:27" x14ac:dyDescent="0.2">
      <c r="B13" s="44"/>
      <c r="C13" s="54"/>
      <c r="D13" s="54"/>
      <c r="E13" s="54"/>
      <c r="F13" s="54"/>
      <c r="G13" s="54"/>
      <c r="H13" s="54"/>
      <c r="I13" s="78"/>
      <c r="J13" s="54"/>
      <c r="K13" s="78"/>
      <c r="L13" s="78"/>
      <c r="M13" s="54"/>
      <c r="N13" s="78"/>
      <c r="O13" s="78"/>
      <c r="P13" s="78"/>
      <c r="Q13" s="78"/>
      <c r="R13" s="78"/>
      <c r="S13" s="78"/>
      <c r="T13" s="78"/>
      <c r="U13" s="78"/>
      <c r="V13" s="78"/>
      <c r="W13" s="78"/>
      <c r="X13" s="78"/>
      <c r="Y13" s="78"/>
      <c r="Z13" s="78"/>
      <c r="AA13" s="79"/>
    </row>
    <row r="14" spans="1:27" x14ac:dyDescent="0.2">
      <c r="B14" s="44"/>
      <c r="C14" s="54"/>
      <c r="D14" s="54"/>
      <c r="E14" s="54"/>
      <c r="F14" s="54"/>
      <c r="G14" s="54"/>
      <c r="H14" s="54"/>
      <c r="I14" s="78"/>
      <c r="J14" s="54"/>
      <c r="K14" s="78"/>
      <c r="L14" s="78"/>
      <c r="M14" s="78"/>
      <c r="N14" s="78"/>
      <c r="O14" s="78"/>
      <c r="P14" s="78"/>
      <c r="Q14" s="78"/>
      <c r="R14" s="78"/>
      <c r="S14" s="78"/>
      <c r="T14" s="78"/>
      <c r="U14" s="78"/>
      <c r="V14" s="78"/>
      <c r="W14" s="78"/>
      <c r="X14" s="78"/>
      <c r="Y14" s="78"/>
      <c r="Z14" s="78"/>
      <c r="AA14" s="79"/>
    </row>
    <row r="15" spans="1:27" x14ac:dyDescent="0.2">
      <c r="B15" s="44"/>
      <c r="C15" s="54"/>
      <c r="D15" s="54"/>
      <c r="E15" s="54"/>
      <c r="F15" s="54"/>
      <c r="G15" s="54"/>
      <c r="H15" s="54"/>
      <c r="I15" s="78"/>
      <c r="J15" s="54"/>
      <c r="K15" s="78"/>
      <c r="L15" s="78"/>
      <c r="M15" s="78"/>
      <c r="N15" s="78"/>
      <c r="O15" s="78"/>
      <c r="P15" s="78"/>
      <c r="Q15" s="78"/>
      <c r="R15" s="78"/>
      <c r="S15" s="78"/>
      <c r="T15" s="78"/>
      <c r="U15" s="78"/>
      <c r="V15" s="78"/>
      <c r="W15" s="78"/>
      <c r="X15" s="78"/>
      <c r="Y15" s="78"/>
      <c r="Z15" s="78"/>
      <c r="AA15" s="79"/>
    </row>
    <row r="16" spans="1:27" x14ac:dyDescent="0.2">
      <c r="B16" s="44"/>
      <c r="C16" s="54"/>
      <c r="D16" s="54"/>
      <c r="E16" s="54"/>
      <c r="F16" s="54"/>
      <c r="G16" s="54"/>
      <c r="H16" s="54"/>
      <c r="I16" s="78"/>
      <c r="J16" s="54"/>
      <c r="K16" s="78"/>
      <c r="L16" s="78"/>
      <c r="M16" s="78"/>
      <c r="N16" s="78"/>
      <c r="O16" s="78"/>
      <c r="P16" s="78"/>
      <c r="Q16" s="78"/>
      <c r="R16" s="78"/>
      <c r="S16" s="78"/>
      <c r="T16" s="78"/>
      <c r="U16" s="78"/>
      <c r="V16" s="78"/>
      <c r="W16" s="78"/>
      <c r="X16" s="78"/>
      <c r="Y16" s="78"/>
      <c r="Z16" s="78"/>
      <c r="AA16" s="79"/>
    </row>
    <row r="17" spans="2:27" x14ac:dyDescent="0.2">
      <c r="B17" s="44"/>
      <c r="C17" s="54"/>
      <c r="D17" s="54"/>
      <c r="E17" s="54"/>
      <c r="F17" s="78"/>
      <c r="G17" s="78"/>
      <c r="H17" s="78"/>
      <c r="I17" s="78"/>
      <c r="J17" s="78"/>
      <c r="K17" s="78"/>
      <c r="L17" s="78"/>
      <c r="M17" s="78"/>
      <c r="N17" s="78"/>
      <c r="O17" s="78"/>
      <c r="P17" s="78"/>
      <c r="Q17" s="78"/>
      <c r="R17" s="78"/>
      <c r="S17" s="78"/>
      <c r="T17" s="78"/>
      <c r="U17" s="78"/>
      <c r="V17" s="78"/>
      <c r="W17" s="78"/>
      <c r="X17" s="78"/>
      <c r="Y17" s="78"/>
      <c r="Z17" s="78"/>
      <c r="AA17" s="79"/>
    </row>
    <row r="18" spans="2:27" x14ac:dyDescent="0.2">
      <c r="B18" s="44"/>
      <c r="C18" s="54"/>
      <c r="D18" s="54"/>
      <c r="E18" s="54"/>
      <c r="F18" s="78"/>
      <c r="G18" s="78"/>
      <c r="H18" s="78"/>
      <c r="I18" s="78"/>
      <c r="J18" s="78"/>
      <c r="K18" s="78"/>
      <c r="L18" s="78"/>
      <c r="M18" s="78"/>
      <c r="N18" s="78"/>
      <c r="O18" s="78"/>
      <c r="P18" s="78"/>
      <c r="Q18" s="78"/>
      <c r="R18" s="78"/>
      <c r="S18" s="78"/>
      <c r="T18" s="78"/>
      <c r="U18" s="78"/>
      <c r="V18" s="78"/>
      <c r="W18" s="78"/>
      <c r="X18" s="78"/>
      <c r="Y18" s="78"/>
      <c r="Z18" s="78"/>
      <c r="AA18" s="79"/>
    </row>
    <row r="19" spans="2:27" x14ac:dyDescent="0.2">
      <c r="B19" s="24"/>
      <c r="C19" s="54"/>
      <c r="D19" s="54"/>
      <c r="E19" s="54"/>
      <c r="F19" s="78"/>
      <c r="G19" s="78"/>
      <c r="H19" s="78"/>
      <c r="I19" s="78"/>
      <c r="J19" s="78"/>
      <c r="K19" s="78"/>
      <c r="L19" s="78"/>
      <c r="M19" s="78"/>
      <c r="N19" s="78"/>
      <c r="O19" s="78"/>
      <c r="P19" s="78"/>
      <c r="Q19" s="78"/>
      <c r="R19" s="78"/>
      <c r="S19" s="78"/>
      <c r="T19" s="78"/>
      <c r="U19" s="78"/>
      <c r="V19" s="78"/>
      <c r="W19" s="78"/>
      <c r="X19" s="78"/>
      <c r="Y19" s="78"/>
      <c r="Z19" s="78"/>
      <c r="AA19" s="79"/>
    </row>
    <row r="20" spans="2:27" x14ac:dyDescent="0.2">
      <c r="B20" s="24"/>
      <c r="C20" s="54"/>
      <c r="D20" s="54"/>
      <c r="E20" s="54"/>
      <c r="F20" s="78"/>
      <c r="G20" s="78"/>
      <c r="H20" s="78"/>
      <c r="I20" s="78"/>
      <c r="J20" s="78"/>
      <c r="K20" s="78"/>
      <c r="L20" s="78"/>
      <c r="M20" s="78"/>
      <c r="N20" s="78"/>
      <c r="O20" s="78"/>
      <c r="P20" s="78"/>
      <c r="Q20" s="78"/>
      <c r="R20" s="78"/>
      <c r="S20" s="78"/>
      <c r="T20" s="78"/>
      <c r="U20" s="78"/>
      <c r="V20" s="78"/>
      <c r="W20" s="78"/>
      <c r="X20" s="78"/>
      <c r="Y20" s="78"/>
      <c r="Z20" s="78"/>
      <c r="AA20" s="79"/>
    </row>
    <row r="21" spans="2:27" x14ac:dyDescent="0.2">
      <c r="B21" s="24"/>
      <c r="C21" s="54"/>
      <c r="D21" s="54"/>
      <c r="E21" s="78"/>
      <c r="F21" s="78"/>
      <c r="G21" s="78"/>
      <c r="H21" s="78"/>
      <c r="I21" s="78"/>
      <c r="J21" s="78"/>
      <c r="K21" s="78"/>
      <c r="L21" s="78"/>
      <c r="M21" s="78"/>
      <c r="N21" s="78"/>
      <c r="O21" s="78"/>
      <c r="P21" s="78"/>
      <c r="Q21" s="78"/>
      <c r="R21" s="78"/>
      <c r="S21" s="78"/>
      <c r="T21" s="78"/>
      <c r="U21" s="78"/>
      <c r="V21" s="78"/>
      <c r="W21" s="78"/>
      <c r="X21" s="78"/>
      <c r="Y21" s="78"/>
      <c r="Z21" s="78"/>
      <c r="AA21" s="79"/>
    </row>
    <row r="22" spans="2:27" ht="14.25" x14ac:dyDescent="0.2">
      <c r="B22" s="24"/>
      <c r="C22" s="55"/>
      <c r="D22" s="54"/>
      <c r="E22" s="78"/>
      <c r="F22" s="78"/>
      <c r="G22" s="78"/>
      <c r="H22" s="78"/>
      <c r="I22" s="78"/>
      <c r="J22" s="78"/>
      <c r="K22" s="78"/>
      <c r="L22" s="78"/>
      <c r="M22" s="78"/>
      <c r="N22" s="78"/>
      <c r="O22" s="78"/>
      <c r="P22" s="78"/>
      <c r="Q22" s="78"/>
      <c r="R22" s="78"/>
      <c r="S22" s="78"/>
      <c r="T22" s="78"/>
      <c r="U22" s="78"/>
      <c r="V22" s="78"/>
      <c r="W22" s="78"/>
      <c r="X22" s="78"/>
      <c r="Y22" s="78"/>
      <c r="Z22" s="78"/>
      <c r="AA22" s="79"/>
    </row>
    <row r="23" spans="2:27" x14ac:dyDescent="0.2">
      <c r="B23" s="24"/>
      <c r="C23" s="54"/>
      <c r="D23" s="54"/>
      <c r="E23" s="54"/>
      <c r="F23" s="78"/>
      <c r="G23" s="78"/>
      <c r="H23" s="78"/>
      <c r="I23" s="78"/>
      <c r="J23" s="78"/>
      <c r="K23" s="78"/>
      <c r="L23" s="78"/>
      <c r="M23" s="78"/>
      <c r="N23" s="78"/>
      <c r="O23" s="78"/>
      <c r="P23" s="78"/>
      <c r="Q23" s="78"/>
      <c r="R23" s="78"/>
      <c r="S23" s="78"/>
      <c r="T23" s="78"/>
      <c r="U23" s="78"/>
      <c r="V23" s="78"/>
      <c r="W23" s="78"/>
      <c r="X23" s="78"/>
      <c r="Y23" s="78"/>
      <c r="Z23" s="78"/>
      <c r="AA23" s="79"/>
    </row>
    <row r="24" spans="2:27" x14ac:dyDescent="0.2">
      <c r="B24" s="24"/>
      <c r="C24" s="54"/>
      <c r="D24" s="54"/>
      <c r="E24" s="54"/>
      <c r="F24" s="78"/>
      <c r="G24" s="78"/>
      <c r="H24" s="78"/>
      <c r="I24" s="78"/>
      <c r="J24" s="78"/>
      <c r="K24" s="78"/>
      <c r="L24" s="78"/>
      <c r="M24" s="78"/>
      <c r="N24" s="78"/>
      <c r="O24" s="78"/>
      <c r="P24" s="78"/>
      <c r="Q24" s="78"/>
      <c r="R24" s="78"/>
      <c r="S24" s="78"/>
      <c r="T24" s="78"/>
      <c r="U24" s="78"/>
      <c r="V24" s="78"/>
      <c r="W24" s="78"/>
      <c r="X24" s="78"/>
      <c r="Y24" s="78"/>
      <c r="Z24" s="78"/>
      <c r="AA24" s="79"/>
    </row>
    <row r="25" spans="2:27" x14ac:dyDescent="0.2">
      <c r="B25" s="24"/>
      <c r="C25" s="54"/>
      <c r="D25" s="54"/>
      <c r="E25" s="54"/>
      <c r="F25" s="78"/>
      <c r="G25" s="78"/>
      <c r="H25" s="78"/>
      <c r="I25" s="78"/>
      <c r="J25" s="78"/>
      <c r="K25" s="78"/>
      <c r="L25" s="78"/>
      <c r="M25" s="78"/>
      <c r="N25" s="78"/>
      <c r="O25" s="78"/>
      <c r="P25" s="78"/>
      <c r="Q25" s="78"/>
      <c r="R25" s="78"/>
      <c r="S25" s="78"/>
      <c r="T25" s="78"/>
      <c r="U25" s="78"/>
      <c r="V25" s="78"/>
      <c r="W25" s="78"/>
      <c r="X25" s="78"/>
      <c r="Y25" s="78"/>
      <c r="Z25" s="78"/>
      <c r="AA25" s="79"/>
    </row>
    <row r="26" spans="2:27" x14ac:dyDescent="0.2">
      <c r="B26" s="24"/>
      <c r="C26" s="54"/>
      <c r="D26" s="54"/>
      <c r="E26" s="54"/>
      <c r="F26" s="78"/>
      <c r="G26" s="78"/>
      <c r="H26" s="78"/>
      <c r="I26" s="78"/>
      <c r="J26" s="78"/>
      <c r="K26" s="78"/>
      <c r="L26" s="78"/>
      <c r="M26" s="78"/>
      <c r="N26" s="78"/>
      <c r="O26" s="78"/>
      <c r="P26" s="78"/>
      <c r="Q26" s="78"/>
      <c r="R26" s="78"/>
      <c r="S26" s="78"/>
      <c r="T26" s="78"/>
      <c r="U26" s="78"/>
      <c r="V26" s="78"/>
      <c r="W26" s="78"/>
      <c r="X26" s="78"/>
      <c r="Y26" s="78"/>
      <c r="Z26" s="78"/>
      <c r="AA26" s="79"/>
    </row>
    <row r="27" spans="2:27" x14ac:dyDescent="0.2">
      <c r="B27" s="24"/>
      <c r="C27" s="54"/>
      <c r="D27" s="54"/>
      <c r="E27" s="54"/>
      <c r="F27" s="78"/>
      <c r="G27" s="78"/>
      <c r="H27" s="78"/>
      <c r="I27" s="78"/>
      <c r="J27" s="78"/>
      <c r="K27" s="78"/>
      <c r="L27" s="78"/>
      <c r="M27" s="78"/>
      <c r="N27" s="78"/>
      <c r="O27" s="78"/>
      <c r="P27" s="78"/>
      <c r="Q27" s="78"/>
      <c r="R27" s="78"/>
      <c r="S27" s="78"/>
      <c r="T27" s="78"/>
      <c r="U27" s="78"/>
      <c r="V27" s="78"/>
      <c r="W27" s="78"/>
      <c r="X27" s="78"/>
      <c r="Y27" s="78"/>
      <c r="Z27" s="78"/>
      <c r="AA27" s="79"/>
    </row>
    <row r="28" spans="2:27" x14ac:dyDescent="0.2">
      <c r="B28" s="24"/>
      <c r="C28" s="54"/>
      <c r="D28" s="54"/>
      <c r="E28" s="78"/>
      <c r="F28" s="78"/>
      <c r="G28" s="78"/>
      <c r="H28" s="78"/>
      <c r="I28" s="78"/>
      <c r="J28" s="78"/>
      <c r="K28" s="78"/>
      <c r="L28" s="78"/>
      <c r="M28" s="78"/>
      <c r="N28" s="78"/>
      <c r="O28" s="78"/>
      <c r="P28" s="78"/>
      <c r="Q28" s="78"/>
      <c r="R28" s="78"/>
      <c r="S28" s="78"/>
      <c r="T28" s="78"/>
      <c r="U28" s="78"/>
      <c r="V28" s="78"/>
      <c r="W28" s="78"/>
      <c r="X28" s="78"/>
      <c r="Y28" s="78"/>
      <c r="Z28" s="78"/>
      <c r="AA28" s="79"/>
    </row>
    <row r="29" spans="2:27" ht="14.25" x14ac:dyDescent="0.2">
      <c r="B29" s="24"/>
      <c r="C29" s="55"/>
      <c r="D29" s="54"/>
      <c r="E29" s="78"/>
      <c r="F29" s="78"/>
      <c r="G29" s="78"/>
      <c r="H29" s="78"/>
      <c r="I29" s="78"/>
      <c r="J29" s="78"/>
      <c r="K29" s="78"/>
      <c r="L29" s="78"/>
      <c r="M29" s="78"/>
      <c r="N29" s="78"/>
      <c r="O29" s="78"/>
      <c r="P29" s="78"/>
      <c r="Q29" s="78"/>
      <c r="R29" s="78"/>
      <c r="S29" s="78"/>
      <c r="T29" s="78"/>
      <c r="U29" s="78"/>
      <c r="V29" s="78"/>
      <c r="W29" s="78"/>
      <c r="X29" s="78"/>
      <c r="Y29" s="78"/>
      <c r="Z29" s="78"/>
      <c r="AA29" s="79"/>
    </row>
    <row r="30" spans="2:27" x14ac:dyDescent="0.2">
      <c r="B30" s="24"/>
      <c r="C30" s="54"/>
      <c r="D30" s="54"/>
      <c r="E30" s="54"/>
      <c r="F30" s="78"/>
      <c r="G30" s="78"/>
      <c r="H30" s="78"/>
      <c r="I30" s="78"/>
      <c r="J30" s="78"/>
      <c r="K30" s="78"/>
      <c r="L30" s="78"/>
      <c r="M30" s="78"/>
      <c r="N30" s="78"/>
      <c r="O30" s="78"/>
      <c r="P30" s="78"/>
      <c r="Q30" s="78"/>
      <c r="R30" s="78"/>
      <c r="S30" s="78"/>
      <c r="T30" s="78"/>
      <c r="U30" s="78"/>
      <c r="V30" s="78"/>
      <c r="W30" s="78"/>
      <c r="X30" s="78"/>
      <c r="Y30" s="78"/>
      <c r="Z30" s="78"/>
      <c r="AA30" s="79"/>
    </row>
    <row r="31" spans="2:27" x14ac:dyDescent="0.2">
      <c r="B31" s="24"/>
      <c r="C31" s="54"/>
      <c r="D31" s="54"/>
      <c r="E31" s="54"/>
      <c r="F31" s="78"/>
      <c r="G31" s="78"/>
      <c r="H31" s="78"/>
      <c r="I31" s="78"/>
      <c r="J31" s="78"/>
      <c r="K31" s="78"/>
      <c r="L31" s="78"/>
      <c r="M31" s="78"/>
      <c r="N31" s="78"/>
      <c r="O31" s="78"/>
      <c r="P31" s="78"/>
      <c r="Q31" s="78"/>
      <c r="R31" s="78"/>
      <c r="S31" s="78"/>
      <c r="T31" s="78"/>
      <c r="U31" s="78"/>
      <c r="V31" s="78"/>
      <c r="W31" s="78"/>
      <c r="X31" s="78"/>
      <c r="Y31" s="78"/>
      <c r="Z31" s="78"/>
      <c r="AA31" s="79"/>
    </row>
    <row r="32" spans="2:27" x14ac:dyDescent="0.2">
      <c r="B32" s="24"/>
      <c r="C32" s="54"/>
      <c r="D32" s="54"/>
      <c r="E32" s="54"/>
      <c r="F32" s="78"/>
      <c r="G32" s="78"/>
      <c r="H32" s="78"/>
      <c r="I32" s="78"/>
      <c r="J32" s="78"/>
      <c r="K32" s="78"/>
      <c r="L32" s="78"/>
      <c r="M32" s="78"/>
      <c r="N32" s="78"/>
      <c r="O32" s="78"/>
      <c r="P32" s="78"/>
      <c r="Q32" s="78"/>
      <c r="R32" s="78"/>
      <c r="S32" s="78"/>
      <c r="T32" s="78"/>
      <c r="U32" s="78"/>
      <c r="V32" s="78"/>
      <c r="W32" s="78"/>
      <c r="X32" s="78"/>
      <c r="Y32" s="78"/>
      <c r="Z32" s="78"/>
      <c r="AA32" s="79"/>
    </row>
    <row r="33" spans="2:27" x14ac:dyDescent="0.2">
      <c r="B33" s="24"/>
      <c r="C33" s="54"/>
      <c r="D33" s="54"/>
      <c r="E33" s="54"/>
      <c r="F33" s="78"/>
      <c r="G33" s="78"/>
      <c r="H33" s="78"/>
      <c r="I33" s="78"/>
      <c r="J33" s="78"/>
      <c r="K33" s="78"/>
      <c r="L33" s="78"/>
      <c r="M33" s="78"/>
      <c r="N33" s="78"/>
      <c r="O33" s="78"/>
      <c r="P33" s="78"/>
      <c r="Q33" s="78"/>
      <c r="R33" s="78"/>
      <c r="S33" s="78"/>
      <c r="T33" s="78"/>
      <c r="U33" s="78"/>
      <c r="V33" s="78"/>
      <c r="W33" s="78"/>
      <c r="X33" s="78"/>
      <c r="Y33" s="78"/>
      <c r="Z33" s="78"/>
      <c r="AA33" s="79"/>
    </row>
    <row r="34" spans="2:27" x14ac:dyDescent="0.2">
      <c r="B34" s="24"/>
      <c r="C34" s="54"/>
      <c r="D34" s="54"/>
      <c r="E34" s="54"/>
      <c r="F34" s="78"/>
      <c r="G34" s="78"/>
      <c r="H34" s="78"/>
      <c r="I34" s="78"/>
      <c r="J34" s="78"/>
      <c r="K34" s="78"/>
      <c r="L34" s="78"/>
      <c r="M34" s="78"/>
      <c r="N34" s="78"/>
      <c r="O34" s="78"/>
      <c r="P34" s="78"/>
      <c r="Q34" s="78"/>
      <c r="R34" s="78"/>
      <c r="S34" s="78"/>
      <c r="T34" s="78"/>
      <c r="U34" s="78"/>
      <c r="V34" s="78"/>
      <c r="W34" s="78"/>
      <c r="X34" s="78"/>
      <c r="Y34" s="78"/>
      <c r="Z34" s="78"/>
      <c r="AA34" s="79"/>
    </row>
    <row r="35" spans="2:27" x14ac:dyDescent="0.2">
      <c r="B35" s="24"/>
      <c r="C35" s="54"/>
      <c r="D35" s="54"/>
      <c r="E35" s="78"/>
      <c r="F35" s="78"/>
      <c r="G35" s="78"/>
      <c r="H35" s="78"/>
      <c r="I35" s="78"/>
      <c r="J35" s="78"/>
      <c r="K35" s="78"/>
      <c r="L35" s="78"/>
      <c r="M35" s="78"/>
      <c r="N35" s="78"/>
      <c r="O35" s="78"/>
      <c r="P35" s="78"/>
      <c r="Q35" s="78"/>
      <c r="R35" s="78"/>
      <c r="S35" s="78"/>
      <c r="T35" s="78"/>
      <c r="U35" s="78"/>
      <c r="V35" s="78"/>
      <c r="W35" s="78"/>
      <c r="X35" s="78"/>
      <c r="Y35" s="78"/>
      <c r="Z35" s="78"/>
      <c r="AA35" s="79"/>
    </row>
    <row r="36" spans="2:27" x14ac:dyDescent="0.2">
      <c r="B36" s="24"/>
      <c r="C36" s="54"/>
      <c r="D36" s="54"/>
      <c r="E36" s="78"/>
      <c r="F36" s="78"/>
      <c r="G36" s="78"/>
      <c r="H36" s="78"/>
      <c r="I36" s="78"/>
      <c r="J36" s="78"/>
      <c r="K36" s="78"/>
      <c r="L36" s="78"/>
      <c r="M36" s="78"/>
      <c r="N36" s="78"/>
      <c r="O36" s="78"/>
      <c r="P36" s="78"/>
      <c r="Q36" s="78"/>
      <c r="R36" s="78"/>
      <c r="S36" s="78"/>
      <c r="T36" s="78"/>
      <c r="U36" s="78"/>
      <c r="V36" s="78"/>
      <c r="W36" s="78"/>
      <c r="X36" s="78"/>
      <c r="Y36" s="78"/>
      <c r="Z36" s="78"/>
      <c r="AA36" s="79"/>
    </row>
    <row r="37" spans="2:27" x14ac:dyDescent="0.2">
      <c r="B37" s="24"/>
      <c r="C37" s="54"/>
      <c r="D37" s="54"/>
      <c r="E37" s="78"/>
      <c r="F37" s="78"/>
      <c r="G37" s="78"/>
      <c r="H37" s="78"/>
      <c r="I37" s="78"/>
      <c r="J37" s="78"/>
      <c r="K37" s="78"/>
      <c r="L37" s="78"/>
      <c r="M37" s="78"/>
      <c r="N37" s="78"/>
      <c r="O37" s="78"/>
      <c r="P37" s="78"/>
      <c r="Q37" s="78"/>
      <c r="R37" s="78"/>
      <c r="S37" s="78"/>
      <c r="T37" s="78"/>
      <c r="U37" s="78"/>
      <c r="V37" s="78"/>
      <c r="W37" s="78"/>
      <c r="X37" s="78"/>
      <c r="Y37" s="78"/>
      <c r="Z37" s="78"/>
      <c r="AA37" s="79"/>
    </row>
    <row r="38" spans="2:27" x14ac:dyDescent="0.2">
      <c r="B38" s="24"/>
      <c r="C38" s="54"/>
      <c r="D38" s="54"/>
      <c r="E38" s="78"/>
      <c r="F38" s="78"/>
      <c r="G38" s="78"/>
      <c r="H38" s="78"/>
      <c r="I38" s="78"/>
      <c r="J38" s="78"/>
      <c r="K38" s="78"/>
      <c r="L38" s="78"/>
      <c r="M38" s="78"/>
      <c r="N38" s="78"/>
      <c r="O38" s="78"/>
      <c r="P38" s="78"/>
      <c r="Q38" s="78"/>
      <c r="R38" s="78"/>
      <c r="S38" s="78"/>
      <c r="T38" s="78"/>
      <c r="U38" s="78"/>
      <c r="V38" s="78"/>
      <c r="W38" s="78"/>
      <c r="X38" s="78"/>
      <c r="Y38" s="78"/>
      <c r="Z38" s="78"/>
      <c r="AA38" s="79"/>
    </row>
    <row r="39" spans="2:27" x14ac:dyDescent="0.2">
      <c r="B39" s="24"/>
      <c r="C39" s="54"/>
      <c r="D39" s="54"/>
      <c r="E39" s="78"/>
      <c r="F39" s="78"/>
      <c r="G39" s="78"/>
      <c r="H39" s="78"/>
      <c r="I39" s="78"/>
      <c r="J39" s="78"/>
      <c r="K39" s="78"/>
      <c r="L39" s="78"/>
      <c r="M39" s="78"/>
      <c r="N39" s="78"/>
      <c r="O39" s="78"/>
      <c r="P39" s="78"/>
      <c r="Q39" s="78"/>
      <c r="R39" s="78"/>
      <c r="S39" s="78"/>
      <c r="T39" s="78"/>
      <c r="U39" s="78"/>
      <c r="V39" s="78"/>
      <c r="W39" s="78"/>
      <c r="X39" s="78"/>
      <c r="Y39" s="78"/>
      <c r="Z39" s="78"/>
      <c r="AA39" s="79"/>
    </row>
    <row r="40" spans="2:27" x14ac:dyDescent="0.2">
      <c r="B40" s="24"/>
      <c r="C40" s="54"/>
      <c r="D40" s="54"/>
      <c r="E40" s="78"/>
      <c r="F40" s="78"/>
      <c r="G40" s="78"/>
      <c r="H40" s="78"/>
      <c r="I40" s="78"/>
      <c r="J40" s="78"/>
      <c r="K40" s="78"/>
      <c r="L40" s="78"/>
      <c r="M40" s="78"/>
      <c r="N40" s="78"/>
      <c r="O40" s="78"/>
      <c r="P40" s="78"/>
      <c r="Q40" s="78"/>
      <c r="R40" s="78"/>
      <c r="S40" s="78"/>
      <c r="T40" s="78"/>
      <c r="U40" s="78"/>
      <c r="V40" s="78"/>
      <c r="W40" s="78"/>
      <c r="X40" s="78"/>
      <c r="Y40" s="78"/>
      <c r="Z40" s="78"/>
      <c r="AA40" s="79"/>
    </row>
    <row r="41" spans="2:27" x14ac:dyDescent="0.2">
      <c r="B41" s="24"/>
      <c r="C41" s="54"/>
      <c r="D41" s="54"/>
      <c r="E41" s="78"/>
      <c r="F41" s="78"/>
      <c r="G41" s="78"/>
      <c r="H41" s="78"/>
      <c r="I41" s="78"/>
      <c r="J41" s="78"/>
      <c r="K41" s="78"/>
      <c r="L41" s="78"/>
      <c r="M41" s="78"/>
      <c r="N41" s="78"/>
      <c r="O41" s="78"/>
      <c r="P41" s="78"/>
      <c r="Q41" s="78"/>
      <c r="R41" s="78"/>
      <c r="S41" s="78"/>
      <c r="T41" s="78"/>
      <c r="U41" s="78"/>
      <c r="V41" s="78"/>
      <c r="W41" s="78"/>
      <c r="X41" s="78"/>
      <c r="Y41" s="78"/>
      <c r="Z41" s="78"/>
      <c r="AA41" s="79"/>
    </row>
    <row r="42" spans="2:27" x14ac:dyDescent="0.2">
      <c r="B42" s="24"/>
      <c r="C42" s="54"/>
      <c r="D42" s="54"/>
      <c r="E42" s="78"/>
      <c r="F42" s="78"/>
      <c r="G42" s="78"/>
      <c r="H42" s="78"/>
      <c r="I42" s="78"/>
      <c r="J42" s="78"/>
      <c r="K42" s="78"/>
      <c r="L42" s="78"/>
      <c r="M42" s="78"/>
      <c r="N42" s="78"/>
      <c r="O42" s="78"/>
      <c r="P42" s="78"/>
      <c r="Q42" s="78"/>
      <c r="R42" s="78"/>
      <c r="S42" s="78"/>
      <c r="T42" s="78"/>
      <c r="U42" s="78"/>
      <c r="V42" s="78"/>
      <c r="W42" s="78"/>
      <c r="X42" s="78"/>
      <c r="Y42" s="78"/>
      <c r="Z42" s="78"/>
      <c r="AA42" s="79"/>
    </row>
    <row r="43" spans="2:27" x14ac:dyDescent="0.2">
      <c r="B43" s="24"/>
      <c r="C43" s="78"/>
      <c r="D43" s="78"/>
      <c r="E43" s="78"/>
      <c r="F43" s="78"/>
      <c r="G43" s="78"/>
      <c r="H43" s="78"/>
      <c r="I43" s="78"/>
      <c r="J43" s="78"/>
      <c r="K43" s="78"/>
      <c r="L43" s="78"/>
      <c r="M43" s="78"/>
      <c r="N43" s="78"/>
      <c r="O43" s="78"/>
      <c r="P43" s="78"/>
      <c r="Q43" s="78"/>
      <c r="R43" s="78"/>
      <c r="S43" s="78"/>
      <c r="T43" s="78"/>
      <c r="U43" s="78"/>
      <c r="V43" s="78"/>
      <c r="W43" s="78"/>
      <c r="X43" s="78"/>
      <c r="Y43" s="78"/>
      <c r="Z43" s="78"/>
      <c r="AA43" s="79"/>
    </row>
    <row r="44" spans="2:27" ht="14.25" x14ac:dyDescent="0.2">
      <c r="B44" s="24"/>
      <c r="C44" s="55"/>
      <c r="D44" s="78"/>
      <c r="E44" s="78"/>
      <c r="F44" s="78"/>
      <c r="G44" s="78"/>
      <c r="H44" s="78"/>
      <c r="I44" s="78"/>
      <c r="J44" s="78"/>
      <c r="K44" s="78"/>
      <c r="L44" s="78"/>
      <c r="M44" s="78"/>
      <c r="N44" s="78"/>
      <c r="O44" s="78"/>
      <c r="P44" s="78"/>
      <c r="Q44" s="78"/>
      <c r="R44" s="78"/>
      <c r="S44" s="78"/>
      <c r="T44" s="78"/>
      <c r="U44" s="78"/>
      <c r="V44" s="78"/>
      <c r="W44" s="78"/>
      <c r="X44" s="78"/>
      <c r="Y44" s="78"/>
      <c r="Z44" s="78"/>
      <c r="AA44" s="79"/>
    </row>
    <row r="45" spans="2:27" x14ac:dyDescent="0.2">
      <c r="B45" s="24"/>
      <c r="C45" s="54"/>
      <c r="D45" s="54"/>
      <c r="E45" s="78"/>
      <c r="F45" s="78"/>
      <c r="G45" s="78"/>
      <c r="H45" s="78"/>
      <c r="I45" s="78"/>
      <c r="J45" s="78"/>
      <c r="K45" s="78"/>
      <c r="L45" s="78"/>
      <c r="M45" s="78"/>
      <c r="N45" s="78"/>
      <c r="O45" s="78"/>
      <c r="P45" s="78"/>
      <c r="Q45" s="78"/>
      <c r="R45" s="78"/>
      <c r="S45" s="78"/>
      <c r="T45" s="78"/>
      <c r="U45" s="78"/>
      <c r="V45" s="78"/>
      <c r="W45" s="78"/>
      <c r="X45" s="78"/>
      <c r="Y45" s="78"/>
      <c r="Z45" s="78"/>
      <c r="AA45" s="79"/>
    </row>
    <row r="46" spans="2:27" x14ac:dyDescent="0.2">
      <c r="B46" s="24"/>
      <c r="C46" s="54"/>
      <c r="D46" s="54"/>
      <c r="E46" s="78"/>
      <c r="F46" s="78"/>
      <c r="G46" s="78"/>
      <c r="H46" s="78"/>
      <c r="I46" s="78"/>
      <c r="J46" s="78"/>
      <c r="K46" s="78"/>
      <c r="L46" s="78"/>
      <c r="M46" s="78"/>
      <c r="N46" s="78"/>
      <c r="O46" s="78"/>
      <c r="P46" s="78"/>
      <c r="Q46" s="78"/>
      <c r="R46" s="78"/>
      <c r="S46" s="78"/>
      <c r="T46" s="78"/>
      <c r="U46" s="78"/>
      <c r="V46" s="78"/>
      <c r="W46" s="78"/>
      <c r="X46" s="78"/>
      <c r="Y46" s="78"/>
      <c r="Z46" s="78"/>
      <c r="AA46" s="79"/>
    </row>
    <row r="47" spans="2:27" x14ac:dyDescent="0.2">
      <c r="B47" s="24"/>
      <c r="C47" s="54"/>
      <c r="D47" s="54"/>
      <c r="E47" s="78"/>
      <c r="F47" s="78"/>
      <c r="G47" s="78"/>
      <c r="H47" s="78"/>
      <c r="I47" s="78"/>
      <c r="J47" s="78"/>
      <c r="K47" s="78"/>
      <c r="L47" s="78"/>
      <c r="M47" s="78"/>
      <c r="N47" s="78"/>
      <c r="O47" s="78"/>
      <c r="P47" s="78"/>
      <c r="Q47" s="78"/>
      <c r="R47" s="78"/>
      <c r="S47" s="78"/>
      <c r="T47" s="78"/>
      <c r="U47" s="78"/>
      <c r="V47" s="78"/>
      <c r="W47" s="78"/>
      <c r="X47" s="78"/>
      <c r="Y47" s="78"/>
      <c r="Z47" s="78"/>
      <c r="AA47" s="79"/>
    </row>
    <row r="48" spans="2:27" x14ac:dyDescent="0.2">
      <c r="B48" s="24"/>
      <c r="C48" s="54"/>
      <c r="D48" s="54"/>
      <c r="E48" s="78"/>
      <c r="F48" s="78"/>
      <c r="G48" s="78"/>
      <c r="H48" s="78"/>
      <c r="I48" s="78"/>
      <c r="J48" s="78"/>
      <c r="K48" s="78"/>
      <c r="L48" s="78"/>
      <c r="M48" s="78"/>
      <c r="N48" s="78"/>
      <c r="O48" s="78"/>
      <c r="P48" s="78"/>
      <c r="Q48" s="78"/>
      <c r="R48" s="78"/>
      <c r="S48" s="78"/>
      <c r="T48" s="78"/>
      <c r="U48" s="78"/>
      <c r="V48" s="78"/>
      <c r="W48" s="78"/>
      <c r="X48" s="78"/>
      <c r="Y48" s="78"/>
      <c r="Z48" s="78"/>
      <c r="AA48" s="79"/>
    </row>
    <row r="49" spans="2:27" x14ac:dyDescent="0.2">
      <c r="B49" s="24"/>
      <c r="C49" s="54"/>
      <c r="D49" s="54"/>
      <c r="E49" s="78"/>
      <c r="F49" s="78"/>
      <c r="G49" s="78"/>
      <c r="H49" s="78"/>
      <c r="I49" s="78"/>
      <c r="J49" s="78"/>
      <c r="K49" s="78"/>
      <c r="L49" s="78"/>
      <c r="M49" s="78"/>
      <c r="N49" s="78"/>
      <c r="O49" s="78"/>
      <c r="P49" s="78"/>
      <c r="Q49" s="78"/>
      <c r="R49" s="78"/>
      <c r="S49" s="78"/>
      <c r="T49" s="78"/>
      <c r="U49" s="78"/>
      <c r="V49" s="78"/>
      <c r="W49" s="78"/>
      <c r="X49" s="78"/>
      <c r="Y49" s="78"/>
      <c r="Z49" s="78"/>
      <c r="AA49" s="79"/>
    </row>
    <row r="50" spans="2:27" x14ac:dyDescent="0.2">
      <c r="B50" s="24"/>
      <c r="C50" s="54"/>
      <c r="D50" s="54"/>
      <c r="E50" s="78"/>
      <c r="F50" s="78"/>
      <c r="G50" s="78"/>
      <c r="H50" s="78"/>
      <c r="I50" s="78"/>
      <c r="J50" s="78"/>
      <c r="K50" s="78"/>
      <c r="L50" s="78"/>
      <c r="M50" s="78"/>
      <c r="N50" s="78"/>
      <c r="O50" s="78"/>
      <c r="P50" s="78"/>
      <c r="Q50" s="78"/>
      <c r="R50" s="78"/>
      <c r="S50" s="78"/>
      <c r="T50" s="78"/>
      <c r="U50" s="78"/>
      <c r="V50" s="78"/>
      <c r="W50" s="78"/>
      <c r="X50" s="78"/>
      <c r="Y50" s="78"/>
      <c r="Z50" s="78"/>
      <c r="AA50" s="79"/>
    </row>
    <row r="51" spans="2:27" x14ac:dyDescent="0.2">
      <c r="B51" s="24"/>
      <c r="C51" s="54"/>
      <c r="D51" s="54"/>
      <c r="E51" s="78"/>
      <c r="F51" s="78"/>
      <c r="G51" s="78"/>
      <c r="H51" s="78"/>
      <c r="I51" s="78"/>
      <c r="J51" s="78"/>
      <c r="K51" s="78"/>
      <c r="L51" s="78"/>
      <c r="M51" s="78"/>
      <c r="N51" s="78"/>
      <c r="O51" s="78"/>
      <c r="P51" s="78"/>
      <c r="Q51" s="78"/>
      <c r="R51" s="78"/>
      <c r="S51" s="78"/>
      <c r="T51" s="78"/>
      <c r="U51" s="78"/>
      <c r="V51" s="78"/>
      <c r="W51" s="78"/>
      <c r="X51" s="78"/>
      <c r="Y51" s="78"/>
      <c r="Z51" s="78"/>
      <c r="AA51" s="79"/>
    </row>
    <row r="52" spans="2:27" x14ac:dyDescent="0.2">
      <c r="B52" s="24"/>
      <c r="C52" s="54"/>
      <c r="D52" s="54"/>
      <c r="E52" s="78"/>
      <c r="F52" s="78"/>
      <c r="G52" s="78"/>
      <c r="H52" s="78"/>
      <c r="I52" s="78"/>
      <c r="J52" s="78"/>
      <c r="K52" s="78"/>
      <c r="L52" s="78"/>
      <c r="M52" s="78"/>
      <c r="N52" s="78"/>
      <c r="O52" s="78"/>
      <c r="P52" s="78"/>
      <c r="Q52" s="78"/>
      <c r="R52" s="78"/>
      <c r="S52" s="78"/>
      <c r="T52" s="78"/>
      <c r="U52" s="78"/>
      <c r="V52" s="78"/>
      <c r="W52" s="78"/>
      <c r="X52" s="78"/>
      <c r="Y52" s="78"/>
      <c r="Z52" s="78"/>
      <c r="AA52" s="79"/>
    </row>
    <row r="53" spans="2:27" x14ac:dyDescent="0.2">
      <c r="B53" s="24"/>
      <c r="C53" s="54"/>
      <c r="D53" s="54"/>
      <c r="E53" s="78"/>
      <c r="F53" s="78"/>
      <c r="G53" s="78"/>
      <c r="H53" s="78"/>
      <c r="I53" s="78"/>
      <c r="J53" s="78"/>
      <c r="K53" s="78"/>
      <c r="L53" s="78"/>
      <c r="M53" s="78"/>
      <c r="N53" s="78"/>
      <c r="O53" s="78"/>
      <c r="P53" s="78"/>
      <c r="Q53" s="78"/>
      <c r="R53" s="78"/>
      <c r="S53" s="78"/>
      <c r="T53" s="78"/>
      <c r="U53" s="78"/>
      <c r="V53" s="78"/>
      <c r="W53" s="78"/>
      <c r="X53" s="78"/>
      <c r="Y53" s="78"/>
      <c r="Z53" s="78"/>
      <c r="AA53" s="79"/>
    </row>
    <row r="54" spans="2:27" x14ac:dyDescent="0.2">
      <c r="B54" s="24"/>
      <c r="C54" s="54"/>
      <c r="D54" s="54"/>
      <c r="E54" s="78"/>
      <c r="F54" s="78"/>
      <c r="G54" s="78"/>
      <c r="H54" s="78"/>
      <c r="I54" s="78"/>
      <c r="J54" s="78"/>
      <c r="K54" s="78"/>
      <c r="L54" s="78"/>
      <c r="M54" s="78"/>
      <c r="N54" s="78"/>
      <c r="O54" s="78"/>
      <c r="P54" s="78"/>
      <c r="Q54" s="78"/>
      <c r="R54" s="78"/>
      <c r="S54" s="78"/>
      <c r="T54" s="78"/>
      <c r="U54" s="78"/>
      <c r="V54" s="78"/>
      <c r="W54" s="78"/>
      <c r="X54" s="78"/>
      <c r="Y54" s="78"/>
      <c r="Z54" s="78"/>
      <c r="AA54" s="79"/>
    </row>
    <row r="55" spans="2:27" ht="14.25" x14ac:dyDescent="0.2">
      <c r="B55" s="24"/>
      <c r="C55" s="55"/>
      <c r="D55" s="78"/>
      <c r="E55" s="78"/>
      <c r="F55" s="78"/>
      <c r="G55" s="78"/>
      <c r="H55" s="78"/>
      <c r="I55" s="78"/>
      <c r="J55" s="78"/>
      <c r="K55" s="78"/>
      <c r="L55" s="78"/>
      <c r="M55" s="78"/>
      <c r="N55" s="78"/>
      <c r="O55" s="78"/>
      <c r="P55" s="78"/>
      <c r="Q55" s="78"/>
      <c r="R55" s="78"/>
      <c r="S55" s="78"/>
      <c r="T55" s="78"/>
      <c r="U55" s="78"/>
      <c r="V55" s="78"/>
      <c r="W55" s="78"/>
      <c r="X55" s="78"/>
      <c r="Y55" s="78"/>
      <c r="Z55" s="78"/>
      <c r="AA55" s="79"/>
    </row>
    <row r="56" spans="2:27" x14ac:dyDescent="0.2">
      <c r="B56" s="24"/>
      <c r="C56" s="78"/>
      <c r="D56" s="78"/>
      <c r="E56" s="78"/>
      <c r="F56" s="78"/>
      <c r="G56" s="78"/>
      <c r="H56" s="78"/>
      <c r="I56" s="78"/>
      <c r="J56" s="78"/>
      <c r="K56" s="78"/>
      <c r="L56" s="78"/>
      <c r="M56" s="78"/>
      <c r="N56" s="78"/>
      <c r="O56" s="78"/>
      <c r="P56" s="78"/>
      <c r="Q56" s="78"/>
      <c r="R56" s="78"/>
      <c r="S56" s="78"/>
      <c r="T56" s="78"/>
      <c r="U56" s="78"/>
      <c r="V56" s="78"/>
      <c r="W56" s="78"/>
      <c r="X56" s="78"/>
      <c r="Y56" s="78"/>
      <c r="Z56" s="78"/>
      <c r="AA56" s="79"/>
    </row>
    <row r="57" spans="2:27" x14ac:dyDescent="0.2">
      <c r="B57" s="24"/>
      <c r="C57" s="78"/>
      <c r="D57" s="78"/>
      <c r="E57" s="78"/>
      <c r="F57" s="78"/>
      <c r="G57" s="78"/>
      <c r="H57" s="78"/>
      <c r="I57" s="78"/>
      <c r="J57" s="78"/>
      <c r="K57" s="78"/>
      <c r="L57" s="78"/>
      <c r="M57" s="78"/>
      <c r="N57" s="78"/>
      <c r="O57" s="78"/>
      <c r="P57" s="78"/>
      <c r="Q57" s="78"/>
      <c r="R57" s="78"/>
      <c r="S57" s="78"/>
      <c r="T57" s="78"/>
      <c r="U57" s="78"/>
      <c r="V57" s="78"/>
      <c r="W57" s="78"/>
      <c r="X57" s="78"/>
      <c r="Y57" s="78"/>
      <c r="Z57" s="78"/>
      <c r="AA57" s="79"/>
    </row>
    <row r="58" spans="2:27" x14ac:dyDescent="0.2">
      <c r="B58" s="24"/>
      <c r="C58" s="78"/>
      <c r="D58" s="78"/>
      <c r="E58" s="78"/>
      <c r="F58" s="78"/>
      <c r="G58" s="78"/>
      <c r="H58" s="78"/>
      <c r="I58" s="78"/>
      <c r="J58" s="78"/>
      <c r="K58" s="78"/>
      <c r="L58" s="78"/>
      <c r="M58" s="78"/>
      <c r="N58" s="78"/>
      <c r="O58" s="78"/>
      <c r="P58" s="78"/>
      <c r="Q58" s="78"/>
      <c r="R58" s="78"/>
      <c r="S58" s="78"/>
      <c r="T58" s="78"/>
      <c r="U58" s="78"/>
      <c r="V58" s="78"/>
      <c r="W58" s="78"/>
      <c r="X58" s="78"/>
      <c r="Y58" s="78"/>
      <c r="Z58" s="78"/>
      <c r="AA58" s="79"/>
    </row>
    <row r="59" spans="2:27" x14ac:dyDescent="0.2">
      <c r="B59" s="24"/>
      <c r="C59" s="78"/>
      <c r="D59" s="78"/>
      <c r="E59" s="78"/>
      <c r="F59" s="78"/>
      <c r="G59" s="78"/>
      <c r="H59" s="78"/>
      <c r="I59" s="78"/>
      <c r="J59" s="78"/>
      <c r="K59" s="78"/>
      <c r="L59" s="78"/>
      <c r="M59" s="78"/>
      <c r="N59" s="78"/>
      <c r="O59" s="78"/>
      <c r="P59" s="78"/>
      <c r="Q59" s="78"/>
      <c r="R59" s="78"/>
      <c r="S59" s="78"/>
      <c r="T59" s="78"/>
      <c r="U59" s="78"/>
      <c r="V59" s="78"/>
      <c r="W59" s="78"/>
      <c r="X59" s="78"/>
      <c r="Y59" s="78"/>
      <c r="Z59" s="78"/>
      <c r="AA59" s="79"/>
    </row>
    <row r="60" spans="2:27" x14ac:dyDescent="0.2">
      <c r="B60" s="24"/>
      <c r="C60" s="78"/>
      <c r="D60" s="78"/>
      <c r="E60" s="78"/>
      <c r="F60" s="78"/>
      <c r="G60" s="78"/>
      <c r="H60" s="78"/>
      <c r="I60" s="78"/>
      <c r="J60" s="78"/>
      <c r="K60" s="78"/>
      <c r="L60" s="78"/>
      <c r="M60" s="78"/>
      <c r="N60" s="78"/>
      <c r="O60" s="78"/>
      <c r="P60" s="78"/>
      <c r="Q60" s="78"/>
      <c r="R60" s="78"/>
      <c r="S60" s="78"/>
      <c r="T60" s="78"/>
      <c r="U60" s="78"/>
      <c r="V60" s="78"/>
      <c r="W60" s="78"/>
      <c r="X60" s="78"/>
      <c r="Y60" s="78"/>
      <c r="Z60" s="78"/>
      <c r="AA60" s="79"/>
    </row>
    <row r="61" spans="2:27" x14ac:dyDescent="0.2">
      <c r="B61" s="24"/>
      <c r="C61" s="78"/>
      <c r="D61" s="78"/>
      <c r="E61" s="78"/>
      <c r="F61" s="78"/>
      <c r="G61" s="78"/>
      <c r="H61" s="78"/>
      <c r="I61" s="78"/>
      <c r="J61" s="78"/>
      <c r="K61" s="78"/>
      <c r="L61" s="78"/>
      <c r="M61" s="78"/>
      <c r="N61" s="78"/>
      <c r="O61" s="78"/>
      <c r="P61" s="78"/>
      <c r="Q61" s="78"/>
      <c r="R61" s="78"/>
      <c r="S61" s="78"/>
      <c r="T61" s="78"/>
      <c r="U61" s="78"/>
      <c r="V61" s="78"/>
      <c r="W61" s="78"/>
      <c r="X61" s="78"/>
      <c r="Y61" s="78"/>
      <c r="Z61" s="78"/>
      <c r="AA61" s="79"/>
    </row>
    <row r="62" spans="2:27" x14ac:dyDescent="0.2">
      <c r="B62" s="24"/>
      <c r="C62" s="78"/>
      <c r="D62" s="78"/>
      <c r="E62" s="78"/>
      <c r="F62" s="78"/>
      <c r="G62" s="78"/>
      <c r="H62" s="78"/>
      <c r="I62" s="78"/>
      <c r="J62" s="78"/>
      <c r="K62" s="78"/>
      <c r="L62" s="78"/>
      <c r="M62" s="78"/>
      <c r="N62" s="78"/>
      <c r="O62" s="78"/>
      <c r="P62" s="78"/>
      <c r="Q62" s="78"/>
      <c r="R62" s="78"/>
      <c r="S62" s="78"/>
      <c r="T62" s="78"/>
      <c r="U62" s="78"/>
      <c r="V62" s="78"/>
      <c r="W62" s="78"/>
      <c r="X62" s="78"/>
      <c r="Y62" s="78"/>
      <c r="Z62" s="78"/>
      <c r="AA62" s="79"/>
    </row>
    <row r="63" spans="2:27" x14ac:dyDescent="0.2">
      <c r="B63" s="24"/>
      <c r="C63" s="78"/>
      <c r="D63" s="78"/>
      <c r="E63" s="78"/>
      <c r="F63" s="78"/>
      <c r="G63" s="78"/>
      <c r="H63" s="78"/>
      <c r="I63" s="78"/>
      <c r="J63" s="78"/>
      <c r="K63" s="78"/>
      <c r="L63" s="78"/>
      <c r="M63" s="78"/>
      <c r="N63" s="78"/>
      <c r="O63" s="78"/>
      <c r="P63" s="78"/>
      <c r="Q63" s="78"/>
      <c r="R63" s="78"/>
      <c r="S63" s="78"/>
      <c r="T63" s="78"/>
      <c r="U63" s="78"/>
      <c r="V63" s="78"/>
      <c r="W63" s="78"/>
      <c r="X63" s="78"/>
      <c r="Y63" s="78"/>
      <c r="Z63" s="78"/>
      <c r="AA63" s="79"/>
    </row>
    <row r="64" spans="2:27" x14ac:dyDescent="0.2">
      <c r="B64" s="24"/>
      <c r="C64" s="78"/>
      <c r="D64" s="78"/>
      <c r="E64" s="78"/>
      <c r="F64" s="78"/>
      <c r="G64" s="78"/>
      <c r="H64" s="78"/>
      <c r="I64" s="78"/>
      <c r="J64" s="78"/>
      <c r="K64" s="78"/>
      <c r="L64" s="78"/>
      <c r="M64" s="78"/>
      <c r="N64" s="78"/>
      <c r="O64" s="78"/>
      <c r="P64" s="78"/>
      <c r="Q64" s="78"/>
      <c r="R64" s="78"/>
      <c r="S64" s="78"/>
      <c r="T64" s="78"/>
      <c r="U64" s="78"/>
      <c r="V64" s="78"/>
      <c r="W64" s="78"/>
      <c r="X64" s="78"/>
      <c r="Y64" s="78"/>
      <c r="Z64" s="78"/>
      <c r="AA64" s="79"/>
    </row>
    <row r="65" spans="2:27" x14ac:dyDescent="0.2">
      <c r="B65" s="24"/>
      <c r="C65" s="78"/>
      <c r="D65" s="78"/>
      <c r="E65" s="78"/>
      <c r="F65" s="78"/>
      <c r="G65" s="78"/>
      <c r="H65" s="78"/>
      <c r="I65" s="78"/>
      <c r="J65" s="78"/>
      <c r="K65" s="78"/>
      <c r="L65" s="78"/>
      <c r="M65" s="78"/>
      <c r="N65" s="78"/>
      <c r="O65" s="78"/>
      <c r="P65" s="78"/>
      <c r="Q65" s="78"/>
      <c r="R65" s="78"/>
      <c r="S65" s="78"/>
      <c r="T65" s="78"/>
      <c r="U65" s="78"/>
      <c r="V65" s="78"/>
      <c r="W65" s="78"/>
      <c r="X65" s="78"/>
      <c r="Y65" s="78"/>
      <c r="Z65" s="78"/>
      <c r="AA65" s="79"/>
    </row>
    <row r="66" spans="2:27" x14ac:dyDescent="0.2">
      <c r="B66" s="24"/>
      <c r="C66" s="78"/>
      <c r="D66" s="78"/>
      <c r="E66" s="78"/>
      <c r="F66" s="78"/>
      <c r="G66" s="78"/>
      <c r="H66" s="78"/>
      <c r="I66" s="78"/>
      <c r="J66" s="78"/>
      <c r="K66" s="78"/>
      <c r="L66" s="78"/>
      <c r="M66" s="78"/>
      <c r="N66" s="78"/>
      <c r="O66" s="78"/>
      <c r="P66" s="78"/>
      <c r="Q66" s="78"/>
      <c r="R66" s="78"/>
      <c r="S66" s="78"/>
      <c r="T66" s="78"/>
      <c r="U66" s="78"/>
      <c r="V66" s="78"/>
      <c r="W66" s="78"/>
      <c r="X66" s="78"/>
      <c r="Y66" s="78"/>
      <c r="Z66" s="78"/>
      <c r="AA66" s="79"/>
    </row>
    <row r="67" spans="2:27" x14ac:dyDescent="0.2">
      <c r="B67" s="24"/>
      <c r="C67" s="78"/>
      <c r="D67" s="78"/>
      <c r="E67" s="78"/>
      <c r="F67" s="78"/>
      <c r="G67" s="78"/>
      <c r="H67" s="78"/>
      <c r="I67" s="78"/>
      <c r="J67" s="78"/>
      <c r="K67" s="78"/>
      <c r="L67" s="78"/>
      <c r="M67" s="78"/>
      <c r="N67" s="78"/>
      <c r="O67" s="78"/>
      <c r="P67" s="78"/>
      <c r="Q67" s="78"/>
      <c r="R67" s="78"/>
      <c r="S67" s="78"/>
      <c r="T67" s="78"/>
      <c r="U67" s="78"/>
      <c r="V67" s="78"/>
      <c r="W67" s="78"/>
      <c r="X67" s="78"/>
      <c r="Y67" s="78"/>
      <c r="Z67" s="78"/>
      <c r="AA67" s="79"/>
    </row>
    <row r="68" spans="2:27" x14ac:dyDescent="0.2">
      <c r="B68" s="24"/>
      <c r="C68" s="78"/>
      <c r="D68" s="78"/>
      <c r="E68" s="78"/>
      <c r="F68" s="78"/>
      <c r="G68" s="78"/>
      <c r="H68" s="78"/>
      <c r="I68" s="78"/>
      <c r="J68" s="78"/>
      <c r="K68" s="78"/>
      <c r="L68" s="78"/>
      <c r="M68" s="78"/>
      <c r="N68" s="78"/>
      <c r="O68" s="78"/>
      <c r="P68" s="78"/>
      <c r="Q68" s="78"/>
      <c r="R68" s="78"/>
      <c r="S68" s="78"/>
      <c r="T68" s="78"/>
      <c r="U68" s="78"/>
      <c r="V68" s="78"/>
      <c r="W68" s="78"/>
      <c r="X68" s="78"/>
      <c r="Y68" s="78"/>
      <c r="Z68" s="78"/>
      <c r="AA68" s="79"/>
    </row>
    <row r="69" spans="2:27" x14ac:dyDescent="0.2">
      <c r="B69" s="24"/>
      <c r="C69" s="78"/>
      <c r="D69" s="78"/>
      <c r="E69" s="78"/>
      <c r="F69" s="78"/>
      <c r="G69" s="78"/>
      <c r="H69" s="78"/>
      <c r="I69" s="78"/>
      <c r="J69" s="78"/>
      <c r="K69" s="78"/>
      <c r="L69" s="78"/>
      <c r="M69" s="78"/>
      <c r="N69" s="78"/>
      <c r="O69" s="78"/>
      <c r="P69" s="78"/>
      <c r="Q69" s="78"/>
      <c r="R69" s="78"/>
      <c r="S69" s="78"/>
      <c r="T69" s="78"/>
      <c r="U69" s="78"/>
      <c r="V69" s="78"/>
      <c r="W69" s="78"/>
      <c r="X69" s="78"/>
      <c r="Y69" s="78"/>
      <c r="Z69" s="78"/>
      <c r="AA69" s="79"/>
    </row>
    <row r="70" spans="2:27" x14ac:dyDescent="0.2">
      <c r="B70" s="24"/>
      <c r="C70" s="78"/>
      <c r="D70" s="78"/>
      <c r="E70" s="78"/>
      <c r="F70" s="78"/>
      <c r="G70" s="78"/>
      <c r="H70" s="78"/>
      <c r="I70" s="78"/>
      <c r="J70" s="78"/>
      <c r="K70" s="78"/>
      <c r="L70" s="78"/>
      <c r="M70" s="78"/>
      <c r="N70" s="78"/>
      <c r="O70" s="78"/>
      <c r="P70" s="78"/>
      <c r="Q70" s="78"/>
      <c r="R70" s="78"/>
      <c r="S70" s="78"/>
      <c r="T70" s="78"/>
      <c r="U70" s="78"/>
      <c r="V70" s="78"/>
      <c r="W70" s="78"/>
      <c r="X70" s="78"/>
      <c r="Y70" s="78"/>
      <c r="Z70" s="78"/>
      <c r="AA70" s="79"/>
    </row>
    <row r="71" spans="2:27" x14ac:dyDescent="0.2">
      <c r="B71" s="24"/>
      <c r="C71" s="78"/>
      <c r="D71" s="78"/>
      <c r="E71" s="78"/>
      <c r="F71" s="78"/>
      <c r="G71" s="78"/>
      <c r="H71" s="78"/>
      <c r="I71" s="78"/>
      <c r="J71" s="78"/>
      <c r="K71" s="78"/>
      <c r="L71" s="78"/>
      <c r="M71" s="78"/>
      <c r="N71" s="78"/>
      <c r="O71" s="78"/>
      <c r="P71" s="78"/>
      <c r="Q71" s="78"/>
      <c r="R71" s="78"/>
      <c r="S71" s="78"/>
      <c r="T71" s="78"/>
      <c r="U71" s="78"/>
      <c r="V71" s="78"/>
      <c r="W71" s="78"/>
      <c r="X71" s="78"/>
      <c r="Y71" s="78"/>
      <c r="Z71" s="78"/>
      <c r="AA71" s="79"/>
    </row>
    <row r="72" spans="2:27" x14ac:dyDescent="0.2">
      <c r="B72" s="24"/>
      <c r="C72" s="78"/>
      <c r="D72" s="78"/>
      <c r="E72" s="78"/>
      <c r="F72" s="78"/>
      <c r="G72" s="78"/>
      <c r="H72" s="78"/>
      <c r="I72" s="78"/>
      <c r="J72" s="78"/>
      <c r="K72" s="78"/>
      <c r="L72" s="78"/>
      <c r="M72" s="78"/>
      <c r="N72" s="78"/>
      <c r="O72" s="78"/>
      <c r="P72" s="78"/>
      <c r="Q72" s="78"/>
      <c r="R72" s="78"/>
      <c r="S72" s="78"/>
      <c r="T72" s="78"/>
      <c r="U72" s="78"/>
      <c r="V72" s="78"/>
      <c r="W72" s="78"/>
      <c r="X72" s="78"/>
      <c r="Y72" s="78"/>
      <c r="Z72" s="78"/>
      <c r="AA72" s="79"/>
    </row>
    <row r="73" spans="2:27" x14ac:dyDescent="0.2">
      <c r="B73" s="24"/>
      <c r="C73" s="78"/>
      <c r="D73" s="78"/>
      <c r="E73" s="78"/>
      <c r="F73" s="78"/>
      <c r="G73" s="78"/>
      <c r="H73" s="78"/>
      <c r="I73" s="78"/>
      <c r="J73" s="78"/>
      <c r="K73" s="78"/>
      <c r="L73" s="78"/>
      <c r="M73" s="78"/>
      <c r="N73" s="78"/>
      <c r="O73" s="78"/>
      <c r="P73" s="78"/>
      <c r="Q73" s="78"/>
      <c r="R73" s="78"/>
      <c r="S73" s="78"/>
      <c r="T73" s="78"/>
      <c r="U73" s="78"/>
      <c r="V73" s="78"/>
      <c r="W73" s="78"/>
      <c r="X73" s="78"/>
      <c r="Y73" s="78"/>
      <c r="Z73" s="78"/>
      <c r="AA73" s="79"/>
    </row>
    <row r="74" spans="2:27" x14ac:dyDescent="0.2">
      <c r="B74" s="24"/>
      <c r="C74" s="78"/>
      <c r="D74" s="78"/>
      <c r="E74" s="78"/>
      <c r="F74" s="78"/>
      <c r="G74" s="78"/>
      <c r="H74" s="78"/>
      <c r="I74" s="78"/>
      <c r="J74" s="78"/>
      <c r="K74" s="78"/>
      <c r="L74" s="78"/>
      <c r="M74" s="78"/>
      <c r="N74" s="78"/>
      <c r="O74" s="78"/>
      <c r="P74" s="78"/>
      <c r="Q74" s="78"/>
      <c r="R74" s="78"/>
      <c r="S74" s="78"/>
      <c r="T74" s="78"/>
      <c r="U74" s="78"/>
      <c r="V74" s="78"/>
      <c r="W74" s="78"/>
      <c r="X74" s="78"/>
      <c r="Y74" s="78"/>
      <c r="Z74" s="78"/>
      <c r="AA74" s="79"/>
    </row>
    <row r="75" spans="2:27" x14ac:dyDescent="0.2">
      <c r="B75" s="24"/>
      <c r="C75" s="78"/>
      <c r="D75" s="78"/>
      <c r="E75" s="78"/>
      <c r="F75" s="78"/>
      <c r="G75" s="78"/>
      <c r="H75" s="78"/>
      <c r="I75" s="78"/>
      <c r="J75" s="78"/>
      <c r="K75" s="78"/>
      <c r="L75" s="78"/>
      <c r="M75" s="78"/>
      <c r="N75" s="78"/>
      <c r="O75" s="78"/>
      <c r="P75" s="78"/>
      <c r="Q75" s="78"/>
      <c r="R75" s="78"/>
      <c r="S75" s="78"/>
      <c r="T75" s="78"/>
      <c r="U75" s="78"/>
      <c r="V75" s="78"/>
      <c r="W75" s="78"/>
      <c r="X75" s="78"/>
      <c r="Y75" s="78"/>
      <c r="Z75" s="78"/>
      <c r="AA75" s="79"/>
    </row>
    <row r="76" spans="2:27" x14ac:dyDescent="0.2">
      <c r="B76" s="24"/>
      <c r="C76" s="78"/>
      <c r="D76" s="78"/>
      <c r="E76" s="78"/>
      <c r="F76" s="78"/>
      <c r="G76" s="78"/>
      <c r="H76" s="78"/>
      <c r="I76" s="78"/>
      <c r="J76" s="78"/>
      <c r="K76" s="78"/>
      <c r="L76" s="78"/>
      <c r="M76" s="78"/>
      <c r="N76" s="78"/>
      <c r="O76" s="78"/>
      <c r="P76" s="78"/>
      <c r="Q76" s="78"/>
      <c r="R76" s="78"/>
      <c r="S76" s="78"/>
      <c r="T76" s="78"/>
      <c r="U76" s="78"/>
      <c r="V76" s="78"/>
      <c r="W76" s="78"/>
      <c r="X76" s="78"/>
      <c r="Y76" s="78"/>
      <c r="Z76" s="78"/>
      <c r="AA76" s="79"/>
    </row>
    <row r="77" spans="2:27" x14ac:dyDescent="0.2">
      <c r="B77" s="24"/>
      <c r="C77" s="78"/>
      <c r="D77" s="78"/>
      <c r="E77" s="78"/>
      <c r="F77" s="78"/>
      <c r="G77" s="78"/>
      <c r="H77" s="78"/>
      <c r="I77" s="78"/>
      <c r="J77" s="78"/>
      <c r="K77" s="78"/>
      <c r="L77" s="78"/>
      <c r="M77" s="78"/>
      <c r="N77" s="78"/>
      <c r="O77" s="78"/>
      <c r="P77" s="78"/>
      <c r="Q77" s="78"/>
      <c r="R77" s="78"/>
      <c r="S77" s="78"/>
      <c r="T77" s="78"/>
      <c r="U77" s="78"/>
      <c r="V77" s="78"/>
      <c r="W77" s="78"/>
      <c r="X77" s="78"/>
      <c r="Y77" s="78"/>
      <c r="Z77" s="78"/>
      <c r="AA77" s="79"/>
    </row>
    <row r="78" spans="2:27" x14ac:dyDescent="0.2">
      <c r="B78" s="24"/>
      <c r="C78" s="78"/>
      <c r="D78" s="78"/>
      <c r="E78" s="78"/>
      <c r="F78" s="78"/>
      <c r="G78" s="78"/>
      <c r="H78" s="78"/>
      <c r="I78" s="78"/>
      <c r="J78" s="78"/>
      <c r="K78" s="78"/>
      <c r="L78" s="78"/>
      <c r="M78" s="78"/>
      <c r="N78" s="78"/>
      <c r="O78" s="78"/>
      <c r="P78" s="78"/>
      <c r="Q78" s="78"/>
      <c r="R78" s="78"/>
      <c r="S78" s="78"/>
      <c r="T78" s="78"/>
      <c r="U78" s="78"/>
      <c r="V78" s="78"/>
      <c r="W78" s="78"/>
      <c r="X78" s="78"/>
      <c r="Y78" s="78"/>
      <c r="Z78" s="78"/>
      <c r="AA78" s="79"/>
    </row>
    <row r="79" spans="2:27" x14ac:dyDescent="0.2">
      <c r="B79" s="24"/>
      <c r="C79" s="78"/>
      <c r="D79" s="78"/>
      <c r="E79" s="78"/>
      <c r="F79" s="78"/>
      <c r="G79" s="78"/>
      <c r="H79" s="78"/>
      <c r="I79" s="78"/>
      <c r="J79" s="78"/>
      <c r="K79" s="78"/>
      <c r="L79" s="78"/>
      <c r="M79" s="78"/>
      <c r="N79" s="78"/>
      <c r="O79" s="78"/>
      <c r="P79" s="78"/>
      <c r="Q79" s="78"/>
      <c r="R79" s="78"/>
      <c r="S79" s="78"/>
      <c r="T79" s="78"/>
      <c r="U79" s="78"/>
      <c r="V79" s="78"/>
      <c r="W79" s="78"/>
      <c r="X79" s="78"/>
      <c r="Y79" s="78"/>
      <c r="Z79" s="78"/>
      <c r="AA79" s="79"/>
    </row>
    <row r="80" spans="2:27" x14ac:dyDescent="0.2">
      <c r="B80" s="24"/>
      <c r="C80" s="78"/>
      <c r="D80" s="78"/>
      <c r="E80" s="78"/>
      <c r="F80" s="78"/>
      <c r="G80" s="78"/>
      <c r="H80" s="78"/>
      <c r="I80" s="78"/>
      <c r="J80" s="78"/>
      <c r="K80" s="78"/>
      <c r="L80" s="78"/>
      <c r="M80" s="78"/>
      <c r="N80" s="78"/>
      <c r="O80" s="78"/>
      <c r="P80" s="78"/>
      <c r="Q80" s="78"/>
      <c r="R80" s="78"/>
      <c r="S80" s="78"/>
      <c r="T80" s="78"/>
      <c r="U80" s="78"/>
      <c r="V80" s="78"/>
      <c r="W80" s="78"/>
      <c r="X80" s="78"/>
      <c r="Y80" s="78"/>
      <c r="Z80" s="78"/>
      <c r="AA80" s="79"/>
    </row>
    <row r="81" spans="2:27" x14ac:dyDescent="0.2">
      <c r="B81" s="24"/>
      <c r="C81" s="78"/>
      <c r="D81" s="78"/>
      <c r="E81" s="78"/>
      <c r="F81" s="78"/>
      <c r="G81" s="78"/>
      <c r="H81" s="78"/>
      <c r="I81" s="78"/>
      <c r="J81" s="78"/>
      <c r="K81" s="78"/>
      <c r="L81" s="78"/>
      <c r="M81" s="78"/>
      <c r="N81" s="78"/>
      <c r="O81" s="78"/>
      <c r="P81" s="78"/>
      <c r="Q81" s="78"/>
      <c r="R81" s="78"/>
      <c r="S81" s="78"/>
      <c r="T81" s="78"/>
      <c r="U81" s="78"/>
      <c r="V81" s="78"/>
      <c r="W81" s="78"/>
      <c r="X81" s="78"/>
      <c r="Y81" s="78"/>
      <c r="Z81" s="78"/>
      <c r="AA81" s="79"/>
    </row>
    <row r="82" spans="2:27" x14ac:dyDescent="0.2">
      <c r="B82" s="24"/>
      <c r="C82" s="78"/>
      <c r="D82" s="78"/>
      <c r="E82" s="78"/>
      <c r="F82" s="78"/>
      <c r="G82" s="78"/>
      <c r="H82" s="78"/>
      <c r="I82" s="78"/>
      <c r="J82" s="78"/>
      <c r="K82" s="78"/>
      <c r="L82" s="78"/>
      <c r="M82" s="78"/>
      <c r="N82" s="78"/>
      <c r="O82" s="78"/>
      <c r="P82" s="78"/>
      <c r="Q82" s="78"/>
      <c r="R82" s="78"/>
      <c r="S82" s="78"/>
      <c r="T82" s="78"/>
      <c r="U82" s="78"/>
      <c r="V82" s="78"/>
      <c r="W82" s="78"/>
      <c r="X82" s="78"/>
      <c r="Y82" s="78"/>
      <c r="Z82" s="78"/>
      <c r="AA82" s="79"/>
    </row>
    <row r="83" spans="2:27" x14ac:dyDescent="0.2">
      <c r="B83" s="24"/>
      <c r="C83" s="78"/>
      <c r="D83" s="78"/>
      <c r="E83" s="78"/>
      <c r="F83" s="78"/>
      <c r="G83" s="78"/>
      <c r="H83" s="78"/>
      <c r="I83" s="78"/>
      <c r="J83" s="78"/>
      <c r="K83" s="78"/>
      <c r="L83" s="78"/>
      <c r="M83" s="78"/>
      <c r="N83" s="78"/>
      <c r="O83" s="78"/>
      <c r="P83" s="78"/>
      <c r="Q83" s="78"/>
      <c r="R83" s="78"/>
      <c r="S83" s="78"/>
      <c r="T83" s="78"/>
      <c r="U83" s="78"/>
      <c r="V83" s="78"/>
      <c r="W83" s="78"/>
      <c r="X83" s="78"/>
      <c r="Y83" s="78"/>
      <c r="Z83" s="78"/>
      <c r="AA83" s="79"/>
    </row>
    <row r="84" spans="2:27" x14ac:dyDescent="0.2">
      <c r="B84" s="24"/>
      <c r="C84" s="78"/>
      <c r="D84" s="78"/>
      <c r="E84" s="78"/>
      <c r="F84" s="78"/>
      <c r="G84" s="78"/>
      <c r="H84" s="78"/>
      <c r="I84" s="78"/>
      <c r="J84" s="78"/>
      <c r="K84" s="78"/>
      <c r="L84" s="78"/>
      <c r="M84" s="78"/>
      <c r="N84" s="78"/>
      <c r="O84" s="78"/>
      <c r="P84" s="78"/>
      <c r="Q84" s="78"/>
      <c r="R84" s="78"/>
      <c r="S84" s="78"/>
      <c r="T84" s="78"/>
      <c r="U84" s="78"/>
      <c r="V84" s="78"/>
      <c r="W84" s="78"/>
      <c r="X84" s="78"/>
      <c r="Y84" s="78"/>
      <c r="Z84" s="78"/>
      <c r="AA84" s="79"/>
    </row>
    <row r="85" spans="2:27" x14ac:dyDescent="0.2">
      <c r="B85" s="24"/>
      <c r="C85" s="78"/>
      <c r="D85" s="78"/>
      <c r="E85" s="78"/>
      <c r="F85" s="78"/>
      <c r="G85" s="78"/>
      <c r="H85" s="78"/>
      <c r="I85" s="78"/>
      <c r="J85" s="78"/>
      <c r="K85" s="78"/>
      <c r="L85" s="78"/>
      <c r="M85" s="78"/>
      <c r="N85" s="78"/>
      <c r="O85" s="78"/>
      <c r="P85" s="78"/>
      <c r="Q85" s="78"/>
      <c r="R85" s="78"/>
      <c r="S85" s="78"/>
      <c r="T85" s="78"/>
      <c r="U85" s="78"/>
      <c r="V85" s="78"/>
      <c r="W85" s="78"/>
      <c r="X85" s="78"/>
      <c r="Y85" s="78"/>
      <c r="Z85" s="78"/>
      <c r="AA85" s="79"/>
    </row>
    <row r="86" spans="2:27" x14ac:dyDescent="0.2">
      <c r="B86" s="24"/>
      <c r="C86" s="78"/>
      <c r="D86" s="78"/>
      <c r="E86" s="78"/>
      <c r="F86" s="78"/>
      <c r="G86" s="78"/>
      <c r="H86" s="78"/>
      <c r="I86" s="78"/>
      <c r="J86" s="78"/>
      <c r="K86" s="78"/>
      <c r="L86" s="78"/>
      <c r="M86" s="78"/>
      <c r="N86" s="78"/>
      <c r="O86" s="78"/>
      <c r="P86" s="78"/>
      <c r="Q86" s="78"/>
      <c r="R86" s="78"/>
      <c r="S86" s="78"/>
      <c r="T86" s="78"/>
      <c r="U86" s="78"/>
      <c r="V86" s="78"/>
      <c r="W86" s="78"/>
      <c r="X86" s="78"/>
      <c r="Y86" s="78"/>
      <c r="Z86" s="78"/>
      <c r="AA86" s="79"/>
    </row>
    <row r="87" spans="2:27" x14ac:dyDescent="0.2">
      <c r="B87" s="24"/>
      <c r="C87" s="78"/>
      <c r="D87" s="78"/>
      <c r="E87" s="78"/>
      <c r="F87" s="78"/>
      <c r="G87" s="78"/>
      <c r="H87" s="78"/>
      <c r="I87" s="78"/>
      <c r="J87" s="78"/>
      <c r="K87" s="78"/>
      <c r="L87" s="78"/>
      <c r="M87" s="78"/>
      <c r="N87" s="78"/>
      <c r="O87" s="78"/>
      <c r="P87" s="78"/>
      <c r="Q87" s="78"/>
      <c r="R87" s="78"/>
      <c r="S87" s="78"/>
      <c r="T87" s="78"/>
      <c r="U87" s="78"/>
      <c r="V87" s="78"/>
      <c r="W87" s="78"/>
      <c r="X87" s="78"/>
      <c r="Y87" s="78"/>
      <c r="Z87" s="78"/>
      <c r="AA87" s="79"/>
    </row>
    <row r="88" spans="2:27" x14ac:dyDescent="0.2">
      <c r="B88" s="24"/>
      <c r="C88" s="78"/>
      <c r="D88" s="78"/>
      <c r="E88" s="78"/>
      <c r="F88" s="78"/>
      <c r="G88" s="78"/>
      <c r="H88" s="78"/>
      <c r="I88" s="78"/>
      <c r="J88" s="78"/>
      <c r="K88" s="78"/>
      <c r="L88" s="78"/>
      <c r="M88" s="78"/>
      <c r="N88" s="78"/>
      <c r="O88" s="78"/>
      <c r="P88" s="78"/>
      <c r="Q88" s="78"/>
      <c r="R88" s="78"/>
      <c r="S88" s="78"/>
      <c r="T88" s="78"/>
      <c r="U88" s="78"/>
      <c r="V88" s="78"/>
      <c r="W88" s="78"/>
      <c r="X88" s="78"/>
      <c r="Y88" s="78"/>
      <c r="Z88" s="78"/>
      <c r="AA88" s="79"/>
    </row>
    <row r="89" spans="2:27" x14ac:dyDescent="0.2">
      <c r="B89" s="24"/>
      <c r="C89" s="78"/>
      <c r="D89" s="78"/>
      <c r="E89" s="78"/>
      <c r="F89" s="78"/>
      <c r="G89" s="78"/>
      <c r="H89" s="78"/>
      <c r="I89" s="78"/>
      <c r="J89" s="78"/>
      <c r="K89" s="78"/>
      <c r="L89" s="78"/>
      <c r="M89" s="78"/>
      <c r="N89" s="78"/>
      <c r="O89" s="78"/>
      <c r="P89" s="78"/>
      <c r="Q89" s="78"/>
      <c r="R89" s="78"/>
      <c r="S89" s="78"/>
      <c r="T89" s="78"/>
      <c r="U89" s="78"/>
      <c r="V89" s="78"/>
      <c r="W89" s="78"/>
      <c r="X89" s="78"/>
      <c r="Y89" s="78"/>
      <c r="Z89" s="78"/>
      <c r="AA89" s="79"/>
    </row>
    <row r="90" spans="2:27" x14ac:dyDescent="0.2">
      <c r="B90" s="24"/>
      <c r="C90" s="78"/>
      <c r="D90" s="78"/>
      <c r="E90" s="78"/>
      <c r="F90" s="78"/>
      <c r="G90" s="78"/>
      <c r="H90" s="78"/>
      <c r="I90" s="78"/>
      <c r="J90" s="78"/>
      <c r="K90" s="78"/>
      <c r="L90" s="78"/>
      <c r="M90" s="78"/>
      <c r="N90" s="78"/>
      <c r="O90" s="78"/>
      <c r="P90" s="78"/>
      <c r="Q90" s="78"/>
      <c r="R90" s="78"/>
      <c r="S90" s="78"/>
      <c r="T90" s="78"/>
      <c r="U90" s="78"/>
      <c r="V90" s="78"/>
      <c r="W90" s="78"/>
      <c r="X90" s="78"/>
      <c r="Y90" s="78"/>
      <c r="Z90" s="78"/>
      <c r="AA90" s="79"/>
    </row>
    <row r="91" spans="2:27" x14ac:dyDescent="0.2">
      <c r="B91" s="24"/>
      <c r="C91" s="78"/>
      <c r="D91" s="78"/>
      <c r="E91" s="78"/>
      <c r="F91" s="78"/>
      <c r="G91" s="78"/>
      <c r="H91" s="78"/>
      <c r="I91" s="78"/>
      <c r="J91" s="78"/>
      <c r="K91" s="78"/>
      <c r="L91" s="78"/>
      <c r="M91" s="78"/>
      <c r="N91" s="78"/>
      <c r="O91" s="78"/>
      <c r="P91" s="78"/>
      <c r="Q91" s="78"/>
      <c r="R91" s="78"/>
      <c r="S91" s="78"/>
      <c r="T91" s="78"/>
      <c r="U91" s="78"/>
      <c r="V91" s="78"/>
      <c r="W91" s="78"/>
      <c r="X91" s="78"/>
      <c r="Y91" s="78"/>
      <c r="Z91" s="78"/>
      <c r="AA91" s="79"/>
    </row>
    <row r="92" spans="2:27" x14ac:dyDescent="0.2">
      <c r="B92" s="24"/>
      <c r="C92" s="78"/>
      <c r="D92" s="78"/>
      <c r="E92" s="78"/>
      <c r="F92" s="78"/>
      <c r="G92" s="78"/>
      <c r="H92" s="78"/>
      <c r="I92" s="78"/>
      <c r="J92" s="78"/>
      <c r="K92" s="78"/>
      <c r="L92" s="78"/>
      <c r="M92" s="78"/>
      <c r="N92" s="78"/>
      <c r="O92" s="78"/>
      <c r="P92" s="78"/>
      <c r="Q92" s="78"/>
      <c r="R92" s="78"/>
      <c r="S92" s="78"/>
      <c r="T92" s="78"/>
      <c r="U92" s="78"/>
      <c r="V92" s="78"/>
      <c r="W92" s="78"/>
      <c r="X92" s="78"/>
      <c r="Y92" s="78"/>
      <c r="Z92" s="78"/>
      <c r="AA92" s="79"/>
    </row>
    <row r="93" spans="2:27" x14ac:dyDescent="0.2">
      <c r="B93" s="24"/>
      <c r="C93" s="78"/>
      <c r="D93" s="78"/>
      <c r="E93" s="78"/>
      <c r="F93" s="78"/>
      <c r="G93" s="78"/>
      <c r="H93" s="78"/>
      <c r="I93" s="78"/>
      <c r="J93" s="78"/>
      <c r="K93" s="78"/>
      <c r="L93" s="78"/>
      <c r="M93" s="78"/>
      <c r="N93" s="78"/>
      <c r="O93" s="78"/>
      <c r="P93" s="78"/>
      <c r="Q93" s="78"/>
      <c r="R93" s="78"/>
      <c r="S93" s="78"/>
      <c r="T93" s="78"/>
      <c r="U93" s="78"/>
      <c r="V93" s="78"/>
      <c r="W93" s="78"/>
      <c r="X93" s="78"/>
      <c r="Y93" s="78"/>
      <c r="Z93" s="78"/>
      <c r="AA93" s="79"/>
    </row>
    <row r="94" spans="2:27" x14ac:dyDescent="0.2">
      <c r="B94" s="24"/>
      <c r="C94" s="78"/>
      <c r="D94" s="78"/>
      <c r="E94" s="78"/>
      <c r="F94" s="78"/>
      <c r="G94" s="78"/>
      <c r="H94" s="78"/>
      <c r="I94" s="78"/>
      <c r="J94" s="78"/>
      <c r="K94" s="78"/>
      <c r="L94" s="78"/>
      <c r="M94" s="78"/>
      <c r="N94" s="78"/>
      <c r="O94" s="78"/>
      <c r="P94" s="78"/>
      <c r="Q94" s="78"/>
      <c r="R94" s="78"/>
      <c r="S94" s="78"/>
      <c r="T94" s="78"/>
      <c r="U94" s="78"/>
      <c r="V94" s="78"/>
      <c r="W94" s="78"/>
      <c r="X94" s="78"/>
      <c r="Y94" s="78"/>
      <c r="Z94" s="78"/>
      <c r="AA94" s="79"/>
    </row>
    <row r="95" spans="2:27" x14ac:dyDescent="0.2">
      <c r="B95" s="24"/>
      <c r="C95" s="78"/>
      <c r="D95" s="78"/>
      <c r="E95" s="78"/>
      <c r="F95" s="78"/>
      <c r="G95" s="78"/>
      <c r="H95" s="78"/>
      <c r="I95" s="78"/>
      <c r="J95" s="78"/>
      <c r="K95" s="78"/>
      <c r="L95" s="78"/>
      <c r="M95" s="78"/>
      <c r="N95" s="78"/>
      <c r="O95" s="78"/>
      <c r="P95" s="78"/>
      <c r="Q95" s="78"/>
      <c r="R95" s="78"/>
      <c r="S95" s="78"/>
      <c r="T95" s="78"/>
      <c r="U95" s="78"/>
      <c r="V95" s="78"/>
      <c r="W95" s="78"/>
      <c r="X95" s="78"/>
      <c r="Y95" s="78"/>
      <c r="Z95" s="78"/>
      <c r="AA95" s="79"/>
    </row>
    <row r="96" spans="2:27" x14ac:dyDescent="0.2">
      <c r="B96" s="24"/>
      <c r="C96" s="78"/>
      <c r="D96" s="78"/>
      <c r="E96" s="78"/>
      <c r="F96" s="78"/>
      <c r="G96" s="78"/>
      <c r="H96" s="78"/>
      <c r="I96" s="78"/>
      <c r="J96" s="78"/>
      <c r="K96" s="78"/>
      <c r="L96" s="78"/>
      <c r="M96" s="78"/>
      <c r="N96" s="78"/>
      <c r="O96" s="78"/>
      <c r="P96" s="78"/>
      <c r="Q96" s="78"/>
      <c r="R96" s="78"/>
      <c r="S96" s="78"/>
      <c r="T96" s="78"/>
      <c r="U96" s="78"/>
      <c r="V96" s="78"/>
      <c r="W96" s="78"/>
      <c r="X96" s="78"/>
      <c r="Y96" s="78"/>
      <c r="Z96" s="78"/>
      <c r="AA96" s="79"/>
    </row>
    <row r="97" spans="2:27" x14ac:dyDescent="0.2">
      <c r="B97" s="24"/>
      <c r="C97" s="78"/>
      <c r="D97" s="78"/>
      <c r="E97" s="78"/>
      <c r="F97" s="78"/>
      <c r="G97" s="78"/>
      <c r="H97" s="78"/>
      <c r="I97" s="78"/>
      <c r="J97" s="78"/>
      <c r="K97" s="78"/>
      <c r="L97" s="78"/>
      <c r="M97" s="78"/>
      <c r="N97" s="78"/>
      <c r="O97" s="78"/>
      <c r="P97" s="78"/>
      <c r="Q97" s="78"/>
      <c r="R97" s="78"/>
      <c r="S97" s="78"/>
      <c r="T97" s="78"/>
      <c r="U97" s="78"/>
      <c r="V97" s="78"/>
      <c r="W97" s="78"/>
      <c r="X97" s="78"/>
      <c r="Y97" s="78"/>
      <c r="Z97" s="78"/>
      <c r="AA97" s="79"/>
    </row>
    <row r="98" spans="2:27" x14ac:dyDescent="0.2">
      <c r="B98" s="24"/>
      <c r="C98" s="78"/>
      <c r="D98" s="78"/>
      <c r="E98" s="78"/>
      <c r="F98" s="78"/>
      <c r="G98" s="78"/>
      <c r="H98" s="78"/>
      <c r="I98" s="78"/>
      <c r="J98" s="78"/>
      <c r="K98" s="78"/>
      <c r="L98" s="78"/>
      <c r="M98" s="78"/>
      <c r="N98" s="78"/>
      <c r="O98" s="78"/>
      <c r="P98" s="78"/>
      <c r="Q98" s="78"/>
      <c r="R98" s="78"/>
      <c r="S98" s="78"/>
      <c r="T98" s="78"/>
      <c r="U98" s="78"/>
      <c r="V98" s="78"/>
      <c r="W98" s="78"/>
      <c r="X98" s="78"/>
      <c r="Y98" s="78"/>
      <c r="Z98" s="78"/>
      <c r="AA98" s="79"/>
    </row>
    <row r="99" spans="2:27" x14ac:dyDescent="0.2">
      <c r="B99" s="24"/>
      <c r="C99" s="78"/>
      <c r="D99" s="78"/>
      <c r="E99" s="78"/>
      <c r="F99" s="78"/>
      <c r="G99" s="78"/>
      <c r="H99" s="78"/>
      <c r="I99" s="78"/>
      <c r="J99" s="78"/>
      <c r="K99" s="78"/>
      <c r="L99" s="78"/>
      <c r="M99" s="78"/>
      <c r="N99" s="78"/>
      <c r="O99" s="78"/>
      <c r="P99" s="78"/>
      <c r="Q99" s="78"/>
      <c r="R99" s="78"/>
      <c r="S99" s="78"/>
      <c r="T99" s="78"/>
      <c r="U99" s="78"/>
      <c r="V99" s="78"/>
      <c r="W99" s="78"/>
      <c r="X99" s="78"/>
      <c r="Y99" s="78"/>
      <c r="Z99" s="78"/>
      <c r="AA99" s="79"/>
    </row>
    <row r="100" spans="2:27" x14ac:dyDescent="0.2">
      <c r="B100" s="49"/>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1"/>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A100"/>
  <sheetViews>
    <sheetView workbookViewId="0"/>
  </sheetViews>
  <sheetFormatPr defaultColWidth="9.140625" defaultRowHeight="12.75" x14ac:dyDescent="0.2"/>
  <cols>
    <col min="1" max="1" width="14.7109375" style="2" bestFit="1" customWidth="1"/>
    <col min="2" max="2" width="21" style="48" customWidth="1"/>
    <col min="3" max="5" width="9.140625" style="1"/>
    <col min="6" max="8" width="10.85546875" style="1" customWidth="1"/>
    <col min="9" max="27" width="9.140625" style="1"/>
    <col min="28" max="16384" width="9.140625" style="2"/>
  </cols>
  <sheetData>
    <row r="1" spans="1:27" ht="14.25" x14ac:dyDescent="0.2">
      <c r="A1" s="196">
        <f ca="1">NOW()</f>
        <v>44631.687362268516</v>
      </c>
      <c r="B1" s="47"/>
      <c r="C1" s="22"/>
      <c r="D1" s="22"/>
      <c r="E1" s="21"/>
      <c r="F1" s="22"/>
      <c r="G1" s="22"/>
      <c r="H1" s="22"/>
      <c r="I1" s="21"/>
      <c r="J1" s="22"/>
      <c r="K1" s="22"/>
      <c r="L1" s="22"/>
    </row>
    <row r="2" spans="1:27" x14ac:dyDescent="0.2">
      <c r="E2" s="52" t="s">
        <v>32</v>
      </c>
      <c r="F2" s="51" t="str">
        <f>'Target Site'!F3</f>
        <v>EXAMPLE CALCULATION</v>
      </c>
    </row>
    <row r="3" spans="1:27" ht="15" x14ac:dyDescent="0.25">
      <c r="D3" s="51" t="s">
        <v>171</v>
      </c>
      <c r="E3" s="51"/>
    </row>
    <row r="4" spans="1:27" x14ac:dyDescent="0.2">
      <c r="AA4" s="43"/>
    </row>
    <row r="5" spans="1:27" x14ac:dyDescent="0.2">
      <c r="B5" s="16" t="s">
        <v>45</v>
      </c>
      <c r="C5" s="27">
        <v>1</v>
      </c>
      <c r="D5" s="27">
        <v>2</v>
      </c>
      <c r="E5" s="27">
        <v>3</v>
      </c>
      <c r="F5" s="27">
        <v>4</v>
      </c>
      <c r="G5" s="27">
        <v>5</v>
      </c>
      <c r="H5" s="27">
        <v>6</v>
      </c>
      <c r="I5" s="27">
        <v>7</v>
      </c>
      <c r="J5" s="27">
        <v>8</v>
      </c>
      <c r="K5" s="27">
        <v>9</v>
      </c>
      <c r="L5" s="27">
        <v>10</v>
      </c>
      <c r="M5" s="27">
        <v>11</v>
      </c>
      <c r="N5" s="27">
        <v>12</v>
      </c>
      <c r="O5" s="27">
        <v>13</v>
      </c>
      <c r="P5" s="27">
        <v>14</v>
      </c>
      <c r="Q5" s="27">
        <v>15</v>
      </c>
      <c r="R5" s="27">
        <v>16</v>
      </c>
      <c r="S5" s="27">
        <v>17</v>
      </c>
      <c r="T5" s="27">
        <v>18</v>
      </c>
      <c r="U5" s="27">
        <v>19</v>
      </c>
      <c r="V5" s="27">
        <v>20</v>
      </c>
      <c r="W5" s="27">
        <v>21</v>
      </c>
      <c r="X5" s="27">
        <v>22</v>
      </c>
      <c r="Y5" s="27">
        <v>23</v>
      </c>
      <c r="Z5" s="27">
        <v>24</v>
      </c>
      <c r="AA5" s="9">
        <v>25</v>
      </c>
    </row>
    <row r="6" spans="1:27" x14ac:dyDescent="0.2">
      <c r="B6" s="59" t="s">
        <v>54</v>
      </c>
      <c r="C6" s="23" t="s">
        <v>383</v>
      </c>
      <c r="D6" s="23" t="s">
        <v>294</v>
      </c>
      <c r="E6" s="23" t="s">
        <v>261</v>
      </c>
      <c r="F6" s="23" t="s">
        <v>262</v>
      </c>
      <c r="G6" s="23" t="s">
        <v>263</v>
      </c>
      <c r="H6" s="23" t="s">
        <v>791</v>
      </c>
      <c r="I6" s="23" t="s">
        <v>792</v>
      </c>
      <c r="J6" s="23" t="s">
        <v>793</v>
      </c>
      <c r="K6" s="23" t="s">
        <v>794</v>
      </c>
      <c r="L6" s="23" t="s">
        <v>795</v>
      </c>
      <c r="M6" s="23" t="s">
        <v>796</v>
      </c>
      <c r="N6" s="23" t="s">
        <v>797</v>
      </c>
      <c r="O6" s="23" t="s">
        <v>798</v>
      </c>
      <c r="P6" s="23" t="s">
        <v>799</v>
      </c>
      <c r="Q6" s="23" t="s">
        <v>800</v>
      </c>
      <c r="R6" s="23" t="s">
        <v>801</v>
      </c>
      <c r="S6" s="23" t="s">
        <v>802</v>
      </c>
      <c r="T6" s="23"/>
      <c r="U6" s="23"/>
      <c r="V6" s="23"/>
      <c r="W6" s="23"/>
      <c r="X6" s="23"/>
      <c r="Y6" s="23"/>
      <c r="Z6" s="23"/>
      <c r="AA6" s="23"/>
    </row>
    <row r="7" spans="1:27" x14ac:dyDescent="0.2">
      <c r="B7" s="24"/>
      <c r="C7" s="26"/>
      <c r="D7" s="23"/>
      <c r="E7" s="23"/>
      <c r="F7" s="23"/>
      <c r="G7" s="23"/>
      <c r="H7" s="23"/>
      <c r="I7" s="23"/>
      <c r="J7" s="23"/>
      <c r="K7" s="23"/>
      <c r="L7" s="23"/>
      <c r="M7" s="23"/>
      <c r="N7" s="23"/>
      <c r="O7" s="23"/>
      <c r="P7" s="23"/>
      <c r="Q7" s="23"/>
      <c r="R7" s="23"/>
      <c r="S7" s="23"/>
      <c r="T7" s="23"/>
      <c r="U7" s="23"/>
      <c r="V7" s="23"/>
      <c r="W7" s="23"/>
      <c r="X7" s="23"/>
      <c r="Y7" s="23"/>
      <c r="Z7" s="23"/>
      <c r="AA7" s="11"/>
    </row>
    <row r="8" spans="1:27" ht="15.75" x14ac:dyDescent="0.3">
      <c r="B8" s="467" t="s">
        <v>48</v>
      </c>
      <c r="C8" s="26" t="s">
        <v>188</v>
      </c>
      <c r="D8" s="23"/>
      <c r="E8" s="23"/>
      <c r="F8" s="23"/>
      <c r="G8" s="23"/>
      <c r="H8" s="23"/>
      <c r="I8" s="23"/>
      <c r="J8" s="23"/>
      <c r="K8" s="23"/>
      <c r="L8" s="23"/>
      <c r="M8" s="23"/>
      <c r="N8" s="23"/>
      <c r="O8" s="23"/>
      <c r="P8" s="23"/>
      <c r="Q8" s="23"/>
      <c r="R8" s="23"/>
      <c r="S8" s="23"/>
      <c r="T8" s="23"/>
      <c r="U8" s="23"/>
      <c r="V8" s="23"/>
      <c r="W8" s="23"/>
      <c r="X8" s="23"/>
      <c r="Y8" s="23"/>
      <c r="Z8" s="23"/>
      <c r="AA8" s="11"/>
    </row>
    <row r="9" spans="1:27" x14ac:dyDescent="0.2">
      <c r="B9" s="467">
        <v>10</v>
      </c>
      <c r="C9" s="471">
        <v>0.14123980841495135</v>
      </c>
      <c r="D9" s="471">
        <v>0.16602307074333802</v>
      </c>
      <c r="E9" s="471">
        <v>0.21131742741810233</v>
      </c>
      <c r="F9" s="471">
        <v>0.28225140223532202</v>
      </c>
      <c r="G9" s="471">
        <v>0.56371187007084411</v>
      </c>
      <c r="H9" s="471">
        <v>0.14123980841495135</v>
      </c>
      <c r="I9" s="471">
        <v>0.16602307074333802</v>
      </c>
      <c r="J9" s="471">
        <v>0.21131742741810233</v>
      </c>
      <c r="K9" s="471">
        <v>0.28225140223532202</v>
      </c>
      <c r="L9" s="471">
        <v>0.56371187007084411</v>
      </c>
      <c r="M9" s="471">
        <v>0.14123980841495135</v>
      </c>
      <c r="N9" s="471">
        <v>0.16602307074333802</v>
      </c>
      <c r="O9" s="471">
        <v>0.21131742741810233</v>
      </c>
      <c r="P9" s="471">
        <v>0.28225140223532202</v>
      </c>
      <c r="Q9" s="471">
        <v>0.56371187007084411</v>
      </c>
      <c r="R9" s="471">
        <v>0.39491696847115243</v>
      </c>
      <c r="S9" s="471">
        <v>0.30781576447878134</v>
      </c>
      <c r="T9" s="471"/>
      <c r="U9" s="471"/>
      <c r="V9" s="471"/>
      <c r="W9" s="471"/>
      <c r="X9" s="23"/>
      <c r="Y9" s="23"/>
      <c r="Z9" s="23"/>
      <c r="AA9" s="11"/>
    </row>
    <row r="10" spans="1:27" x14ac:dyDescent="0.2">
      <c r="B10" s="467">
        <v>30</v>
      </c>
      <c r="C10" s="471">
        <v>0.12817176575231357</v>
      </c>
      <c r="D10" s="471">
        <v>0.14934818806161623</v>
      </c>
      <c r="E10" s="471">
        <v>0.18499145538091874</v>
      </c>
      <c r="F10" s="471">
        <v>0.23013564393821373</v>
      </c>
      <c r="G10" s="471">
        <v>0.34074603819946286</v>
      </c>
      <c r="H10" s="471">
        <v>0.12817176575231357</v>
      </c>
      <c r="I10" s="471">
        <v>0.14934818806161623</v>
      </c>
      <c r="J10" s="471">
        <v>0.18499145538091874</v>
      </c>
      <c r="K10" s="471">
        <v>0.23013564393821373</v>
      </c>
      <c r="L10" s="471">
        <v>0.34074603819946286</v>
      </c>
      <c r="M10" s="471">
        <v>0.12817176575231357</v>
      </c>
      <c r="N10" s="471">
        <v>0.14934818806161623</v>
      </c>
      <c r="O10" s="471">
        <v>0.18499145538091874</v>
      </c>
      <c r="P10" s="471">
        <v>0.23013564393821373</v>
      </c>
      <c r="Q10" s="471">
        <v>0.34074603819946286</v>
      </c>
      <c r="R10" s="471">
        <v>0.28450049766762042</v>
      </c>
      <c r="S10" s="471">
        <v>0.24429444080719104</v>
      </c>
      <c r="T10" s="471"/>
      <c r="U10" s="471"/>
      <c r="V10" s="471"/>
      <c r="W10" s="471"/>
      <c r="X10" s="23"/>
      <c r="Y10" s="23"/>
      <c r="Z10" s="23"/>
      <c r="AA10" s="11"/>
    </row>
    <row r="11" spans="1:27" x14ac:dyDescent="0.2">
      <c r="B11" s="467">
        <v>50</v>
      </c>
      <c r="C11" s="471">
        <v>0.12022818337227335</v>
      </c>
      <c r="D11" s="471">
        <v>0.140443386910407</v>
      </c>
      <c r="E11" s="471">
        <v>0.17349202900465818</v>
      </c>
      <c r="F11" s="471">
        <v>0.21198279427250416</v>
      </c>
      <c r="G11" s="471">
        <v>0.29410988773644936</v>
      </c>
      <c r="H11" s="471">
        <v>0.12022818337227335</v>
      </c>
      <c r="I11" s="471">
        <v>0.140443386910407</v>
      </c>
      <c r="J11" s="471">
        <v>0.17349202900465818</v>
      </c>
      <c r="K11" s="471">
        <v>0.21198279427250416</v>
      </c>
      <c r="L11" s="471">
        <v>0.29410988773644936</v>
      </c>
      <c r="M11" s="471">
        <v>0.12022818337227335</v>
      </c>
      <c r="N11" s="471">
        <v>0.140443386910407</v>
      </c>
      <c r="O11" s="471">
        <v>0.17349202900465818</v>
      </c>
      <c r="P11" s="471">
        <v>0.21198279427250416</v>
      </c>
      <c r="Q11" s="471">
        <v>0.29410988773644936</v>
      </c>
      <c r="R11" s="471">
        <v>0.25456848305528218</v>
      </c>
      <c r="S11" s="471">
        <v>0.22357666553449848</v>
      </c>
      <c r="T11" s="471"/>
      <c r="U11" s="471"/>
      <c r="V11" s="471"/>
      <c r="W11" s="471"/>
      <c r="X11" s="23"/>
      <c r="Y11" s="23"/>
      <c r="Z11" s="23"/>
      <c r="AA11" s="11"/>
    </row>
    <row r="12" spans="1:27" x14ac:dyDescent="0.2">
      <c r="B12" s="467">
        <v>100</v>
      </c>
      <c r="C12" s="471">
        <v>0.10599283782193085</v>
      </c>
      <c r="D12" s="471">
        <v>0.12524626895922755</v>
      </c>
      <c r="E12" s="471">
        <v>0.15589294836729869</v>
      </c>
      <c r="F12" s="471">
        <v>0.18855319135366194</v>
      </c>
      <c r="G12" s="471">
        <v>0.24764004543760038</v>
      </c>
      <c r="H12" s="471">
        <v>0.10599283782193085</v>
      </c>
      <c r="I12" s="471">
        <v>0.12524626895922755</v>
      </c>
      <c r="J12" s="471">
        <v>0.15589294836729869</v>
      </c>
      <c r="K12" s="471">
        <v>0.18855319135366194</v>
      </c>
      <c r="L12" s="471">
        <v>0.24764004543760038</v>
      </c>
      <c r="M12" s="471">
        <v>0.10599283782193085</v>
      </c>
      <c r="N12" s="471">
        <v>0.12524626895922755</v>
      </c>
      <c r="O12" s="471">
        <v>0.15589294836729869</v>
      </c>
      <c r="P12" s="471">
        <v>0.18855319135366194</v>
      </c>
      <c r="Q12" s="471">
        <v>0.24764004543760038</v>
      </c>
      <c r="R12" s="471">
        <v>0.22160550025981512</v>
      </c>
      <c r="S12" s="471">
        <v>0.19770120441017569</v>
      </c>
      <c r="T12" s="471"/>
      <c r="U12" s="471"/>
      <c r="V12" s="471"/>
      <c r="W12" s="471"/>
      <c r="X12" s="23"/>
      <c r="Y12" s="23"/>
      <c r="Z12" s="23"/>
      <c r="AA12" s="11"/>
    </row>
    <row r="13" spans="1:27" x14ac:dyDescent="0.2">
      <c r="B13" s="467">
        <v>150</v>
      </c>
      <c r="C13" s="471">
        <v>9.5669718346991575E-2</v>
      </c>
      <c r="D13" s="471">
        <v>0.11424051285719854</v>
      </c>
      <c r="E13" s="471">
        <v>0.14363109354190495</v>
      </c>
      <c r="F13" s="471">
        <v>0.17173944227607035</v>
      </c>
      <c r="G13" s="471">
        <v>0.22306102565603547</v>
      </c>
      <c r="H13" s="471">
        <v>9.5669718346991575E-2</v>
      </c>
      <c r="I13" s="471">
        <v>0.11424051285719854</v>
      </c>
      <c r="J13" s="471">
        <v>0.14363109354190495</v>
      </c>
      <c r="K13" s="471">
        <v>0.17173944227607035</v>
      </c>
      <c r="L13" s="471">
        <v>0.22306102565603547</v>
      </c>
      <c r="M13" s="471">
        <v>9.5669718346991575E-2</v>
      </c>
      <c r="N13" s="471">
        <v>0.11424051285719854</v>
      </c>
      <c r="O13" s="471">
        <v>0.14363109354190495</v>
      </c>
      <c r="P13" s="471">
        <v>0.17173944227607035</v>
      </c>
      <c r="Q13" s="471">
        <v>0.22306102565603547</v>
      </c>
      <c r="R13" s="471">
        <v>0.20116761437545003</v>
      </c>
      <c r="S13" s="471">
        <v>0.17999422749016633</v>
      </c>
      <c r="T13" s="471"/>
      <c r="U13" s="471"/>
      <c r="V13" s="471"/>
      <c r="W13" s="471"/>
      <c r="X13" s="23"/>
      <c r="Y13" s="23"/>
      <c r="Z13" s="23"/>
      <c r="AA13" s="11"/>
    </row>
    <row r="14" spans="1:27" x14ac:dyDescent="0.2">
      <c r="B14" s="467">
        <v>200</v>
      </c>
      <c r="C14" s="471">
        <v>8.770444438167227E-2</v>
      </c>
      <c r="D14" s="471">
        <v>0.1055812207708879</v>
      </c>
      <c r="E14" s="471">
        <v>0.13390313476801766</v>
      </c>
      <c r="F14" s="471">
        <v>0.1579311308425434</v>
      </c>
      <c r="G14" s="471">
        <v>0.20336965096483539</v>
      </c>
      <c r="H14" s="471">
        <v>8.770444438167227E-2</v>
      </c>
      <c r="I14" s="471">
        <v>0.1055812207708879</v>
      </c>
      <c r="J14" s="471">
        <v>0.13390313476801766</v>
      </c>
      <c r="K14" s="471">
        <v>0.1579311308425434</v>
      </c>
      <c r="L14" s="471">
        <v>0.20336965096483539</v>
      </c>
      <c r="M14" s="471">
        <v>8.770444438167227E-2</v>
      </c>
      <c r="N14" s="471">
        <v>0.1055812207708879</v>
      </c>
      <c r="O14" s="471">
        <v>0.13390313476801766</v>
      </c>
      <c r="P14" s="471">
        <v>0.1579311308425434</v>
      </c>
      <c r="Q14" s="471">
        <v>0.20336965096483539</v>
      </c>
      <c r="R14" s="471">
        <v>0.18481447748471674</v>
      </c>
      <c r="S14" s="471">
        <v>0.16524532974560346</v>
      </c>
      <c r="T14" s="471"/>
      <c r="U14" s="471"/>
      <c r="V14" s="471"/>
      <c r="W14" s="471"/>
      <c r="X14" s="23"/>
      <c r="Y14" s="23"/>
      <c r="Z14" s="23"/>
      <c r="AA14" s="11"/>
    </row>
    <row r="15" spans="1:27" x14ac:dyDescent="0.2">
      <c r="B15" s="467">
        <v>300</v>
      </c>
      <c r="C15" s="471">
        <v>7.6210987912681077E-2</v>
      </c>
      <c r="D15" s="471">
        <v>9.2686533839626981E-2</v>
      </c>
      <c r="E15" s="471">
        <v>0.1189825957116368</v>
      </c>
      <c r="F15" s="471">
        <v>0.13645565704764426</v>
      </c>
      <c r="G15" s="471">
        <v>0.17250685387533324</v>
      </c>
      <c r="H15" s="471">
        <v>7.6210987912681077E-2</v>
      </c>
      <c r="I15" s="471">
        <v>9.2686533839626981E-2</v>
      </c>
      <c r="J15" s="471">
        <v>0.1189825957116368</v>
      </c>
      <c r="K15" s="471">
        <v>0.13645565704764426</v>
      </c>
      <c r="L15" s="471">
        <v>0.17250685387533324</v>
      </c>
      <c r="M15" s="471">
        <v>7.6210987912681077E-2</v>
      </c>
      <c r="N15" s="471">
        <v>9.2686533839626981E-2</v>
      </c>
      <c r="O15" s="471">
        <v>0.1189825957116368</v>
      </c>
      <c r="P15" s="471">
        <v>0.13645565704764426</v>
      </c>
      <c r="Q15" s="471">
        <v>0.17250685387533324</v>
      </c>
      <c r="R15" s="471">
        <v>0.15870201724136757</v>
      </c>
      <c r="S15" s="471">
        <v>0.14218388183976</v>
      </c>
      <c r="T15" s="471"/>
      <c r="U15" s="471"/>
      <c r="V15" s="471"/>
      <c r="W15" s="471"/>
      <c r="X15" s="23"/>
      <c r="Y15" s="23"/>
      <c r="Z15" s="23"/>
      <c r="AA15" s="11"/>
    </row>
    <row r="16" spans="1:27" x14ac:dyDescent="0.2">
      <c r="B16" s="467">
        <v>400</v>
      </c>
      <c r="C16" s="471">
        <v>6.8285413451198665E-2</v>
      </c>
      <c r="D16" s="471">
        <v>8.3472278417976956E-2</v>
      </c>
      <c r="E16" s="471">
        <v>0.10788300573964435</v>
      </c>
      <c r="F16" s="471">
        <v>0.12056174254356307</v>
      </c>
      <c r="G16" s="471">
        <v>0.14909538278584866</v>
      </c>
      <c r="H16" s="471">
        <v>6.8285413451198665E-2</v>
      </c>
      <c r="I16" s="471">
        <v>8.3472278417976956E-2</v>
      </c>
      <c r="J16" s="471">
        <v>0.10788300573964435</v>
      </c>
      <c r="K16" s="471">
        <v>0.12056174254356307</v>
      </c>
      <c r="L16" s="471">
        <v>0.14909538278584866</v>
      </c>
      <c r="M16" s="471">
        <v>6.8285413451198665E-2</v>
      </c>
      <c r="N16" s="471">
        <v>8.3472278417976956E-2</v>
      </c>
      <c r="O16" s="471">
        <v>0.10788300573964435</v>
      </c>
      <c r="P16" s="471">
        <v>0.12056174254356307</v>
      </c>
      <c r="Q16" s="471">
        <v>0.14909538278584866</v>
      </c>
      <c r="R16" s="471">
        <v>0.13847984093567103</v>
      </c>
      <c r="S16" s="471">
        <v>0.12507466330884276</v>
      </c>
      <c r="T16" s="471"/>
      <c r="U16" s="471"/>
      <c r="V16" s="471"/>
      <c r="W16" s="471"/>
      <c r="X16" s="23"/>
      <c r="Y16" s="23"/>
      <c r="Z16" s="23"/>
      <c r="AA16" s="11"/>
    </row>
    <row r="17" spans="2:27" x14ac:dyDescent="0.2">
      <c r="B17" s="467">
        <v>600</v>
      </c>
      <c r="C17" s="471">
        <v>5.7675842652349929E-2</v>
      </c>
      <c r="D17" s="471">
        <v>7.080703050658646E-2</v>
      </c>
      <c r="E17" s="471">
        <v>9.205828697833196E-2</v>
      </c>
      <c r="F17" s="471">
        <v>9.8718004516844121E-2</v>
      </c>
      <c r="G17" s="471">
        <v>0.11629481987205881</v>
      </c>
      <c r="H17" s="471">
        <v>5.7675842652349929E-2</v>
      </c>
      <c r="I17" s="471">
        <v>7.080703050658646E-2</v>
      </c>
      <c r="J17" s="471">
        <v>9.205828697833196E-2</v>
      </c>
      <c r="K17" s="471">
        <v>9.8718004516844121E-2</v>
      </c>
      <c r="L17" s="471">
        <v>0.11629481987205881</v>
      </c>
      <c r="M17" s="471">
        <v>5.7675842652349929E-2</v>
      </c>
      <c r="N17" s="471">
        <v>7.080703050658646E-2</v>
      </c>
      <c r="O17" s="471">
        <v>9.205828697833196E-2</v>
      </c>
      <c r="P17" s="471">
        <v>9.8718004516844121E-2</v>
      </c>
      <c r="Q17" s="471">
        <v>0.11629481987205881</v>
      </c>
      <c r="R17" s="471">
        <v>0.10972732555585547</v>
      </c>
      <c r="S17" s="471">
        <v>0.10154529189629347</v>
      </c>
      <c r="T17" s="471"/>
      <c r="U17" s="471"/>
      <c r="V17" s="471"/>
      <c r="W17" s="471"/>
      <c r="X17" s="23"/>
      <c r="Y17" s="23"/>
      <c r="Z17" s="23"/>
      <c r="AA17" s="11"/>
    </row>
    <row r="18" spans="2:27" x14ac:dyDescent="0.2">
      <c r="B18" s="467">
        <v>1000</v>
      </c>
      <c r="C18" s="471">
        <v>4.412242384835622E-2</v>
      </c>
      <c r="D18" s="471">
        <v>5.4677163357236644E-2</v>
      </c>
      <c r="E18" s="471">
        <v>7.1716651011314705E-2</v>
      </c>
      <c r="F18" s="471">
        <v>7.3588354969470582E-2</v>
      </c>
      <c r="G18" s="471">
        <v>7.9816550036928349E-2</v>
      </c>
      <c r="H18" s="471">
        <v>4.412242384835622E-2</v>
      </c>
      <c r="I18" s="471">
        <v>5.4677163357236644E-2</v>
      </c>
      <c r="J18" s="471">
        <v>7.1716651011314705E-2</v>
      </c>
      <c r="K18" s="471">
        <v>7.3588354969470582E-2</v>
      </c>
      <c r="L18" s="471">
        <v>7.9816550036928349E-2</v>
      </c>
      <c r="M18" s="471">
        <v>4.412242384835622E-2</v>
      </c>
      <c r="N18" s="471">
        <v>5.4677163357236644E-2</v>
      </c>
      <c r="O18" s="471">
        <v>7.1716651011314705E-2</v>
      </c>
      <c r="P18" s="471">
        <v>7.3588354969470582E-2</v>
      </c>
      <c r="Q18" s="471">
        <v>7.9816550036928349E-2</v>
      </c>
      <c r="R18" s="471">
        <v>7.7419272686383586E-2</v>
      </c>
      <c r="S18" s="471">
        <v>7.4633917868496671E-2</v>
      </c>
      <c r="T18" s="471"/>
      <c r="U18" s="471"/>
      <c r="V18" s="471"/>
      <c r="W18" s="471"/>
      <c r="X18" s="23"/>
      <c r="Y18" s="23"/>
      <c r="Z18" s="23"/>
      <c r="AA18" s="11"/>
    </row>
    <row r="19" spans="2:27" x14ac:dyDescent="0.2">
      <c r="B19" s="467">
        <v>2000</v>
      </c>
      <c r="C19" s="471">
        <v>2.0951822700282171E-2</v>
      </c>
      <c r="D19" s="471">
        <v>2.8168723072148565E-2</v>
      </c>
      <c r="E19" s="471">
        <v>3.9778824200927709E-2</v>
      </c>
      <c r="F19" s="471">
        <v>4.0127918606037649E-2</v>
      </c>
      <c r="G19" s="471">
        <v>4.1023742800106636E-2</v>
      </c>
      <c r="H19" s="471">
        <v>2.0951822700282171E-2</v>
      </c>
      <c r="I19" s="471">
        <v>2.8168723072148565E-2</v>
      </c>
      <c r="J19" s="471">
        <v>3.9778824200927709E-2</v>
      </c>
      <c r="K19" s="471">
        <v>4.0127918606037649E-2</v>
      </c>
      <c r="L19" s="471">
        <v>4.1023742800106636E-2</v>
      </c>
      <c r="M19" s="471">
        <v>2.0951822700282171E-2</v>
      </c>
      <c r="N19" s="471">
        <v>2.8168723072148565E-2</v>
      </c>
      <c r="O19" s="471">
        <v>3.9778824200927709E-2</v>
      </c>
      <c r="P19" s="471">
        <v>4.0127918606037649E-2</v>
      </c>
      <c r="Q19" s="471">
        <v>4.1023742800106636E-2</v>
      </c>
      <c r="R19" s="471">
        <v>4.0805656671114014E-2</v>
      </c>
      <c r="S19" s="471">
        <v>4.0273422945993245E-2</v>
      </c>
      <c r="T19" s="471"/>
      <c r="U19" s="471"/>
      <c r="V19" s="471"/>
      <c r="W19" s="471"/>
      <c r="X19" s="23"/>
      <c r="Y19" s="23"/>
      <c r="Z19" s="23"/>
      <c r="AA19" s="11"/>
    </row>
    <row r="20" spans="2:27" x14ac:dyDescent="0.2">
      <c r="B20" s="467">
        <v>609.57025297165501</v>
      </c>
      <c r="C20" s="471">
        <v>5.7269548137458638E-2</v>
      </c>
      <c r="D20" s="471">
        <v>7.0318743687062174E-2</v>
      </c>
      <c r="E20" s="471">
        <v>9.1439692305930756E-2</v>
      </c>
      <c r="F20" s="471">
        <v>9.7896979518518237E-2</v>
      </c>
      <c r="G20" s="471">
        <v>0.11506204440898903</v>
      </c>
      <c r="H20" s="471">
        <v>5.7269548137458638E-2</v>
      </c>
      <c r="I20" s="471">
        <v>7.0318743687062174E-2</v>
      </c>
      <c r="J20" s="471">
        <v>9.1439692305930756E-2</v>
      </c>
      <c r="K20" s="471">
        <v>9.7896979518518237E-2</v>
      </c>
      <c r="L20" s="471">
        <v>0.11506204440898903</v>
      </c>
      <c r="M20" s="471">
        <v>5.7269548137458638E-2</v>
      </c>
      <c r="N20" s="471">
        <v>7.0318743687062174E-2</v>
      </c>
      <c r="O20" s="471">
        <v>9.1439692305930756E-2</v>
      </c>
      <c r="P20" s="471">
        <v>9.7896979518518237E-2</v>
      </c>
      <c r="Q20" s="471">
        <v>0.11506204440898903</v>
      </c>
      <c r="R20" s="471">
        <v>0.10864014668261315</v>
      </c>
      <c r="S20" s="471">
        <v>0.10066170525203424</v>
      </c>
      <c r="T20" s="471"/>
      <c r="U20" s="471"/>
      <c r="V20" s="471"/>
      <c r="W20" s="471"/>
      <c r="X20" s="23"/>
      <c r="Y20" s="23"/>
      <c r="Z20" s="23"/>
      <c r="AA20" s="11"/>
    </row>
    <row r="21" spans="2:27" x14ac:dyDescent="0.2">
      <c r="B21" s="467">
        <v>54.3</v>
      </c>
      <c r="C21" s="471">
        <v>0.11876168260726419</v>
      </c>
      <c r="D21" s="471">
        <v>0.13885112574490491</v>
      </c>
      <c r="E21" s="471">
        <v>0.17156086620290423</v>
      </c>
      <c r="F21" s="471">
        <v>0.20915595286716224</v>
      </c>
      <c r="G21" s="471">
        <v>0.28780788720106526</v>
      </c>
      <c r="H21" s="471">
        <v>0.11876168260726419</v>
      </c>
      <c r="I21" s="471">
        <v>0.13885112574490491</v>
      </c>
      <c r="J21" s="471">
        <v>0.17156086620290423</v>
      </c>
      <c r="K21" s="471">
        <v>0.20915595286716224</v>
      </c>
      <c r="L21" s="471">
        <v>0.28780788720106526</v>
      </c>
      <c r="M21" s="471">
        <v>0.11876168260726419</v>
      </c>
      <c r="N21" s="471">
        <v>0.13885112574490491</v>
      </c>
      <c r="O21" s="471">
        <v>0.17156086620290423</v>
      </c>
      <c r="P21" s="471">
        <v>0.20915595286716224</v>
      </c>
      <c r="Q21" s="471">
        <v>0.28780788720106526</v>
      </c>
      <c r="R21" s="471">
        <v>0.25027839599239898</v>
      </c>
      <c r="S21" s="471">
        <v>0.2203684352481885</v>
      </c>
      <c r="T21" s="471"/>
      <c r="U21" s="471"/>
      <c r="V21" s="471"/>
      <c r="W21" s="471"/>
      <c r="X21" s="23"/>
      <c r="Y21" s="23"/>
      <c r="Z21" s="23"/>
      <c r="AA21" s="11"/>
    </row>
    <row r="22" spans="2:27" x14ac:dyDescent="0.2">
      <c r="B22" s="467">
        <v>90.5</v>
      </c>
      <c r="C22" s="471">
        <v>0.10831853440350793</v>
      </c>
      <c r="D22" s="471">
        <v>0.12771035885288606</v>
      </c>
      <c r="E22" s="471">
        <v>0.15865955979843302</v>
      </c>
      <c r="F22" s="471">
        <v>0.19219132769084138</v>
      </c>
      <c r="G22" s="471">
        <v>0.25349746759784308</v>
      </c>
      <c r="H22" s="471">
        <v>0.10831853440350793</v>
      </c>
      <c r="I22" s="471">
        <v>0.12771035885288606</v>
      </c>
      <c r="J22" s="471">
        <v>0.15865955979843302</v>
      </c>
      <c r="K22" s="471">
        <v>0.19219132769084138</v>
      </c>
      <c r="L22" s="471">
        <v>0.25349746759784308</v>
      </c>
      <c r="M22" s="471">
        <v>0.10831853440350793</v>
      </c>
      <c r="N22" s="471">
        <v>0.12771035885288606</v>
      </c>
      <c r="O22" s="471">
        <v>0.15865955979843302</v>
      </c>
      <c r="P22" s="471">
        <v>0.19219132769084138</v>
      </c>
      <c r="Q22" s="471">
        <v>0.25349746759784308</v>
      </c>
      <c r="R22" s="471">
        <v>0.22628156778788744</v>
      </c>
      <c r="S22" s="471">
        <v>0.20145727326186952</v>
      </c>
      <c r="T22" s="471"/>
      <c r="U22" s="471"/>
      <c r="V22" s="471"/>
      <c r="W22" s="471"/>
      <c r="X22" s="23"/>
      <c r="Y22" s="23"/>
      <c r="Z22" s="23"/>
      <c r="AA22" s="11"/>
    </row>
    <row r="23" spans="2:27" x14ac:dyDescent="0.2">
      <c r="B23" s="467">
        <v>120.7</v>
      </c>
      <c r="C23" s="471">
        <v>0.10136646185266636</v>
      </c>
      <c r="D23" s="471">
        <v>0.12033426426237992</v>
      </c>
      <c r="E23" s="471">
        <v>0.15041439697904124</v>
      </c>
      <c r="F23" s="471">
        <v>0.1811554897459601</v>
      </c>
      <c r="G23" s="471">
        <v>0.23667254275369529</v>
      </c>
      <c r="H23" s="471">
        <v>0.10136646185266636</v>
      </c>
      <c r="I23" s="471">
        <v>0.12033426426237992</v>
      </c>
      <c r="J23" s="471">
        <v>0.15041439697904124</v>
      </c>
      <c r="K23" s="471">
        <v>0.1811554897459601</v>
      </c>
      <c r="L23" s="471">
        <v>0.23667254275369529</v>
      </c>
      <c r="M23" s="471">
        <v>0.10136646185266636</v>
      </c>
      <c r="N23" s="471">
        <v>0.12033426426237992</v>
      </c>
      <c r="O23" s="471">
        <v>0.15041439697904124</v>
      </c>
      <c r="P23" s="471">
        <v>0.1811554897459601</v>
      </c>
      <c r="Q23" s="471">
        <v>0.23667254275369529</v>
      </c>
      <c r="R23" s="471">
        <v>0.21244327899944421</v>
      </c>
      <c r="S23" s="471">
        <v>0.18996455122229031</v>
      </c>
      <c r="T23" s="471"/>
      <c r="U23" s="471"/>
      <c r="V23" s="471"/>
      <c r="W23" s="471"/>
      <c r="X23" s="23"/>
      <c r="Y23" s="23"/>
      <c r="Z23" s="23"/>
      <c r="AA23" s="11"/>
    </row>
    <row r="24" spans="2:27" x14ac:dyDescent="0.2">
      <c r="B24" s="467">
        <v>144.80000000000001</v>
      </c>
      <c r="C24" s="471">
        <v>9.6617106154629318E-2</v>
      </c>
      <c r="D24" s="471">
        <v>0.115258672294374</v>
      </c>
      <c r="E24" s="471">
        <v>0.14476606087004473</v>
      </c>
      <c r="F24" s="471">
        <v>0.17333019251166634</v>
      </c>
      <c r="G24" s="471">
        <v>0.22534371949097329</v>
      </c>
      <c r="H24" s="471">
        <v>9.6617106154629318E-2</v>
      </c>
      <c r="I24" s="471">
        <v>0.115258672294374</v>
      </c>
      <c r="J24" s="471">
        <v>0.14476606087004473</v>
      </c>
      <c r="K24" s="471">
        <v>0.17333019251166634</v>
      </c>
      <c r="L24" s="471">
        <v>0.22534371949097329</v>
      </c>
      <c r="M24" s="471">
        <v>9.6617106154629318E-2</v>
      </c>
      <c r="N24" s="471">
        <v>0.115258672294374</v>
      </c>
      <c r="O24" s="471">
        <v>0.14476606087004473</v>
      </c>
      <c r="P24" s="471">
        <v>0.17333019251166634</v>
      </c>
      <c r="Q24" s="471">
        <v>0.22534371949097329</v>
      </c>
      <c r="R24" s="471">
        <v>0.20305576040963857</v>
      </c>
      <c r="S24" s="471">
        <v>0.18168534700504313</v>
      </c>
      <c r="T24" s="471"/>
      <c r="U24" s="471"/>
      <c r="V24" s="471"/>
      <c r="W24" s="471"/>
      <c r="X24" s="23"/>
      <c r="Y24" s="23"/>
      <c r="Z24" s="23"/>
      <c r="AA24" s="11"/>
    </row>
    <row r="25" spans="2:27" x14ac:dyDescent="0.2">
      <c r="B25" s="467">
        <v>181</v>
      </c>
      <c r="C25" s="471">
        <v>9.0508042085054211E-2</v>
      </c>
      <c r="D25" s="471">
        <v>0.10865124495504516</v>
      </c>
      <c r="E25" s="471">
        <v>0.13737139117112485</v>
      </c>
      <c r="F25" s="471">
        <v>0.16288386144561609</v>
      </c>
      <c r="G25" s="471">
        <v>0.21042092516257763</v>
      </c>
      <c r="H25" s="471">
        <v>9.0508042085054211E-2</v>
      </c>
      <c r="I25" s="471">
        <v>0.10865124495504516</v>
      </c>
      <c r="J25" s="471">
        <v>0.13737139117112485</v>
      </c>
      <c r="K25" s="471">
        <v>0.16288386144561609</v>
      </c>
      <c r="L25" s="471">
        <v>0.21042092516257763</v>
      </c>
      <c r="M25" s="471">
        <v>9.0508042085054211E-2</v>
      </c>
      <c r="N25" s="471">
        <v>0.10865124495504516</v>
      </c>
      <c r="O25" s="471">
        <v>0.13737139117112485</v>
      </c>
      <c r="P25" s="471">
        <v>0.16288386144561609</v>
      </c>
      <c r="Q25" s="471">
        <v>0.21042092516257763</v>
      </c>
      <c r="R25" s="471">
        <v>0.1906907498405612</v>
      </c>
      <c r="S25" s="471">
        <v>0.17054669802623937</v>
      </c>
      <c r="T25" s="471"/>
      <c r="U25" s="471"/>
      <c r="V25" s="471"/>
      <c r="W25" s="471"/>
      <c r="X25" s="23"/>
      <c r="Y25" s="23"/>
      <c r="Z25" s="23"/>
      <c r="AA25" s="11"/>
    </row>
    <row r="26" spans="2:27" ht="14.25" x14ac:dyDescent="0.2">
      <c r="B26" s="24"/>
      <c r="C26" s="55"/>
      <c r="D26" s="54"/>
      <c r="E26" s="54"/>
      <c r="F26" s="54"/>
      <c r="G26" s="54"/>
      <c r="H26" s="54"/>
      <c r="I26" s="54"/>
      <c r="J26" s="54"/>
      <c r="K26" s="54"/>
      <c r="L26" s="54"/>
      <c r="M26" s="54"/>
      <c r="N26" s="54"/>
      <c r="O26" s="54"/>
      <c r="P26" s="54"/>
      <c r="Q26" s="54"/>
      <c r="R26" s="54"/>
      <c r="S26" s="54"/>
      <c r="T26" s="23"/>
      <c r="U26" s="23"/>
      <c r="V26" s="23"/>
      <c r="W26" s="23"/>
      <c r="X26" s="23"/>
      <c r="Y26" s="23"/>
      <c r="Z26" s="23"/>
      <c r="AA26" s="11"/>
    </row>
    <row r="27" spans="2:27" ht="15.75" x14ac:dyDescent="0.3">
      <c r="B27" s="24" t="s">
        <v>48</v>
      </c>
      <c r="C27" s="55" t="s">
        <v>189</v>
      </c>
      <c r="D27" s="470"/>
      <c r="E27" s="470"/>
      <c r="F27" s="470"/>
      <c r="G27" s="470"/>
      <c r="H27" s="470"/>
      <c r="I27" s="470"/>
      <c r="J27" s="470"/>
      <c r="K27" s="470"/>
      <c r="L27" s="470"/>
      <c r="M27" s="470"/>
      <c r="N27" s="470"/>
      <c r="O27" s="470"/>
      <c r="P27" s="470"/>
      <c r="Q27" s="470"/>
      <c r="R27" s="470"/>
      <c r="S27" s="470"/>
      <c r="T27" s="470"/>
      <c r="U27" s="470"/>
      <c r="V27" s="470"/>
      <c r="W27" s="470"/>
      <c r="X27" s="23"/>
      <c r="Y27" s="23"/>
      <c r="Z27" s="23"/>
      <c r="AA27" s="11"/>
    </row>
    <row r="28" spans="2:27" x14ac:dyDescent="0.2">
      <c r="B28" s="24">
        <v>10</v>
      </c>
      <c r="C28" s="470">
        <v>165.29816367644548</v>
      </c>
      <c r="D28" s="470">
        <v>126.27464867429424</v>
      </c>
      <c r="E28" s="470">
        <v>87.054347130838806</v>
      </c>
      <c r="F28" s="470">
        <v>46.802169681105752</v>
      </c>
      <c r="G28" s="470">
        <v>19.388080681127345</v>
      </c>
      <c r="H28" s="470">
        <v>165.29816367644548</v>
      </c>
      <c r="I28" s="470">
        <v>126.27464867429424</v>
      </c>
      <c r="J28" s="470">
        <v>87.054347130838806</v>
      </c>
      <c r="K28" s="470">
        <v>46.802169681105752</v>
      </c>
      <c r="L28" s="470">
        <v>19.388080681127345</v>
      </c>
      <c r="M28" s="470">
        <v>165.29816367644548</v>
      </c>
      <c r="N28" s="470">
        <v>126.27464867429424</v>
      </c>
      <c r="O28" s="470">
        <v>87.054347130838806</v>
      </c>
      <c r="P28" s="470">
        <v>46.802169681105752</v>
      </c>
      <c r="Q28" s="470">
        <v>19.388080681127345</v>
      </c>
      <c r="R28" s="470">
        <v>28.337487184525884</v>
      </c>
      <c r="S28" s="470">
        <v>40.67585260239612</v>
      </c>
      <c r="T28" s="470"/>
      <c r="U28" s="470"/>
      <c r="V28" s="470"/>
      <c r="W28" s="470"/>
      <c r="X28" s="23"/>
      <c r="Y28" s="23"/>
      <c r="Z28" s="23"/>
      <c r="AA28" s="11"/>
    </row>
    <row r="29" spans="2:27" x14ac:dyDescent="0.2">
      <c r="B29" s="24">
        <v>30</v>
      </c>
      <c r="C29" s="470">
        <v>355.44598121359923</v>
      </c>
      <c r="D29" s="470">
        <v>328.74875305760156</v>
      </c>
      <c r="E29" s="470">
        <v>275.35151837143206</v>
      </c>
      <c r="F29" s="470">
        <v>176.24713706428761</v>
      </c>
      <c r="G29" s="470">
        <v>86.480682801146287</v>
      </c>
      <c r="H29" s="470">
        <v>355.44598121359923</v>
      </c>
      <c r="I29" s="470">
        <v>328.74875305760156</v>
      </c>
      <c r="J29" s="470">
        <v>275.35151837143206</v>
      </c>
      <c r="K29" s="470">
        <v>176.24713706428761</v>
      </c>
      <c r="L29" s="470">
        <v>86.480682801146287</v>
      </c>
      <c r="M29" s="470">
        <v>355.44598121359923</v>
      </c>
      <c r="N29" s="470">
        <v>328.74875305760156</v>
      </c>
      <c r="O29" s="470">
        <v>275.35151837143206</v>
      </c>
      <c r="P29" s="470">
        <v>176.24713706428761</v>
      </c>
      <c r="Q29" s="470">
        <v>86.480682801146287</v>
      </c>
      <c r="R29" s="470">
        <v>118.34488765505486</v>
      </c>
      <c r="S29" s="470">
        <v>158.39128474217713</v>
      </c>
      <c r="T29" s="470"/>
      <c r="U29" s="470"/>
      <c r="V29" s="470"/>
      <c r="W29" s="470"/>
      <c r="X29" s="23"/>
      <c r="Y29" s="23"/>
      <c r="Z29" s="23"/>
      <c r="AA29" s="11"/>
    </row>
    <row r="30" spans="2:27" x14ac:dyDescent="0.2">
      <c r="B30" s="24">
        <v>50</v>
      </c>
      <c r="C30" s="470">
        <v>414.95258241704346</v>
      </c>
      <c r="D30" s="470">
        <v>427.46041472039298</v>
      </c>
      <c r="E30" s="470">
        <v>407.99845453018219</v>
      </c>
      <c r="F30" s="470">
        <v>294.3164213699182</v>
      </c>
      <c r="G30" s="470">
        <v>161.94686940904995</v>
      </c>
      <c r="H30" s="470">
        <v>414.95258241704346</v>
      </c>
      <c r="I30" s="470">
        <v>427.46041472039298</v>
      </c>
      <c r="J30" s="470">
        <v>407.99845453018219</v>
      </c>
      <c r="K30" s="470">
        <v>294.3164213699182</v>
      </c>
      <c r="L30" s="470">
        <v>161.94686940904995</v>
      </c>
      <c r="M30" s="470">
        <v>414.95258241704346</v>
      </c>
      <c r="N30" s="470">
        <v>427.46041472039298</v>
      </c>
      <c r="O30" s="470">
        <v>407.99845453018219</v>
      </c>
      <c r="P30" s="470">
        <v>294.3164213699182</v>
      </c>
      <c r="Q30" s="470">
        <v>161.94686940904995</v>
      </c>
      <c r="R30" s="470">
        <v>212.73183297405896</v>
      </c>
      <c r="S30" s="470">
        <v>270.90084079814744</v>
      </c>
      <c r="T30" s="470"/>
      <c r="U30" s="470"/>
      <c r="V30" s="470"/>
      <c r="W30" s="470"/>
      <c r="X30" s="23"/>
      <c r="Y30" s="23"/>
      <c r="Z30" s="23"/>
      <c r="AA30" s="11"/>
    </row>
    <row r="31" spans="2:27" x14ac:dyDescent="0.2">
      <c r="B31" s="24">
        <v>100</v>
      </c>
      <c r="C31" s="470">
        <v>465.56467043276388</v>
      </c>
      <c r="D31" s="470">
        <v>526.70951429063655</v>
      </c>
      <c r="E31" s="470">
        <v>587.29181133153986</v>
      </c>
      <c r="F31" s="470">
        <v>507.07488166650472</v>
      </c>
      <c r="G31" s="470">
        <v>335.62132954841132</v>
      </c>
      <c r="H31" s="470">
        <v>465.56467043276388</v>
      </c>
      <c r="I31" s="470">
        <v>526.70951429063655</v>
      </c>
      <c r="J31" s="470">
        <v>587.29181133153986</v>
      </c>
      <c r="K31" s="470">
        <v>507.07488166650472</v>
      </c>
      <c r="L31" s="470">
        <v>335.62132954841132</v>
      </c>
      <c r="M31" s="470">
        <v>465.56467043276388</v>
      </c>
      <c r="N31" s="470">
        <v>526.70951429063655</v>
      </c>
      <c r="O31" s="470">
        <v>587.29181133153986</v>
      </c>
      <c r="P31" s="470">
        <v>507.07488166650472</v>
      </c>
      <c r="Q31" s="470">
        <v>335.62132954841132</v>
      </c>
      <c r="R31" s="470">
        <v>416.61696031665247</v>
      </c>
      <c r="S31" s="470">
        <v>481.22278966612743</v>
      </c>
      <c r="T31" s="470"/>
      <c r="U31" s="470"/>
      <c r="V31" s="470"/>
      <c r="W31" s="470"/>
      <c r="X31" s="23"/>
      <c r="Y31" s="23"/>
      <c r="Z31" s="23"/>
      <c r="AA31" s="11"/>
    </row>
    <row r="32" spans="2:27" x14ac:dyDescent="0.2">
      <c r="B32" s="24">
        <v>150</v>
      </c>
      <c r="C32" s="470">
        <v>505.81028566122677</v>
      </c>
      <c r="D32" s="470">
        <v>585.98954893399707</v>
      </c>
      <c r="E32" s="470">
        <v>688.83737408414038</v>
      </c>
      <c r="F32" s="470">
        <v>640.95235237744782</v>
      </c>
      <c r="G32" s="470">
        <v>477.16561574548541</v>
      </c>
      <c r="H32" s="470">
        <v>505.81028566122677</v>
      </c>
      <c r="I32" s="470">
        <v>585.98954893399707</v>
      </c>
      <c r="J32" s="470">
        <v>688.83737408414038</v>
      </c>
      <c r="K32" s="470">
        <v>640.95235237744782</v>
      </c>
      <c r="L32" s="470">
        <v>477.16561574548541</v>
      </c>
      <c r="M32" s="470">
        <v>505.81028566122677</v>
      </c>
      <c r="N32" s="470">
        <v>585.98954893399707</v>
      </c>
      <c r="O32" s="470">
        <v>688.83737408414038</v>
      </c>
      <c r="P32" s="470">
        <v>640.95235237744782</v>
      </c>
      <c r="Q32" s="470">
        <v>477.16561574548541</v>
      </c>
      <c r="R32" s="470">
        <v>566.81616013097141</v>
      </c>
      <c r="S32" s="470">
        <v>620.17448613749639</v>
      </c>
      <c r="T32" s="470"/>
      <c r="U32" s="470"/>
      <c r="V32" s="470"/>
      <c r="W32" s="470"/>
      <c r="X32" s="23"/>
      <c r="Y32" s="23"/>
      <c r="Z32" s="23"/>
      <c r="AA32" s="11"/>
    </row>
    <row r="33" spans="2:27" x14ac:dyDescent="0.2">
      <c r="B33" s="24">
        <v>200</v>
      </c>
      <c r="C33" s="470">
        <v>537.2300623808203</v>
      </c>
      <c r="D33" s="470">
        <v>635.00554726049859</v>
      </c>
      <c r="E33" s="470">
        <v>767.64241875469838</v>
      </c>
      <c r="F33" s="470">
        <v>732.68428766173759</v>
      </c>
      <c r="G33" s="470">
        <v>584.7916930320464</v>
      </c>
      <c r="H33" s="470">
        <v>537.2300623808203</v>
      </c>
      <c r="I33" s="470">
        <v>635.00554726049859</v>
      </c>
      <c r="J33" s="470">
        <v>767.64241875469838</v>
      </c>
      <c r="K33" s="470">
        <v>732.68428766173759</v>
      </c>
      <c r="L33" s="470">
        <v>584.7916930320464</v>
      </c>
      <c r="M33" s="470">
        <v>537.2300623808203</v>
      </c>
      <c r="N33" s="470">
        <v>635.00554726049859</v>
      </c>
      <c r="O33" s="470">
        <v>767.64241875469838</v>
      </c>
      <c r="P33" s="470">
        <v>732.68428766173759</v>
      </c>
      <c r="Q33" s="470">
        <v>584.7916930320464</v>
      </c>
      <c r="R33" s="470">
        <v>673.43415836913073</v>
      </c>
      <c r="S33" s="470">
        <v>716.02701979865924</v>
      </c>
      <c r="T33" s="470"/>
      <c r="U33" s="470"/>
      <c r="V33" s="470"/>
      <c r="W33" s="470"/>
      <c r="X33" s="23"/>
      <c r="Y33" s="23"/>
      <c r="Z33" s="23"/>
      <c r="AA33" s="11"/>
    </row>
    <row r="34" spans="2:27" x14ac:dyDescent="0.2">
      <c r="B34" s="24">
        <v>300</v>
      </c>
      <c r="C34" s="470">
        <v>568.49854885165814</v>
      </c>
      <c r="D34" s="470">
        <v>699.7003186164801</v>
      </c>
      <c r="E34" s="470">
        <v>886.2991723801174</v>
      </c>
      <c r="F34" s="470">
        <v>855.41242264842049</v>
      </c>
      <c r="G34" s="470">
        <v>722.4192198991833</v>
      </c>
      <c r="H34" s="470">
        <v>568.49854885165814</v>
      </c>
      <c r="I34" s="470">
        <v>699.7003186164801</v>
      </c>
      <c r="J34" s="470">
        <v>886.2991723801174</v>
      </c>
      <c r="K34" s="470">
        <v>855.41242264842049</v>
      </c>
      <c r="L34" s="470">
        <v>722.4192198991833</v>
      </c>
      <c r="M34" s="470">
        <v>568.49854885165814</v>
      </c>
      <c r="N34" s="470">
        <v>699.7003186164801</v>
      </c>
      <c r="O34" s="470">
        <v>886.2991723801174</v>
      </c>
      <c r="P34" s="470">
        <v>855.41242264842049</v>
      </c>
      <c r="Q34" s="470">
        <v>722.4192198991833</v>
      </c>
      <c r="R34" s="470">
        <v>806.55191443303352</v>
      </c>
      <c r="S34" s="470">
        <v>842.34393330284968</v>
      </c>
      <c r="T34" s="470"/>
      <c r="U34" s="470"/>
      <c r="V34" s="470"/>
      <c r="W34" s="470"/>
      <c r="X34" s="23"/>
      <c r="Y34" s="23"/>
      <c r="Z34" s="23"/>
      <c r="AA34" s="11"/>
    </row>
    <row r="35" spans="2:27" x14ac:dyDescent="0.2">
      <c r="B35" s="24">
        <v>400</v>
      </c>
      <c r="C35" s="470">
        <v>580.84522063165559</v>
      </c>
      <c r="D35" s="470">
        <v>733.41910398143602</v>
      </c>
      <c r="E35" s="470">
        <v>962.66346086213832</v>
      </c>
      <c r="F35" s="470">
        <v>928.37272446697409</v>
      </c>
      <c r="G35" s="470">
        <v>796.75875517221255</v>
      </c>
      <c r="H35" s="470">
        <v>580.84522063165559</v>
      </c>
      <c r="I35" s="470">
        <v>733.41910398143602</v>
      </c>
      <c r="J35" s="470">
        <v>962.66346086213832</v>
      </c>
      <c r="K35" s="470">
        <v>928.37272446697409</v>
      </c>
      <c r="L35" s="470">
        <v>796.75875517221255</v>
      </c>
      <c r="M35" s="470">
        <v>580.84522063165559</v>
      </c>
      <c r="N35" s="470">
        <v>733.41910398143602</v>
      </c>
      <c r="O35" s="470">
        <v>962.66346086213832</v>
      </c>
      <c r="P35" s="470">
        <v>928.37272446697409</v>
      </c>
      <c r="Q35" s="470">
        <v>796.75875517221255</v>
      </c>
      <c r="R35" s="470">
        <v>877.80466426499822</v>
      </c>
      <c r="S35" s="470">
        <v>917.53132473270227</v>
      </c>
      <c r="T35" s="470"/>
      <c r="U35" s="470"/>
      <c r="V35" s="470"/>
      <c r="W35" s="470"/>
      <c r="X35" s="23"/>
      <c r="Y35" s="23"/>
      <c r="Z35" s="23"/>
      <c r="AA35" s="11"/>
    </row>
    <row r="36" spans="2:27" x14ac:dyDescent="0.2">
      <c r="B36" s="24">
        <v>600</v>
      </c>
      <c r="C36" s="470">
        <v>598.57449793439309</v>
      </c>
      <c r="D36" s="470">
        <v>771.03301102926082</v>
      </c>
      <c r="E36" s="470">
        <v>1047.6771152689853</v>
      </c>
      <c r="F36" s="470">
        <v>993.46281405571722</v>
      </c>
      <c r="G36" s="470">
        <v>849.83471856673157</v>
      </c>
      <c r="H36" s="470">
        <v>598.57449793439309</v>
      </c>
      <c r="I36" s="470">
        <v>771.03301102926082</v>
      </c>
      <c r="J36" s="470">
        <v>1047.6771152689853</v>
      </c>
      <c r="K36" s="470">
        <v>993.46281405571722</v>
      </c>
      <c r="L36" s="470">
        <v>849.83471856673157</v>
      </c>
      <c r="M36" s="470">
        <v>598.57449793439309</v>
      </c>
      <c r="N36" s="470">
        <v>771.03301102926082</v>
      </c>
      <c r="O36" s="470">
        <v>1047.6771152689853</v>
      </c>
      <c r="P36" s="470">
        <v>993.46281405571722</v>
      </c>
      <c r="Q36" s="470">
        <v>849.83471856673157</v>
      </c>
      <c r="R36" s="470">
        <v>924.56120966604374</v>
      </c>
      <c r="S36" s="470">
        <v>982.56047847596915</v>
      </c>
      <c r="T36" s="470"/>
      <c r="U36" s="470"/>
      <c r="V36" s="470"/>
      <c r="W36" s="470"/>
      <c r="X36" s="23"/>
      <c r="Y36" s="23"/>
      <c r="Z36" s="23"/>
      <c r="AA36" s="11"/>
    </row>
    <row r="37" spans="2:27" x14ac:dyDescent="0.2">
      <c r="B37" s="24">
        <v>1000</v>
      </c>
      <c r="C37" s="470">
        <v>632.96388644256751</v>
      </c>
      <c r="D37" s="470">
        <v>821.36126295209328</v>
      </c>
      <c r="E37" s="470">
        <v>1134.1815229523761</v>
      </c>
      <c r="F37" s="470">
        <v>1053.3366912218419</v>
      </c>
      <c r="G37" s="470">
        <v>844.27705418594689</v>
      </c>
      <c r="H37" s="470">
        <v>632.96388644256751</v>
      </c>
      <c r="I37" s="470">
        <v>821.36126295209328</v>
      </c>
      <c r="J37" s="470">
        <v>1134.1815229523761</v>
      </c>
      <c r="K37" s="470">
        <v>1053.3366912218419</v>
      </c>
      <c r="L37" s="470">
        <v>844.27705418594689</v>
      </c>
      <c r="M37" s="470">
        <v>632.96388644256751</v>
      </c>
      <c r="N37" s="470">
        <v>821.36126295209328</v>
      </c>
      <c r="O37" s="470">
        <v>1134.1815229523761</v>
      </c>
      <c r="P37" s="470">
        <v>1053.3366912218419</v>
      </c>
      <c r="Q37" s="470">
        <v>844.27705418594689</v>
      </c>
      <c r="R37" s="470">
        <v>935.84621294383408</v>
      </c>
      <c r="S37" s="470">
        <v>1027.8518743576103</v>
      </c>
      <c r="T37" s="470"/>
      <c r="U37" s="470"/>
      <c r="V37" s="470"/>
      <c r="W37" s="470"/>
      <c r="X37" s="23"/>
      <c r="Y37" s="23"/>
      <c r="Z37" s="23"/>
      <c r="AA37" s="11"/>
    </row>
    <row r="38" spans="2:27" x14ac:dyDescent="0.2">
      <c r="B38" s="24">
        <v>2000</v>
      </c>
      <c r="C38" s="470">
        <v>669.38017833929689</v>
      </c>
      <c r="D38" s="470">
        <v>874.42230625600428</v>
      </c>
      <c r="E38" s="470">
        <v>1218.5995923212713</v>
      </c>
      <c r="F38" s="470">
        <v>1200.5915268012554</v>
      </c>
      <c r="G38" s="470">
        <v>1004.8923763900013</v>
      </c>
      <c r="H38" s="470">
        <v>669.38017833929689</v>
      </c>
      <c r="I38" s="470">
        <v>874.42230625600428</v>
      </c>
      <c r="J38" s="470">
        <v>1218.5995923212713</v>
      </c>
      <c r="K38" s="470">
        <v>1200.5915268012554</v>
      </c>
      <c r="L38" s="470">
        <v>1004.8923763900013</v>
      </c>
      <c r="M38" s="470">
        <v>669.38017833929689</v>
      </c>
      <c r="N38" s="470">
        <v>874.42230625600428</v>
      </c>
      <c r="O38" s="470">
        <v>1218.5995923212713</v>
      </c>
      <c r="P38" s="470">
        <v>1200.5915268012554</v>
      </c>
      <c r="Q38" s="470">
        <v>1004.8923763900013</v>
      </c>
      <c r="R38" s="470">
        <v>1129.6738577314527</v>
      </c>
      <c r="S38" s="470">
        <v>1172.6834110188331</v>
      </c>
      <c r="T38" s="470"/>
      <c r="U38" s="470"/>
      <c r="V38" s="470"/>
      <c r="W38" s="470"/>
      <c r="X38" s="23"/>
      <c r="Y38" s="23"/>
      <c r="Z38" s="23"/>
      <c r="AA38" s="11"/>
    </row>
    <row r="39" spans="2:27" x14ac:dyDescent="0.2">
      <c r="B39" s="24">
        <v>609.57025297165501</v>
      </c>
      <c r="C39" s="470">
        <v>599.45235497435442</v>
      </c>
      <c r="D39" s="470">
        <v>772.49413946463051</v>
      </c>
      <c r="E39" s="470">
        <v>1050.5846994958727</v>
      </c>
      <c r="F39" s="470">
        <v>995.27839374980192</v>
      </c>
      <c r="G39" s="470">
        <v>850.51096963314296</v>
      </c>
      <c r="H39" s="470">
        <v>599.45235497435442</v>
      </c>
      <c r="I39" s="470">
        <v>772.49413946463051</v>
      </c>
      <c r="J39" s="470">
        <v>1050.5846994958727</v>
      </c>
      <c r="K39" s="470">
        <v>995.27839374980192</v>
      </c>
      <c r="L39" s="470">
        <v>850.51096963314296</v>
      </c>
      <c r="M39" s="470">
        <v>599.45235497435442</v>
      </c>
      <c r="N39" s="470">
        <v>772.49413946463051</v>
      </c>
      <c r="O39" s="470">
        <v>1050.5846994958727</v>
      </c>
      <c r="P39" s="470">
        <v>995.27839374980192</v>
      </c>
      <c r="Q39" s="470">
        <v>850.51096963314296</v>
      </c>
      <c r="R39" s="470">
        <v>925.11614685008544</v>
      </c>
      <c r="S39" s="470">
        <v>984.18782753804248</v>
      </c>
      <c r="T39" s="470"/>
      <c r="U39" s="470"/>
      <c r="V39" s="470"/>
      <c r="W39" s="470"/>
      <c r="X39" s="23"/>
      <c r="Y39" s="23"/>
      <c r="Z39" s="23"/>
      <c r="AA39" s="11"/>
    </row>
    <row r="40" spans="2:27" x14ac:dyDescent="0.2">
      <c r="B40" s="24">
        <v>54.3</v>
      </c>
      <c r="C40" s="470">
        <v>421.68213538932196</v>
      </c>
      <c r="D40" s="470">
        <v>441.14801196762306</v>
      </c>
      <c r="E40" s="470">
        <v>430.16519076941921</v>
      </c>
      <c r="F40" s="470">
        <v>316.80880105239061</v>
      </c>
      <c r="G40" s="470">
        <v>178.03838337180233</v>
      </c>
      <c r="H40" s="470">
        <v>421.68213538932196</v>
      </c>
      <c r="I40" s="470">
        <v>441.14801196762306</v>
      </c>
      <c r="J40" s="470">
        <v>430.16519076941921</v>
      </c>
      <c r="K40" s="470">
        <v>316.80880105239061</v>
      </c>
      <c r="L40" s="470">
        <v>178.03838337180233</v>
      </c>
      <c r="M40" s="470">
        <v>421.68213538932196</v>
      </c>
      <c r="N40" s="470">
        <v>441.14801196762306</v>
      </c>
      <c r="O40" s="470">
        <v>430.16519076941921</v>
      </c>
      <c r="P40" s="470">
        <v>316.80880105239061</v>
      </c>
      <c r="Q40" s="470">
        <v>178.03838337180233</v>
      </c>
      <c r="R40" s="470">
        <v>232.19670840109745</v>
      </c>
      <c r="S40" s="470">
        <v>292.70604450309685</v>
      </c>
      <c r="T40" s="470"/>
      <c r="U40" s="470"/>
      <c r="V40" s="470"/>
      <c r="W40" s="470"/>
      <c r="X40" s="23"/>
      <c r="Y40" s="23"/>
      <c r="Z40" s="23"/>
      <c r="AA40" s="11"/>
    </row>
    <row r="41" spans="2:27" x14ac:dyDescent="0.2">
      <c r="B41" s="24">
        <v>90.5</v>
      </c>
      <c r="C41" s="470">
        <v>457.65599325806807</v>
      </c>
      <c r="D41" s="470">
        <v>513.52257002352064</v>
      </c>
      <c r="E41" s="470">
        <v>562.5806175972366</v>
      </c>
      <c r="F41" s="470">
        <v>474.06732397951237</v>
      </c>
      <c r="G41" s="470">
        <v>304.87482281845746</v>
      </c>
      <c r="H41" s="470">
        <v>457.65599325806807</v>
      </c>
      <c r="I41" s="470">
        <v>513.52257002352064</v>
      </c>
      <c r="J41" s="470">
        <v>562.5806175972366</v>
      </c>
      <c r="K41" s="470">
        <v>474.06732397951237</v>
      </c>
      <c r="L41" s="470">
        <v>304.87482281845746</v>
      </c>
      <c r="M41" s="470">
        <v>457.65599325806807</v>
      </c>
      <c r="N41" s="470">
        <v>513.52257002352064</v>
      </c>
      <c r="O41" s="470">
        <v>562.5806175972366</v>
      </c>
      <c r="P41" s="470">
        <v>474.06732397951237</v>
      </c>
      <c r="Q41" s="470">
        <v>304.87482281845746</v>
      </c>
      <c r="R41" s="470">
        <v>382.03590069639375</v>
      </c>
      <c r="S41" s="470">
        <v>447.73104972729419</v>
      </c>
      <c r="T41" s="470"/>
      <c r="U41" s="470"/>
      <c r="V41" s="470"/>
      <c r="W41" s="470"/>
      <c r="X41" s="23"/>
      <c r="Y41" s="23"/>
      <c r="Z41" s="23"/>
      <c r="AA41" s="11"/>
    </row>
    <row r="42" spans="2:27" x14ac:dyDescent="0.2">
      <c r="B42" s="24">
        <v>120.7</v>
      </c>
      <c r="C42" s="470">
        <v>482.69822429158324</v>
      </c>
      <c r="D42" s="470">
        <v>552.69919032175051</v>
      </c>
      <c r="E42" s="470">
        <v>633.70311653022179</v>
      </c>
      <c r="F42" s="470">
        <v>569.61181716498345</v>
      </c>
      <c r="G42" s="470">
        <v>398.41034245012071</v>
      </c>
      <c r="H42" s="470">
        <v>482.69822429158324</v>
      </c>
      <c r="I42" s="470">
        <v>552.69919032175051</v>
      </c>
      <c r="J42" s="470">
        <v>633.70311653022179</v>
      </c>
      <c r="K42" s="470">
        <v>569.61181716498345</v>
      </c>
      <c r="L42" s="470">
        <v>398.41034245012071</v>
      </c>
      <c r="M42" s="470">
        <v>482.69822429158324</v>
      </c>
      <c r="N42" s="470">
        <v>552.69919032175051</v>
      </c>
      <c r="O42" s="470">
        <v>633.70311653022179</v>
      </c>
      <c r="P42" s="470">
        <v>569.61181716498345</v>
      </c>
      <c r="Q42" s="470">
        <v>398.41034245012071</v>
      </c>
      <c r="R42" s="470">
        <v>485.03239882180384</v>
      </c>
      <c r="S42" s="470">
        <v>545.64676775587577</v>
      </c>
      <c r="T42" s="470"/>
      <c r="U42" s="470"/>
      <c r="V42" s="470"/>
      <c r="W42" s="470"/>
      <c r="X42" s="23"/>
      <c r="Y42" s="23"/>
      <c r="Z42" s="23"/>
      <c r="AA42" s="11"/>
    </row>
    <row r="43" spans="2:27" x14ac:dyDescent="0.2">
      <c r="B43" s="24">
        <v>144.80000000000001</v>
      </c>
      <c r="C43" s="470">
        <v>501.89257658587843</v>
      </c>
      <c r="D43" s="470">
        <v>580.31515766424275</v>
      </c>
      <c r="E43" s="470">
        <v>679.6791974121287</v>
      </c>
      <c r="F43" s="470">
        <v>629.48424729288638</v>
      </c>
      <c r="G43" s="470">
        <v>464.06946337655052</v>
      </c>
      <c r="H43" s="470">
        <v>501.89257658587843</v>
      </c>
      <c r="I43" s="470">
        <v>580.31515766424275</v>
      </c>
      <c r="J43" s="470">
        <v>679.6791974121287</v>
      </c>
      <c r="K43" s="470">
        <v>629.48424729288638</v>
      </c>
      <c r="L43" s="470">
        <v>464.06946337655052</v>
      </c>
      <c r="M43" s="470">
        <v>501.89257658587843</v>
      </c>
      <c r="N43" s="470">
        <v>580.31515766424275</v>
      </c>
      <c r="O43" s="470">
        <v>679.6791974121287</v>
      </c>
      <c r="P43" s="470">
        <v>629.48424729288638</v>
      </c>
      <c r="Q43" s="470">
        <v>464.06946337655052</v>
      </c>
      <c r="R43" s="470">
        <v>553.48457559649182</v>
      </c>
      <c r="S43" s="470">
        <v>608.15681067346566</v>
      </c>
      <c r="T43" s="470"/>
      <c r="U43" s="470"/>
      <c r="V43" s="470"/>
      <c r="W43" s="470"/>
      <c r="X43" s="23"/>
      <c r="Y43" s="23"/>
      <c r="Z43" s="23"/>
      <c r="AA43" s="11"/>
    </row>
    <row r="44" spans="2:27" x14ac:dyDescent="0.2">
      <c r="B44" s="24">
        <v>181</v>
      </c>
      <c r="C44" s="470">
        <v>526.73078982654454</v>
      </c>
      <c r="D44" s="470">
        <v>617.64413993923097</v>
      </c>
      <c r="E44" s="470">
        <v>739.43778906154341</v>
      </c>
      <c r="F44" s="470">
        <v>701.19854290548983</v>
      </c>
      <c r="G44" s="470">
        <v>547.62805659937533</v>
      </c>
      <c r="H44" s="470">
        <v>526.73078982654454</v>
      </c>
      <c r="I44" s="470">
        <v>617.64413993923097</v>
      </c>
      <c r="J44" s="470">
        <v>739.43778906154341</v>
      </c>
      <c r="K44" s="470">
        <v>701.19854290548983</v>
      </c>
      <c r="L44" s="470">
        <v>547.62805659937533</v>
      </c>
      <c r="M44" s="470">
        <v>526.73078982654454</v>
      </c>
      <c r="N44" s="470">
        <v>617.64413993923097</v>
      </c>
      <c r="O44" s="470">
        <v>739.43778906154341</v>
      </c>
      <c r="P44" s="470">
        <v>701.19854290548983</v>
      </c>
      <c r="Q44" s="470">
        <v>547.62805659937533</v>
      </c>
      <c r="R44" s="470">
        <v>637.10284795535938</v>
      </c>
      <c r="S44" s="470">
        <v>683.24401056605905</v>
      </c>
      <c r="T44" s="470"/>
      <c r="U44" s="470"/>
      <c r="V44" s="470"/>
      <c r="W44" s="470"/>
      <c r="X44" s="23"/>
      <c r="Y44" s="23"/>
      <c r="Z44" s="23"/>
      <c r="AA44" s="11"/>
    </row>
    <row r="45" spans="2:27" x14ac:dyDescent="0.2">
      <c r="B45" s="24"/>
      <c r="C45" s="470"/>
      <c r="D45" s="470"/>
      <c r="E45" s="470"/>
      <c r="F45" s="470"/>
      <c r="G45" s="470"/>
      <c r="H45" s="470"/>
      <c r="I45" s="470"/>
      <c r="J45" s="470"/>
      <c r="K45" s="470"/>
      <c r="L45" s="470"/>
      <c r="M45" s="470"/>
      <c r="N45" s="470"/>
      <c r="O45" s="470"/>
      <c r="P45" s="470"/>
      <c r="Q45" s="470"/>
      <c r="R45" s="470"/>
      <c r="S45" s="470"/>
      <c r="T45" s="470"/>
      <c r="U45" s="470"/>
      <c r="V45" s="470"/>
      <c r="W45" s="470"/>
      <c r="X45" s="23"/>
      <c r="Y45" s="23"/>
      <c r="Z45" s="23"/>
      <c r="AA45" s="11"/>
    </row>
    <row r="46" spans="2:27" ht="15.75" x14ac:dyDescent="0.3">
      <c r="B46" s="24" t="s">
        <v>48</v>
      </c>
      <c r="C46" s="55" t="s">
        <v>190</v>
      </c>
      <c r="D46" s="470"/>
      <c r="E46" s="470"/>
      <c r="F46" s="470"/>
      <c r="G46" s="470"/>
      <c r="H46" s="470"/>
      <c r="I46" s="470"/>
      <c r="J46" s="470"/>
      <c r="K46" s="470"/>
      <c r="L46" s="470"/>
      <c r="M46" s="470"/>
      <c r="N46" s="470"/>
      <c r="O46" s="470"/>
      <c r="P46" s="470"/>
      <c r="Q46" s="470"/>
      <c r="R46" s="470"/>
      <c r="S46" s="470"/>
      <c r="T46" s="470"/>
      <c r="U46" s="470"/>
      <c r="V46" s="470"/>
      <c r="W46" s="470"/>
      <c r="X46" s="23"/>
      <c r="Y46" s="23"/>
      <c r="Z46" s="23"/>
      <c r="AA46" s="11"/>
    </row>
    <row r="47" spans="2:27" x14ac:dyDescent="0.2">
      <c r="B47" s="24">
        <v>10</v>
      </c>
      <c r="C47" s="470">
        <v>44.508030606036272</v>
      </c>
      <c r="D47" s="470">
        <v>33.99287805924267</v>
      </c>
      <c r="E47" s="470">
        <v>23.429106316158162</v>
      </c>
      <c r="F47" s="470">
        <v>12.591823925742208</v>
      </c>
      <c r="G47" s="470">
        <v>5.214611058852098</v>
      </c>
      <c r="H47" s="470">
        <v>44.508030606036272</v>
      </c>
      <c r="I47" s="470">
        <v>33.99287805924267</v>
      </c>
      <c r="J47" s="470">
        <v>23.429106316158162</v>
      </c>
      <c r="K47" s="470">
        <v>12.591823925742208</v>
      </c>
      <c r="L47" s="470">
        <v>5.214611058852098</v>
      </c>
      <c r="M47" s="470">
        <v>44.508030606036272</v>
      </c>
      <c r="N47" s="470">
        <v>33.99287805924267</v>
      </c>
      <c r="O47" s="470">
        <v>23.429106316158162</v>
      </c>
      <c r="P47" s="470">
        <v>12.591823925742208</v>
      </c>
      <c r="Q47" s="470">
        <v>5.214611058852098</v>
      </c>
      <c r="R47" s="470">
        <v>7.6225386151100025</v>
      </c>
      <c r="S47" s="470">
        <v>10.942930697296127</v>
      </c>
      <c r="T47" s="470"/>
      <c r="U47" s="470"/>
      <c r="V47" s="470"/>
      <c r="W47" s="470"/>
      <c r="X47" s="23"/>
      <c r="Y47" s="23"/>
      <c r="Z47" s="23"/>
      <c r="AA47" s="11"/>
    </row>
    <row r="48" spans="2:27" x14ac:dyDescent="0.2">
      <c r="B48" s="24">
        <v>30</v>
      </c>
      <c r="C48" s="470">
        <v>96.594398727785574</v>
      </c>
      <c r="D48" s="470">
        <v>89.210546248150067</v>
      </c>
      <c r="E48" s="470">
        <v>74.603822812454013</v>
      </c>
      <c r="F48" s="470">
        <v>47.652334146050109</v>
      </c>
      <c r="G48" s="470">
        <v>23.335199683884248</v>
      </c>
      <c r="H48" s="470">
        <v>96.594398727785574</v>
      </c>
      <c r="I48" s="470">
        <v>89.210546248150067</v>
      </c>
      <c r="J48" s="470">
        <v>74.603822812454013</v>
      </c>
      <c r="K48" s="470">
        <v>47.652334146050109</v>
      </c>
      <c r="L48" s="470">
        <v>23.335199683884248</v>
      </c>
      <c r="M48" s="470">
        <v>96.594398727785574</v>
      </c>
      <c r="N48" s="470">
        <v>89.210546248150067</v>
      </c>
      <c r="O48" s="470">
        <v>74.603822812454013</v>
      </c>
      <c r="P48" s="470">
        <v>47.652334146050109</v>
      </c>
      <c r="Q48" s="470">
        <v>23.335199683884248</v>
      </c>
      <c r="R48" s="470">
        <v>31.95734882678336</v>
      </c>
      <c r="S48" s="470">
        <v>42.80839324347982</v>
      </c>
      <c r="T48" s="470"/>
      <c r="U48" s="470"/>
      <c r="V48" s="470"/>
      <c r="W48" s="470"/>
      <c r="X48" s="23"/>
      <c r="Y48" s="23"/>
      <c r="Z48" s="23"/>
      <c r="AA48" s="11"/>
    </row>
    <row r="49" spans="2:27" x14ac:dyDescent="0.2">
      <c r="B49" s="24">
        <v>50</v>
      </c>
      <c r="C49" s="470">
        <v>114.43607482296429</v>
      </c>
      <c r="D49" s="470">
        <v>117.49316531222537</v>
      </c>
      <c r="E49" s="470">
        <v>111.73769615871598</v>
      </c>
      <c r="F49" s="470">
        <v>80.209829203038851</v>
      </c>
      <c r="G49" s="470">
        <v>43.92812782240388</v>
      </c>
      <c r="H49" s="470">
        <v>114.43607482296429</v>
      </c>
      <c r="I49" s="470">
        <v>117.49316531222537</v>
      </c>
      <c r="J49" s="470">
        <v>111.73769615871598</v>
      </c>
      <c r="K49" s="470">
        <v>80.209829203038851</v>
      </c>
      <c r="L49" s="470">
        <v>43.92812782240388</v>
      </c>
      <c r="M49" s="470">
        <v>114.43607482296429</v>
      </c>
      <c r="N49" s="470">
        <v>117.49316531222537</v>
      </c>
      <c r="O49" s="470">
        <v>111.73769615871598</v>
      </c>
      <c r="P49" s="470">
        <v>80.209829203038851</v>
      </c>
      <c r="Q49" s="470">
        <v>43.92812782240388</v>
      </c>
      <c r="R49" s="470">
        <v>57.806473750470957</v>
      </c>
      <c r="S49" s="470">
        <v>73.762908221954106</v>
      </c>
      <c r="T49" s="470"/>
      <c r="U49" s="470"/>
      <c r="V49" s="470"/>
      <c r="W49" s="470"/>
      <c r="X49" s="23"/>
      <c r="Y49" s="23"/>
      <c r="Z49" s="23"/>
      <c r="AA49" s="11"/>
    </row>
    <row r="50" spans="2:27" x14ac:dyDescent="0.2">
      <c r="B50" s="24">
        <v>100</v>
      </c>
      <c r="C50" s="470">
        <v>135.34949391981712</v>
      </c>
      <c r="D50" s="470">
        <v>151.65283207541239</v>
      </c>
      <c r="E50" s="470">
        <v>167.29806748229629</v>
      </c>
      <c r="F50" s="470">
        <v>142.46072156237003</v>
      </c>
      <c r="G50" s="470">
        <v>92.881024708003281</v>
      </c>
      <c r="H50" s="470">
        <v>135.34949391981712</v>
      </c>
      <c r="I50" s="470">
        <v>151.65283207541239</v>
      </c>
      <c r="J50" s="470">
        <v>167.29806748229629</v>
      </c>
      <c r="K50" s="470">
        <v>142.46072156237003</v>
      </c>
      <c r="L50" s="470">
        <v>92.881024708003281</v>
      </c>
      <c r="M50" s="470">
        <v>135.34949391981712</v>
      </c>
      <c r="N50" s="470">
        <v>151.65283207541239</v>
      </c>
      <c r="O50" s="470">
        <v>167.29806748229629</v>
      </c>
      <c r="P50" s="470">
        <v>142.46072156237003</v>
      </c>
      <c r="Q50" s="470">
        <v>92.881024708003281</v>
      </c>
      <c r="R50" s="470">
        <v>115.97004534440471</v>
      </c>
      <c r="S50" s="470">
        <v>134.80145689923603</v>
      </c>
      <c r="T50" s="470"/>
      <c r="U50" s="470"/>
      <c r="V50" s="470"/>
      <c r="W50" s="470"/>
      <c r="X50" s="23"/>
      <c r="Y50" s="23"/>
      <c r="Z50" s="23"/>
      <c r="AA50" s="11"/>
    </row>
    <row r="51" spans="2:27" x14ac:dyDescent="0.2">
      <c r="B51" s="24">
        <v>150</v>
      </c>
      <c r="C51" s="470">
        <v>157.01287941780441</v>
      </c>
      <c r="D51" s="470">
        <v>178.9252326666591</v>
      </c>
      <c r="E51" s="470">
        <v>206.44465238888364</v>
      </c>
      <c r="F51" s="470">
        <v>187.82825365203149</v>
      </c>
      <c r="G51" s="470">
        <v>135.91012679288525</v>
      </c>
      <c r="H51" s="470">
        <v>157.01287941780441</v>
      </c>
      <c r="I51" s="470">
        <v>178.9252326666591</v>
      </c>
      <c r="J51" s="470">
        <v>206.44465238888364</v>
      </c>
      <c r="K51" s="470">
        <v>187.82825365203149</v>
      </c>
      <c r="L51" s="470">
        <v>135.91012679288525</v>
      </c>
      <c r="M51" s="470">
        <v>157.01287941780441</v>
      </c>
      <c r="N51" s="470">
        <v>178.9252326666591</v>
      </c>
      <c r="O51" s="470">
        <v>206.44465238888364</v>
      </c>
      <c r="P51" s="470">
        <v>187.82825365203149</v>
      </c>
      <c r="Q51" s="470">
        <v>135.91012679288525</v>
      </c>
      <c r="R51" s="470">
        <v>163.23557914222394</v>
      </c>
      <c r="S51" s="470">
        <v>180.76296376087743</v>
      </c>
      <c r="T51" s="470"/>
      <c r="U51" s="470"/>
      <c r="V51" s="470"/>
      <c r="W51" s="470"/>
      <c r="X51" s="23"/>
      <c r="Y51" s="23"/>
      <c r="Z51" s="23"/>
      <c r="AA51" s="11"/>
    </row>
    <row r="52" spans="2:27" x14ac:dyDescent="0.2">
      <c r="B52" s="24">
        <v>200</v>
      </c>
      <c r="C52" s="470">
        <v>178.7505794265237</v>
      </c>
      <c r="D52" s="470">
        <v>206.60242840072462</v>
      </c>
      <c r="E52" s="470">
        <v>243.36614598590205</v>
      </c>
      <c r="F52" s="470">
        <v>225.65773751003911</v>
      </c>
      <c r="G52" s="470">
        <v>172.65348510300413</v>
      </c>
      <c r="H52" s="470">
        <v>178.7505794265237</v>
      </c>
      <c r="I52" s="470">
        <v>206.60242840072462</v>
      </c>
      <c r="J52" s="470">
        <v>243.36614598590205</v>
      </c>
      <c r="K52" s="470">
        <v>225.65773751003911</v>
      </c>
      <c r="L52" s="470">
        <v>172.65348510300413</v>
      </c>
      <c r="M52" s="470">
        <v>178.7505794265237</v>
      </c>
      <c r="N52" s="470">
        <v>206.60242840072462</v>
      </c>
      <c r="O52" s="470">
        <v>243.36614598590205</v>
      </c>
      <c r="P52" s="470">
        <v>225.65773751003911</v>
      </c>
      <c r="Q52" s="470">
        <v>172.65348510300413</v>
      </c>
      <c r="R52" s="470">
        <v>202.13209082054163</v>
      </c>
      <c r="S52" s="470">
        <v>218.83828557732855</v>
      </c>
      <c r="T52" s="470"/>
      <c r="U52" s="470"/>
      <c r="V52" s="470"/>
      <c r="W52" s="470"/>
      <c r="X52" s="23"/>
      <c r="Y52" s="23"/>
      <c r="Z52" s="23"/>
      <c r="AA52" s="11"/>
    </row>
    <row r="53" spans="2:27" x14ac:dyDescent="0.2">
      <c r="B53" s="24">
        <v>300</v>
      </c>
      <c r="C53" s="470">
        <v>215.27632031426879</v>
      </c>
      <c r="D53" s="470">
        <v>257.34352440682227</v>
      </c>
      <c r="E53" s="470">
        <v>314.58197130245588</v>
      </c>
      <c r="F53" s="470">
        <v>293.42402581220671</v>
      </c>
      <c r="G53" s="470">
        <v>232.41113290278275</v>
      </c>
      <c r="H53" s="470">
        <v>215.27632031426879</v>
      </c>
      <c r="I53" s="470">
        <v>257.34352440682227</v>
      </c>
      <c r="J53" s="470">
        <v>314.58197130245588</v>
      </c>
      <c r="K53" s="470">
        <v>293.42402581220671</v>
      </c>
      <c r="L53" s="470">
        <v>232.41113290278275</v>
      </c>
      <c r="M53" s="470">
        <v>215.27632031426879</v>
      </c>
      <c r="N53" s="470">
        <v>257.34352440682227</v>
      </c>
      <c r="O53" s="470">
        <v>314.58197130245588</v>
      </c>
      <c r="P53" s="470">
        <v>293.42402581220671</v>
      </c>
      <c r="Q53" s="470">
        <v>232.41113290278275</v>
      </c>
      <c r="R53" s="470">
        <v>266.2628393764312</v>
      </c>
      <c r="S53" s="470">
        <v>285.86431784024012</v>
      </c>
      <c r="T53" s="470"/>
      <c r="U53" s="470"/>
      <c r="V53" s="470"/>
      <c r="W53" s="470"/>
      <c r="X53" s="23"/>
      <c r="Y53" s="23"/>
      <c r="Z53" s="23"/>
      <c r="AA53" s="11"/>
    </row>
    <row r="54" spans="2:27" x14ac:dyDescent="0.2">
      <c r="B54" s="24">
        <v>400</v>
      </c>
      <c r="C54" s="470">
        <v>243.50166122253219</v>
      </c>
      <c r="D54" s="470">
        <v>298.5533710345951</v>
      </c>
      <c r="E54" s="470">
        <v>377.26008528178784</v>
      </c>
      <c r="F54" s="470">
        <v>352.54271876937207</v>
      </c>
      <c r="G54" s="470">
        <v>281.22586677626776</v>
      </c>
      <c r="H54" s="470">
        <v>243.50166122253219</v>
      </c>
      <c r="I54" s="470">
        <v>298.5533710345951</v>
      </c>
      <c r="J54" s="470">
        <v>377.26008528178784</v>
      </c>
      <c r="K54" s="470">
        <v>352.54271876937207</v>
      </c>
      <c r="L54" s="470">
        <v>281.22586677626776</v>
      </c>
      <c r="M54" s="470">
        <v>243.50166122253219</v>
      </c>
      <c r="N54" s="470">
        <v>298.5533710345951</v>
      </c>
      <c r="O54" s="470">
        <v>377.26008528178784</v>
      </c>
      <c r="P54" s="470">
        <v>352.54271876937207</v>
      </c>
      <c r="Q54" s="470">
        <v>281.22586677626776</v>
      </c>
      <c r="R54" s="470">
        <v>319.50670334566439</v>
      </c>
      <c r="S54" s="470">
        <v>344.52038290352357</v>
      </c>
      <c r="T54" s="470"/>
      <c r="U54" s="470"/>
      <c r="V54" s="470"/>
      <c r="W54" s="470"/>
      <c r="X54" s="23"/>
      <c r="Y54" s="23"/>
      <c r="Z54" s="23"/>
      <c r="AA54" s="11"/>
    </row>
    <row r="55" spans="2:27" x14ac:dyDescent="0.2">
      <c r="B55" s="24">
        <v>600</v>
      </c>
      <c r="C55" s="470">
        <v>282.25552091363761</v>
      </c>
      <c r="D55" s="470">
        <v>356.51380803759139</v>
      </c>
      <c r="E55" s="470">
        <v>470.56681816150729</v>
      </c>
      <c r="F55" s="470">
        <v>438.20360091773512</v>
      </c>
      <c r="G55" s="470">
        <v>353.18982151251271</v>
      </c>
      <c r="H55" s="470">
        <v>282.25552091363761</v>
      </c>
      <c r="I55" s="470">
        <v>356.51380803759139</v>
      </c>
      <c r="J55" s="470">
        <v>470.56681816150729</v>
      </c>
      <c r="K55" s="470">
        <v>438.20360091773512</v>
      </c>
      <c r="L55" s="470">
        <v>353.18982151251271</v>
      </c>
      <c r="M55" s="470">
        <v>282.25552091363761</v>
      </c>
      <c r="N55" s="470">
        <v>356.51380803759139</v>
      </c>
      <c r="O55" s="470">
        <v>470.56681816150729</v>
      </c>
      <c r="P55" s="470">
        <v>438.20360091773512</v>
      </c>
      <c r="Q55" s="470">
        <v>353.18982151251271</v>
      </c>
      <c r="R55" s="470">
        <v>394.98070047277258</v>
      </c>
      <c r="S55" s="470">
        <v>429.93131214980713</v>
      </c>
      <c r="T55" s="470"/>
      <c r="U55" s="470"/>
      <c r="V55" s="470"/>
      <c r="W55" s="470"/>
      <c r="X55" s="23"/>
      <c r="Y55" s="23"/>
      <c r="Z55" s="23"/>
      <c r="AA55" s="11"/>
    </row>
    <row r="56" spans="2:27" x14ac:dyDescent="0.2">
      <c r="B56" s="24">
        <v>1000</v>
      </c>
      <c r="C56" s="470">
        <v>315.48858345399555</v>
      </c>
      <c r="D56" s="470">
        <v>408.17363714070336</v>
      </c>
      <c r="E56" s="470">
        <v>559.99074325889887</v>
      </c>
      <c r="F56" s="470">
        <v>518.84680688625599</v>
      </c>
      <c r="G56" s="470">
        <v>410.4083271903495</v>
      </c>
      <c r="H56" s="470">
        <v>315.48858345399555</v>
      </c>
      <c r="I56" s="470">
        <v>408.17363714070336</v>
      </c>
      <c r="J56" s="470">
        <v>559.99074325889887</v>
      </c>
      <c r="K56" s="470">
        <v>518.84680688625599</v>
      </c>
      <c r="L56" s="470">
        <v>410.4083271903495</v>
      </c>
      <c r="M56" s="470">
        <v>315.48858345399555</v>
      </c>
      <c r="N56" s="470">
        <v>408.17363714070336</v>
      </c>
      <c r="O56" s="470">
        <v>559.99074325889887</v>
      </c>
      <c r="P56" s="470">
        <v>518.84680688625599</v>
      </c>
      <c r="Q56" s="470">
        <v>410.4083271903495</v>
      </c>
      <c r="R56" s="470">
        <v>458.25313817975325</v>
      </c>
      <c r="S56" s="470">
        <v>505.54874463854941</v>
      </c>
      <c r="T56" s="470"/>
      <c r="U56" s="470"/>
      <c r="V56" s="470"/>
      <c r="W56" s="470"/>
      <c r="X56" s="23"/>
      <c r="Y56" s="23"/>
      <c r="Z56" s="23"/>
      <c r="AA56" s="11"/>
    </row>
    <row r="57" spans="2:27" x14ac:dyDescent="0.2">
      <c r="B57" s="24">
        <v>2000</v>
      </c>
      <c r="C57" s="470">
        <v>334.69007520716991</v>
      </c>
      <c r="D57" s="470">
        <v>437.21099477651131</v>
      </c>
      <c r="E57" s="470">
        <v>609.29751940873689</v>
      </c>
      <c r="F57" s="470">
        <v>600.29339334912243</v>
      </c>
      <c r="G57" s="470">
        <v>502.44237872445012</v>
      </c>
      <c r="H57" s="470">
        <v>334.69007520716991</v>
      </c>
      <c r="I57" s="470">
        <v>437.21099477651131</v>
      </c>
      <c r="J57" s="470">
        <v>609.29751940873689</v>
      </c>
      <c r="K57" s="470">
        <v>600.29339334912243</v>
      </c>
      <c r="L57" s="470">
        <v>502.44237872445012</v>
      </c>
      <c r="M57" s="470">
        <v>334.69007520716991</v>
      </c>
      <c r="N57" s="470">
        <v>437.21099477651131</v>
      </c>
      <c r="O57" s="470">
        <v>609.29751940873689</v>
      </c>
      <c r="P57" s="470">
        <v>600.29339334912243</v>
      </c>
      <c r="Q57" s="470">
        <v>502.44237872445012</v>
      </c>
      <c r="R57" s="470">
        <v>564.83413769444962</v>
      </c>
      <c r="S57" s="470">
        <v>586.33918055082677</v>
      </c>
      <c r="T57" s="470"/>
      <c r="U57" s="470"/>
      <c r="V57" s="470"/>
      <c r="W57" s="470"/>
      <c r="X57" s="23"/>
      <c r="Y57" s="23"/>
      <c r="Z57" s="23"/>
      <c r="AA57" s="11"/>
    </row>
    <row r="58" spans="2:27" x14ac:dyDescent="0.2">
      <c r="B58" s="24">
        <v>609.57025297165501</v>
      </c>
      <c r="C58" s="470">
        <v>283.61651281187881</v>
      </c>
      <c r="D58" s="470">
        <v>358.59310775307324</v>
      </c>
      <c r="E58" s="470">
        <v>474.03376866786977</v>
      </c>
      <c r="F58" s="470">
        <v>441.29563930282387</v>
      </c>
      <c r="G58" s="470">
        <v>355.75562914211343</v>
      </c>
      <c r="H58" s="470">
        <v>283.61651281187881</v>
      </c>
      <c r="I58" s="470">
        <v>358.59310775307324</v>
      </c>
      <c r="J58" s="470">
        <v>474.03376866786977</v>
      </c>
      <c r="K58" s="470">
        <v>441.29563930282387</v>
      </c>
      <c r="L58" s="470">
        <v>355.75562914211343</v>
      </c>
      <c r="M58" s="470">
        <v>283.61651281187881</v>
      </c>
      <c r="N58" s="470">
        <v>358.59310775307324</v>
      </c>
      <c r="O58" s="470">
        <v>474.03376866786977</v>
      </c>
      <c r="P58" s="470">
        <v>441.29563930282387</v>
      </c>
      <c r="Q58" s="470">
        <v>355.75562914211343</v>
      </c>
      <c r="R58" s="470">
        <v>397.59386949951357</v>
      </c>
      <c r="S58" s="470">
        <v>432.98234234359393</v>
      </c>
      <c r="T58" s="470"/>
      <c r="U58" s="470"/>
      <c r="V58" s="470"/>
      <c r="W58" s="470"/>
      <c r="X58" s="23"/>
      <c r="Y58" s="23"/>
      <c r="Z58" s="23"/>
      <c r="AA58" s="11"/>
    </row>
    <row r="59" spans="2:27" x14ac:dyDescent="0.2">
      <c r="B59" s="24">
        <v>54.3</v>
      </c>
      <c r="C59" s="470">
        <v>116.72742205220526</v>
      </c>
      <c r="D59" s="470">
        <v>121.6519890434985</v>
      </c>
      <c r="E59" s="470">
        <v>118.13252622188951</v>
      </c>
      <c r="F59" s="470">
        <v>86.516387556662949</v>
      </c>
      <c r="G59" s="470">
        <v>48.358234820214179</v>
      </c>
      <c r="H59" s="470">
        <v>116.72742205220526</v>
      </c>
      <c r="I59" s="470">
        <v>121.6519890434985</v>
      </c>
      <c r="J59" s="470">
        <v>118.13252622188951</v>
      </c>
      <c r="K59" s="470">
        <v>86.516387556662949</v>
      </c>
      <c r="L59" s="470">
        <v>48.358234820214179</v>
      </c>
      <c r="M59" s="470">
        <v>116.72742205220526</v>
      </c>
      <c r="N59" s="470">
        <v>121.6519890434985</v>
      </c>
      <c r="O59" s="470">
        <v>118.13252622188951</v>
      </c>
      <c r="P59" s="470">
        <v>86.516387556662949</v>
      </c>
      <c r="Q59" s="470">
        <v>48.358234820214179</v>
      </c>
      <c r="R59" s="470">
        <v>63.197706642425544</v>
      </c>
      <c r="S59" s="470">
        <v>79.852549444204868</v>
      </c>
      <c r="T59" s="470"/>
      <c r="U59" s="470"/>
      <c r="V59" s="470"/>
      <c r="W59" s="470"/>
      <c r="X59" s="23"/>
      <c r="Y59" s="23"/>
      <c r="Z59" s="23"/>
      <c r="AA59" s="11"/>
    </row>
    <row r="60" spans="2:27" x14ac:dyDescent="0.2">
      <c r="B60" s="24">
        <v>90.5</v>
      </c>
      <c r="C60" s="470">
        <v>131.54951055151119</v>
      </c>
      <c r="D60" s="470">
        <v>146.37841654146251</v>
      </c>
      <c r="E60" s="470">
        <v>158.89076592882844</v>
      </c>
      <c r="F60" s="470">
        <v>132.28280152541572</v>
      </c>
      <c r="G60" s="470">
        <v>83.990969193347837</v>
      </c>
      <c r="H60" s="470">
        <v>131.54951055151119</v>
      </c>
      <c r="I60" s="470">
        <v>146.37841654146251</v>
      </c>
      <c r="J60" s="470">
        <v>158.89076592882844</v>
      </c>
      <c r="K60" s="470">
        <v>132.28280152541572</v>
      </c>
      <c r="L60" s="470">
        <v>83.990969193347837</v>
      </c>
      <c r="M60" s="470">
        <v>131.54951055151119</v>
      </c>
      <c r="N60" s="470">
        <v>146.37841654146251</v>
      </c>
      <c r="O60" s="470">
        <v>158.89076592882844</v>
      </c>
      <c r="P60" s="470">
        <v>132.28280152541572</v>
      </c>
      <c r="Q60" s="470">
        <v>83.990969193347837</v>
      </c>
      <c r="R60" s="470">
        <v>105.76920812361348</v>
      </c>
      <c r="S60" s="470">
        <v>124.62285233729561</v>
      </c>
      <c r="T60" s="470"/>
      <c r="U60" s="470"/>
      <c r="V60" s="470"/>
      <c r="W60" s="470"/>
      <c r="X60" s="23"/>
      <c r="Y60" s="23"/>
      <c r="Z60" s="23"/>
      <c r="AA60" s="11"/>
    </row>
    <row r="61" spans="2:27" x14ac:dyDescent="0.2">
      <c r="B61" s="24">
        <v>120.7</v>
      </c>
      <c r="C61" s="470">
        <v>144.05301274219732</v>
      </c>
      <c r="D61" s="470">
        <v>162.88896140486767</v>
      </c>
      <c r="E61" s="470">
        <v>184.16938951125712</v>
      </c>
      <c r="F61" s="470">
        <v>162.65625658627005</v>
      </c>
      <c r="G61" s="470">
        <v>111.47132218536218</v>
      </c>
      <c r="H61" s="470">
        <v>144.05301274219732</v>
      </c>
      <c r="I61" s="470">
        <v>162.88896140486767</v>
      </c>
      <c r="J61" s="470">
        <v>184.16938951125712</v>
      </c>
      <c r="K61" s="470">
        <v>162.65625658627005</v>
      </c>
      <c r="L61" s="470">
        <v>111.47132218536218</v>
      </c>
      <c r="M61" s="470">
        <v>144.05301274219732</v>
      </c>
      <c r="N61" s="470">
        <v>162.88896140486767</v>
      </c>
      <c r="O61" s="470">
        <v>184.16938951125712</v>
      </c>
      <c r="P61" s="470">
        <v>162.65625658627005</v>
      </c>
      <c r="Q61" s="470">
        <v>111.47132218536218</v>
      </c>
      <c r="R61" s="470">
        <v>136.78363156835943</v>
      </c>
      <c r="S61" s="470">
        <v>155.2004457806961</v>
      </c>
      <c r="T61" s="470"/>
      <c r="U61" s="470"/>
      <c r="V61" s="470"/>
      <c r="W61" s="470"/>
      <c r="X61" s="23"/>
      <c r="Y61" s="23"/>
      <c r="Z61" s="23"/>
      <c r="AA61" s="11"/>
    </row>
    <row r="62" spans="2:27" x14ac:dyDescent="0.2">
      <c r="B62" s="24">
        <v>144.80000000000001</v>
      </c>
      <c r="C62" s="470">
        <v>154.69104102130871</v>
      </c>
      <c r="D62" s="470">
        <v>176.0556660959075</v>
      </c>
      <c r="E62" s="470">
        <v>202.55813556185828</v>
      </c>
      <c r="F62" s="470">
        <v>183.58295444738954</v>
      </c>
      <c r="G62" s="470">
        <v>131.73720462622984</v>
      </c>
      <c r="H62" s="470">
        <v>154.69104102130871</v>
      </c>
      <c r="I62" s="470">
        <v>176.0556660959075</v>
      </c>
      <c r="J62" s="470">
        <v>202.55813556185828</v>
      </c>
      <c r="K62" s="470">
        <v>183.58295444738954</v>
      </c>
      <c r="L62" s="470">
        <v>131.73720462622984</v>
      </c>
      <c r="M62" s="470">
        <v>154.69104102130871</v>
      </c>
      <c r="N62" s="470">
        <v>176.0556660959075</v>
      </c>
      <c r="O62" s="470">
        <v>202.55813556185828</v>
      </c>
      <c r="P62" s="470">
        <v>183.58295444738954</v>
      </c>
      <c r="Q62" s="470">
        <v>131.73720462622984</v>
      </c>
      <c r="R62" s="470">
        <v>158.77238811214838</v>
      </c>
      <c r="S62" s="470">
        <v>176.45519879104057</v>
      </c>
      <c r="T62" s="470"/>
      <c r="U62" s="470"/>
      <c r="V62" s="470"/>
      <c r="W62" s="470"/>
      <c r="X62" s="23"/>
      <c r="Y62" s="23"/>
      <c r="Z62" s="23"/>
      <c r="AA62" s="11"/>
    </row>
    <row r="63" spans="2:27" x14ac:dyDescent="0.2">
      <c r="B63" s="24">
        <v>181</v>
      </c>
      <c r="C63" s="470">
        <v>170.69209910202633</v>
      </c>
      <c r="D63" s="470">
        <v>196.12593957693844</v>
      </c>
      <c r="E63" s="470">
        <v>229.39261432572786</v>
      </c>
      <c r="F63" s="470">
        <v>211.7822155830583</v>
      </c>
      <c r="G63" s="470">
        <v>159.3749546985722</v>
      </c>
      <c r="H63" s="470">
        <v>170.69209910202633</v>
      </c>
      <c r="I63" s="470">
        <v>196.12593957693844</v>
      </c>
      <c r="J63" s="470">
        <v>229.39261432572786</v>
      </c>
      <c r="K63" s="470">
        <v>211.7822155830583</v>
      </c>
      <c r="L63" s="470">
        <v>159.3749546985722</v>
      </c>
      <c r="M63" s="470">
        <v>170.69209910202633</v>
      </c>
      <c r="N63" s="470">
        <v>196.12593957693844</v>
      </c>
      <c r="O63" s="470">
        <v>229.39261432572786</v>
      </c>
      <c r="P63" s="470">
        <v>211.7822155830583</v>
      </c>
      <c r="Q63" s="470">
        <v>159.3749546985722</v>
      </c>
      <c r="R63" s="470">
        <v>188.1104648924973</v>
      </c>
      <c r="S63" s="470">
        <v>204.94909560373094</v>
      </c>
      <c r="T63" s="470"/>
      <c r="U63" s="470"/>
      <c r="V63" s="470"/>
      <c r="W63" s="470"/>
      <c r="X63" s="23"/>
      <c r="Y63" s="23"/>
      <c r="Z63" s="23"/>
      <c r="AA63" s="11"/>
    </row>
    <row r="64" spans="2:27" x14ac:dyDescent="0.2">
      <c r="B64" s="24"/>
      <c r="C64" s="470"/>
      <c r="D64" s="470"/>
      <c r="E64" s="470"/>
      <c r="F64" s="470"/>
      <c r="G64" s="470"/>
      <c r="H64" s="470"/>
      <c r="I64" s="470"/>
      <c r="J64" s="470"/>
      <c r="K64" s="470"/>
      <c r="L64" s="470"/>
      <c r="M64" s="470"/>
      <c r="N64" s="470"/>
      <c r="O64" s="470"/>
      <c r="P64" s="470"/>
      <c r="Q64" s="470"/>
      <c r="R64" s="470"/>
      <c r="S64" s="470"/>
      <c r="T64" s="470"/>
      <c r="U64" s="470"/>
      <c r="V64" s="470"/>
      <c r="W64" s="470"/>
      <c r="X64" s="23"/>
      <c r="Y64" s="23"/>
      <c r="Z64" s="23"/>
      <c r="AA64" s="11"/>
    </row>
    <row r="65" spans="2:27" ht="15.75" x14ac:dyDescent="0.3">
      <c r="B65" s="24" t="s">
        <v>48</v>
      </c>
      <c r="C65" s="55" t="s">
        <v>191</v>
      </c>
      <c r="D65" s="470"/>
      <c r="E65" s="470"/>
      <c r="F65" s="470"/>
      <c r="G65" s="470"/>
      <c r="H65" s="470"/>
      <c r="I65" s="470"/>
      <c r="J65" s="470"/>
      <c r="K65" s="470"/>
      <c r="L65" s="470"/>
      <c r="M65" s="470"/>
      <c r="N65" s="470"/>
      <c r="O65" s="470"/>
      <c r="P65" s="470"/>
      <c r="Q65" s="470"/>
      <c r="R65" s="470"/>
      <c r="S65" s="470"/>
      <c r="T65" s="470"/>
      <c r="U65" s="470"/>
      <c r="V65" s="470"/>
      <c r="W65" s="470"/>
      <c r="X65" s="23"/>
      <c r="Y65" s="23"/>
      <c r="Z65" s="23"/>
      <c r="AA65" s="11"/>
    </row>
    <row r="66" spans="2:27" x14ac:dyDescent="0.2">
      <c r="B66" s="24">
        <v>10</v>
      </c>
      <c r="C66" s="470">
        <v>26.559300614419108</v>
      </c>
      <c r="D66" s="470">
        <v>20.277844516699393</v>
      </c>
      <c r="E66" s="470">
        <v>13.971192316505816</v>
      </c>
      <c r="F66" s="470">
        <v>7.5051129070077769</v>
      </c>
      <c r="G66" s="470">
        <v>3.1066443380466504</v>
      </c>
      <c r="H66" s="470">
        <v>26.559300614419108</v>
      </c>
      <c r="I66" s="470">
        <v>20.277844516699393</v>
      </c>
      <c r="J66" s="470">
        <v>13.971192316505816</v>
      </c>
      <c r="K66" s="470">
        <v>7.5051129070077769</v>
      </c>
      <c r="L66" s="470">
        <v>3.1066443380466504</v>
      </c>
      <c r="M66" s="470">
        <v>26.559300614419108</v>
      </c>
      <c r="N66" s="470">
        <v>20.277844516699393</v>
      </c>
      <c r="O66" s="470">
        <v>13.971192316505816</v>
      </c>
      <c r="P66" s="470">
        <v>7.5051129070077769</v>
      </c>
      <c r="Q66" s="470">
        <v>3.1066443380466504</v>
      </c>
      <c r="R66" s="470">
        <v>4.541971567038031</v>
      </c>
      <c r="S66" s="470">
        <v>6.521756295459924</v>
      </c>
      <c r="T66" s="470"/>
      <c r="U66" s="470"/>
      <c r="V66" s="470"/>
      <c r="W66" s="470"/>
      <c r="X66" s="23"/>
      <c r="Y66" s="23"/>
      <c r="Z66" s="23"/>
      <c r="AA66" s="11"/>
    </row>
    <row r="67" spans="2:27" x14ac:dyDescent="0.2">
      <c r="B67" s="24">
        <v>30</v>
      </c>
      <c r="C67" s="470">
        <v>58.416237843543676</v>
      </c>
      <c r="D67" s="470">
        <v>53.83933199843208</v>
      </c>
      <c r="E67" s="470">
        <v>44.922911577977771</v>
      </c>
      <c r="F67" s="470">
        <v>28.607047376123667</v>
      </c>
      <c r="G67" s="470">
        <v>13.968074170148293</v>
      </c>
      <c r="H67" s="470">
        <v>58.416237843543676</v>
      </c>
      <c r="I67" s="470">
        <v>53.83933199843208</v>
      </c>
      <c r="J67" s="470">
        <v>44.922911577977771</v>
      </c>
      <c r="K67" s="470">
        <v>28.607047376123667</v>
      </c>
      <c r="L67" s="470">
        <v>13.968074170148293</v>
      </c>
      <c r="M67" s="470">
        <v>58.416237843543676</v>
      </c>
      <c r="N67" s="470">
        <v>53.83933199843208</v>
      </c>
      <c r="O67" s="470">
        <v>44.922911577977771</v>
      </c>
      <c r="P67" s="470">
        <v>28.607047376123667</v>
      </c>
      <c r="Q67" s="470">
        <v>13.968074170148293</v>
      </c>
      <c r="R67" s="470">
        <v>19.150245297021442</v>
      </c>
      <c r="S67" s="470">
        <v>25.684981889310997</v>
      </c>
      <c r="T67" s="470"/>
      <c r="U67" s="470"/>
      <c r="V67" s="470"/>
      <c r="W67" s="470"/>
      <c r="X67" s="23"/>
      <c r="Y67" s="23"/>
      <c r="Z67" s="23"/>
      <c r="AA67" s="11"/>
    </row>
    <row r="68" spans="2:27" x14ac:dyDescent="0.2">
      <c r="B68" s="24">
        <v>50</v>
      </c>
      <c r="C68" s="470">
        <v>70.652443582701963</v>
      </c>
      <c r="D68" s="470">
        <v>72.20514552494484</v>
      </c>
      <c r="E68" s="470">
        <v>68.320505049833557</v>
      </c>
      <c r="F68" s="470">
        <v>48.704708505664598</v>
      </c>
      <c r="G68" s="470">
        <v>26.495042230817482</v>
      </c>
      <c r="H68" s="470">
        <v>70.652443582701963</v>
      </c>
      <c r="I68" s="470">
        <v>72.20514552494484</v>
      </c>
      <c r="J68" s="470">
        <v>68.320505049833557</v>
      </c>
      <c r="K68" s="470">
        <v>48.704708505664598</v>
      </c>
      <c r="L68" s="470">
        <v>26.495042230817482</v>
      </c>
      <c r="M68" s="470">
        <v>70.652443582701963</v>
      </c>
      <c r="N68" s="470">
        <v>72.20514552494484</v>
      </c>
      <c r="O68" s="470">
        <v>68.320505049833557</v>
      </c>
      <c r="P68" s="470">
        <v>48.704708505664598</v>
      </c>
      <c r="Q68" s="470">
        <v>26.495042230817482</v>
      </c>
      <c r="R68" s="470">
        <v>34.954971286208121</v>
      </c>
      <c r="S68" s="470">
        <v>44.733490726838987</v>
      </c>
      <c r="T68" s="470"/>
      <c r="U68" s="470"/>
      <c r="V68" s="470"/>
      <c r="W68" s="470"/>
      <c r="X68" s="23"/>
      <c r="Y68" s="23"/>
      <c r="Z68" s="23"/>
      <c r="AA68" s="11"/>
    </row>
    <row r="69" spans="2:27" x14ac:dyDescent="0.2">
      <c r="B69" s="24">
        <v>100</v>
      </c>
      <c r="C69" s="470">
        <v>89.498745074374838</v>
      </c>
      <c r="D69" s="470">
        <v>99.087220277809621</v>
      </c>
      <c r="E69" s="470">
        <v>107.8402612783087</v>
      </c>
      <c r="F69" s="470">
        <v>90.189324258425387</v>
      </c>
      <c r="G69" s="470">
        <v>57.620017618025678</v>
      </c>
      <c r="H69" s="470">
        <v>89.498745074374838</v>
      </c>
      <c r="I69" s="470">
        <v>99.087220277809621</v>
      </c>
      <c r="J69" s="470">
        <v>107.8402612783087</v>
      </c>
      <c r="K69" s="470">
        <v>90.189324258425387</v>
      </c>
      <c r="L69" s="470">
        <v>57.620017618025678</v>
      </c>
      <c r="M69" s="470">
        <v>89.498745074374838</v>
      </c>
      <c r="N69" s="470">
        <v>99.087220277809621</v>
      </c>
      <c r="O69" s="470">
        <v>107.8402612783087</v>
      </c>
      <c r="P69" s="470">
        <v>90.189324258425387</v>
      </c>
      <c r="Q69" s="470">
        <v>57.620017618025678</v>
      </c>
      <c r="R69" s="470">
        <v>72.516664255500459</v>
      </c>
      <c r="S69" s="470">
        <v>85.008544930375948</v>
      </c>
      <c r="T69" s="470"/>
      <c r="U69" s="470"/>
      <c r="V69" s="470"/>
      <c r="W69" s="470"/>
      <c r="X69" s="23"/>
      <c r="Y69" s="23"/>
      <c r="Z69" s="23"/>
      <c r="AA69" s="11"/>
    </row>
    <row r="70" spans="2:27" x14ac:dyDescent="0.2">
      <c r="B70" s="24">
        <v>150</v>
      </c>
      <c r="C70" s="470">
        <v>111.88710840001191</v>
      </c>
      <c r="D70" s="470">
        <v>125.24544829002876</v>
      </c>
      <c r="E70" s="470">
        <v>141.51569490503115</v>
      </c>
      <c r="F70" s="470">
        <v>125.40570187005861</v>
      </c>
      <c r="G70" s="470">
        <v>87.593570990599389</v>
      </c>
      <c r="H70" s="470">
        <v>111.88710840001191</v>
      </c>
      <c r="I70" s="470">
        <v>125.24544829002876</v>
      </c>
      <c r="J70" s="470">
        <v>141.51569490503115</v>
      </c>
      <c r="K70" s="470">
        <v>125.40570187005861</v>
      </c>
      <c r="L70" s="470">
        <v>87.593570990599389</v>
      </c>
      <c r="M70" s="470">
        <v>111.88710840001191</v>
      </c>
      <c r="N70" s="470">
        <v>125.24544829002876</v>
      </c>
      <c r="O70" s="470">
        <v>141.51569490503115</v>
      </c>
      <c r="P70" s="470">
        <v>125.40570187005861</v>
      </c>
      <c r="Q70" s="470">
        <v>87.593570990599389</v>
      </c>
      <c r="R70" s="470">
        <v>106.68381400186544</v>
      </c>
      <c r="S70" s="470">
        <v>119.90447938070294</v>
      </c>
      <c r="T70" s="470"/>
      <c r="U70" s="470"/>
      <c r="V70" s="470"/>
      <c r="W70" s="470"/>
      <c r="X70" s="23"/>
      <c r="Y70" s="23"/>
      <c r="Z70" s="23"/>
      <c r="AA70" s="11"/>
    </row>
    <row r="71" spans="2:27" x14ac:dyDescent="0.2">
      <c r="B71" s="24">
        <v>200</v>
      </c>
      <c r="C71" s="470">
        <v>136.46142565528299</v>
      </c>
      <c r="D71" s="470">
        <v>154.41403064565418</v>
      </c>
      <c r="E71" s="470">
        <v>177.26964556639751</v>
      </c>
      <c r="F71" s="470">
        <v>159.45331100611924</v>
      </c>
      <c r="G71" s="470">
        <v>116.30413855570103</v>
      </c>
      <c r="H71" s="470">
        <v>136.46142565528299</v>
      </c>
      <c r="I71" s="470">
        <v>154.41403064565418</v>
      </c>
      <c r="J71" s="470">
        <v>177.26964556639751</v>
      </c>
      <c r="K71" s="470">
        <v>159.45331100611924</v>
      </c>
      <c r="L71" s="470">
        <v>116.30413855570103</v>
      </c>
      <c r="M71" s="470">
        <v>136.46142565528299</v>
      </c>
      <c r="N71" s="470">
        <v>154.41403064565418</v>
      </c>
      <c r="O71" s="470">
        <v>177.26964556639751</v>
      </c>
      <c r="P71" s="470">
        <v>159.45331100611924</v>
      </c>
      <c r="Q71" s="470">
        <v>116.30413855570103</v>
      </c>
      <c r="R71" s="470">
        <v>138.79797864923631</v>
      </c>
      <c r="S71" s="470">
        <v>153.34406236697509</v>
      </c>
      <c r="T71" s="470"/>
      <c r="U71" s="470"/>
      <c r="V71" s="470"/>
      <c r="W71" s="470"/>
      <c r="X71" s="23"/>
      <c r="Y71" s="23"/>
      <c r="Z71" s="23"/>
      <c r="AA71" s="11"/>
    </row>
    <row r="72" spans="2:27" x14ac:dyDescent="0.2">
      <c r="B72" s="24">
        <v>300</v>
      </c>
      <c r="C72" s="470">
        <v>182.81845955588747</v>
      </c>
      <c r="D72" s="470">
        <v>213.8109903355668</v>
      </c>
      <c r="E72" s="470">
        <v>254.07956429652512</v>
      </c>
      <c r="F72" s="470">
        <v>230.2324091006756</v>
      </c>
      <c r="G72" s="470">
        <v>171.80008488075504</v>
      </c>
      <c r="H72" s="470">
        <v>182.81845955588747</v>
      </c>
      <c r="I72" s="470">
        <v>213.8109903355668</v>
      </c>
      <c r="J72" s="470">
        <v>254.07956429652512</v>
      </c>
      <c r="K72" s="470">
        <v>230.2324091006756</v>
      </c>
      <c r="L72" s="470">
        <v>171.80008488075504</v>
      </c>
      <c r="M72" s="470">
        <v>182.81845955588747</v>
      </c>
      <c r="N72" s="470">
        <v>213.8109903355668</v>
      </c>
      <c r="O72" s="470">
        <v>254.07956429652512</v>
      </c>
      <c r="P72" s="470">
        <v>230.2324091006756</v>
      </c>
      <c r="Q72" s="470">
        <v>171.80008488075504</v>
      </c>
      <c r="R72" s="470">
        <v>201.7860780399204</v>
      </c>
      <c r="S72" s="470">
        <v>222.19013016438842</v>
      </c>
      <c r="T72" s="470"/>
      <c r="U72" s="470"/>
      <c r="V72" s="470"/>
      <c r="W72" s="470"/>
      <c r="X72" s="23"/>
      <c r="Y72" s="23"/>
      <c r="Z72" s="23"/>
      <c r="AA72" s="11"/>
    </row>
    <row r="73" spans="2:27" x14ac:dyDescent="0.2">
      <c r="B73" s="24">
        <v>400</v>
      </c>
      <c r="C73" s="470">
        <v>221.42121459039308</v>
      </c>
      <c r="D73" s="470">
        <v>266.4798741140666</v>
      </c>
      <c r="E73" s="470">
        <v>328.28519344683184</v>
      </c>
      <c r="F73" s="470">
        <v>300.0045336097885</v>
      </c>
      <c r="G73" s="470">
        <v>226.0948028657555</v>
      </c>
      <c r="H73" s="470">
        <v>221.42121459039308</v>
      </c>
      <c r="I73" s="470">
        <v>266.4798741140666</v>
      </c>
      <c r="J73" s="470">
        <v>328.28519344683184</v>
      </c>
      <c r="K73" s="470">
        <v>300.0045336097885</v>
      </c>
      <c r="L73" s="470">
        <v>226.0948028657555</v>
      </c>
      <c r="M73" s="470">
        <v>221.42121459039308</v>
      </c>
      <c r="N73" s="470">
        <v>266.4798741140666</v>
      </c>
      <c r="O73" s="470">
        <v>328.28519344683184</v>
      </c>
      <c r="P73" s="470">
        <v>300.0045336097885</v>
      </c>
      <c r="Q73" s="470">
        <v>226.0948028657555</v>
      </c>
      <c r="R73" s="470">
        <v>263.32052509303628</v>
      </c>
      <c r="S73" s="470">
        <v>290.75789845042823</v>
      </c>
      <c r="T73" s="470"/>
      <c r="U73" s="470"/>
      <c r="V73" s="470"/>
      <c r="W73" s="470"/>
      <c r="X73" s="23"/>
      <c r="Y73" s="23"/>
      <c r="Z73" s="23"/>
      <c r="AA73" s="11"/>
    </row>
    <row r="74" spans="2:27" x14ac:dyDescent="0.2">
      <c r="B74" s="24">
        <v>600</v>
      </c>
      <c r="C74" s="470">
        <v>274.24059006490393</v>
      </c>
      <c r="D74" s="470">
        <v>342.86547981310241</v>
      </c>
      <c r="E74" s="470">
        <v>445.4977642918671</v>
      </c>
      <c r="F74" s="470">
        <v>410.66110392473576</v>
      </c>
      <c r="G74" s="470">
        <v>319.43568609093478</v>
      </c>
      <c r="H74" s="470">
        <v>274.24059006490393</v>
      </c>
      <c r="I74" s="470">
        <v>342.86547981310241</v>
      </c>
      <c r="J74" s="470">
        <v>445.4977642918671</v>
      </c>
      <c r="K74" s="470">
        <v>410.66110392473576</v>
      </c>
      <c r="L74" s="470">
        <v>319.43568609093478</v>
      </c>
      <c r="M74" s="470">
        <v>274.24059006490393</v>
      </c>
      <c r="N74" s="470">
        <v>342.86547981310241</v>
      </c>
      <c r="O74" s="470">
        <v>445.4977642918671</v>
      </c>
      <c r="P74" s="470">
        <v>410.66110392473576</v>
      </c>
      <c r="Q74" s="470">
        <v>319.43568609093478</v>
      </c>
      <c r="R74" s="470">
        <v>363.31015724441994</v>
      </c>
      <c r="S74" s="470">
        <v>401.06122881419412</v>
      </c>
      <c r="T74" s="470"/>
      <c r="U74" s="470"/>
      <c r="V74" s="470"/>
      <c r="W74" s="470"/>
      <c r="X74" s="23"/>
      <c r="Y74" s="23"/>
      <c r="Z74" s="23"/>
      <c r="AA74" s="11"/>
    </row>
    <row r="75" spans="2:27" x14ac:dyDescent="0.2">
      <c r="B75" s="24">
        <v>1000</v>
      </c>
      <c r="C75" s="470">
        <v>315.02112003409519</v>
      </c>
      <c r="D75" s="470">
        <v>406.99387510054186</v>
      </c>
      <c r="E75" s="470">
        <v>556.64955821546869</v>
      </c>
      <c r="F75" s="470">
        <v>515.16608278053116</v>
      </c>
      <c r="G75" s="470">
        <v>404.88823311852639</v>
      </c>
      <c r="H75" s="470">
        <v>315.02112003409519</v>
      </c>
      <c r="I75" s="470">
        <v>406.99387510054186</v>
      </c>
      <c r="J75" s="470">
        <v>556.64955821546869</v>
      </c>
      <c r="K75" s="470">
        <v>515.16608278053116</v>
      </c>
      <c r="L75" s="470">
        <v>404.88823311852639</v>
      </c>
      <c r="M75" s="470">
        <v>315.02112003409519</v>
      </c>
      <c r="N75" s="470">
        <v>406.99387510054186</v>
      </c>
      <c r="O75" s="470">
        <v>556.64955821546869</v>
      </c>
      <c r="P75" s="470">
        <v>515.16608278053116</v>
      </c>
      <c r="Q75" s="470">
        <v>404.88823311852639</v>
      </c>
      <c r="R75" s="470">
        <v>453.70256486579382</v>
      </c>
      <c r="S75" s="470">
        <v>501.60653638431137</v>
      </c>
      <c r="T75" s="470"/>
      <c r="U75" s="470"/>
      <c r="V75" s="470"/>
      <c r="W75" s="470"/>
      <c r="X75" s="23"/>
      <c r="Y75" s="23"/>
      <c r="Z75" s="23"/>
      <c r="AA75" s="11"/>
    </row>
    <row r="76" spans="2:27" x14ac:dyDescent="0.2">
      <c r="B76" s="24">
        <v>2000</v>
      </c>
      <c r="C76" s="470">
        <v>334.69006863659177</v>
      </c>
      <c r="D76" s="470">
        <v>437.21092025816267</v>
      </c>
      <c r="E76" s="470">
        <v>609.29644799607854</v>
      </c>
      <c r="F76" s="470">
        <v>600.29227803076697</v>
      </c>
      <c r="G76" s="470">
        <v>502.44058603242627</v>
      </c>
      <c r="H76" s="470">
        <v>334.69006863659177</v>
      </c>
      <c r="I76" s="470">
        <v>437.21092025816267</v>
      </c>
      <c r="J76" s="470">
        <v>609.29644799607854</v>
      </c>
      <c r="K76" s="470">
        <v>600.29227803076697</v>
      </c>
      <c r="L76" s="470">
        <v>502.44058603242627</v>
      </c>
      <c r="M76" s="470">
        <v>334.69006863659177</v>
      </c>
      <c r="N76" s="470">
        <v>437.21092025816267</v>
      </c>
      <c r="O76" s="470">
        <v>609.29644799607854</v>
      </c>
      <c r="P76" s="470">
        <v>600.29227803076697</v>
      </c>
      <c r="Q76" s="470">
        <v>502.44058603242627</v>
      </c>
      <c r="R76" s="470">
        <v>564.832824202084</v>
      </c>
      <c r="S76" s="470">
        <v>586.33799233501963</v>
      </c>
      <c r="T76" s="470"/>
      <c r="U76" s="470"/>
      <c r="V76" s="470"/>
      <c r="W76" s="470"/>
      <c r="X76" s="23"/>
      <c r="Y76" s="23"/>
      <c r="Z76" s="23"/>
      <c r="AA76" s="11"/>
    </row>
    <row r="77" spans="2:27" x14ac:dyDescent="0.2">
      <c r="B77" s="24">
        <v>609.57025297165501</v>
      </c>
      <c r="C77" s="470">
        <v>276.03549414115008</v>
      </c>
      <c r="D77" s="470">
        <v>345.57947858637112</v>
      </c>
      <c r="E77" s="470">
        <v>449.91208345372075</v>
      </c>
      <c r="F77" s="470">
        <v>414.78102397478756</v>
      </c>
      <c r="G77" s="470">
        <v>323.04981470707429</v>
      </c>
      <c r="H77" s="470">
        <v>276.03549414115008</v>
      </c>
      <c r="I77" s="470">
        <v>345.57947858637112</v>
      </c>
      <c r="J77" s="470">
        <v>449.91208345372075</v>
      </c>
      <c r="K77" s="470">
        <v>414.78102397478756</v>
      </c>
      <c r="L77" s="470">
        <v>323.04981470707429</v>
      </c>
      <c r="M77" s="470">
        <v>276.03549414115008</v>
      </c>
      <c r="N77" s="470">
        <v>345.57947858637112</v>
      </c>
      <c r="O77" s="470">
        <v>449.91208345372075</v>
      </c>
      <c r="P77" s="470">
        <v>414.78102397478756</v>
      </c>
      <c r="Q77" s="470">
        <v>323.04981470707429</v>
      </c>
      <c r="R77" s="470">
        <v>367.02247941691161</v>
      </c>
      <c r="S77" s="470">
        <v>405.16513226103979</v>
      </c>
      <c r="T77" s="470"/>
      <c r="U77" s="470"/>
      <c r="V77" s="470"/>
      <c r="W77" s="470"/>
      <c r="X77" s="23"/>
      <c r="Y77" s="23"/>
      <c r="Z77" s="23"/>
      <c r="AA77" s="11"/>
    </row>
    <row r="78" spans="2:27" x14ac:dyDescent="0.2">
      <c r="B78" s="24">
        <v>54.3</v>
      </c>
      <c r="C78" s="470">
        <v>72.438647632226079</v>
      </c>
      <c r="D78" s="470">
        <v>75.100451659821786</v>
      </c>
      <c r="E78" s="470">
        <v>72.508964262915327</v>
      </c>
      <c r="F78" s="470">
        <v>52.68673439453007</v>
      </c>
      <c r="G78" s="470">
        <v>29.223666883420307</v>
      </c>
      <c r="H78" s="470">
        <v>72.438647632226079</v>
      </c>
      <c r="I78" s="470">
        <v>75.100451659821786</v>
      </c>
      <c r="J78" s="470">
        <v>72.508964262915327</v>
      </c>
      <c r="K78" s="470">
        <v>52.68673439453007</v>
      </c>
      <c r="L78" s="470">
        <v>29.223666883420307</v>
      </c>
      <c r="M78" s="470">
        <v>72.438647632226079</v>
      </c>
      <c r="N78" s="470">
        <v>75.100451659821786</v>
      </c>
      <c r="O78" s="470">
        <v>72.508964262915327</v>
      </c>
      <c r="P78" s="470">
        <v>52.68673439453007</v>
      </c>
      <c r="Q78" s="470">
        <v>29.223666883420307</v>
      </c>
      <c r="R78" s="470">
        <v>38.30328426213228</v>
      </c>
      <c r="S78" s="470">
        <v>48.558209299572596</v>
      </c>
      <c r="T78" s="470"/>
      <c r="U78" s="470"/>
      <c r="V78" s="470"/>
      <c r="W78" s="470"/>
      <c r="X78" s="23"/>
      <c r="Y78" s="23"/>
      <c r="Z78" s="23"/>
      <c r="AA78" s="11"/>
    </row>
    <row r="79" spans="2:27" x14ac:dyDescent="0.2">
      <c r="B79" s="24">
        <v>90.5</v>
      </c>
      <c r="C79" s="470">
        <v>85.771399456206311</v>
      </c>
      <c r="D79" s="470">
        <v>94.433537261322371</v>
      </c>
      <c r="E79" s="470">
        <v>101.29098104892732</v>
      </c>
      <c r="F79" s="470">
        <v>82.988278953961384</v>
      </c>
      <c r="G79" s="470">
        <v>51.780878738815659</v>
      </c>
      <c r="H79" s="470">
        <v>85.771399456206311</v>
      </c>
      <c r="I79" s="470">
        <v>94.433537261322371</v>
      </c>
      <c r="J79" s="470">
        <v>101.29098104892732</v>
      </c>
      <c r="K79" s="470">
        <v>82.988278953961384</v>
      </c>
      <c r="L79" s="470">
        <v>51.780878738815659</v>
      </c>
      <c r="M79" s="470">
        <v>85.771399456206311</v>
      </c>
      <c r="N79" s="470">
        <v>94.433537261322371</v>
      </c>
      <c r="O79" s="470">
        <v>101.29098104892732</v>
      </c>
      <c r="P79" s="470">
        <v>82.988278953961384</v>
      </c>
      <c r="Q79" s="470">
        <v>51.780878738815659</v>
      </c>
      <c r="R79" s="470">
        <v>65.652152959103631</v>
      </c>
      <c r="S79" s="470">
        <v>77.920418207247849</v>
      </c>
      <c r="T79" s="470"/>
      <c r="U79" s="470"/>
      <c r="V79" s="470"/>
      <c r="W79" s="470"/>
      <c r="X79" s="23"/>
      <c r="Y79" s="23"/>
      <c r="Z79" s="23"/>
      <c r="AA79" s="11"/>
    </row>
    <row r="80" spans="2:27" x14ac:dyDescent="0.2">
      <c r="B80" s="24">
        <v>120.7</v>
      </c>
      <c r="C80" s="470">
        <v>98.26661302285882</v>
      </c>
      <c r="D80" s="470">
        <v>109.49572199027587</v>
      </c>
      <c r="E80" s="470">
        <v>121.73072186238475</v>
      </c>
      <c r="F80" s="470">
        <v>105.17406741157748</v>
      </c>
      <c r="G80" s="470">
        <v>70.184804990210097</v>
      </c>
      <c r="H80" s="470">
        <v>98.26661302285882</v>
      </c>
      <c r="I80" s="470">
        <v>109.49572199027587</v>
      </c>
      <c r="J80" s="470">
        <v>121.73072186238475</v>
      </c>
      <c r="K80" s="470">
        <v>105.17406741157748</v>
      </c>
      <c r="L80" s="470">
        <v>70.184804990210097</v>
      </c>
      <c r="M80" s="470">
        <v>98.26661302285882</v>
      </c>
      <c r="N80" s="470">
        <v>109.49572199027587</v>
      </c>
      <c r="O80" s="470">
        <v>121.73072186238475</v>
      </c>
      <c r="P80" s="470">
        <v>105.17406741157748</v>
      </c>
      <c r="Q80" s="470">
        <v>70.184804990210097</v>
      </c>
      <c r="R80" s="470">
        <v>87.027129054221774</v>
      </c>
      <c r="S80" s="470">
        <v>99.848474911405859</v>
      </c>
      <c r="T80" s="470"/>
      <c r="U80" s="470"/>
      <c r="V80" s="470"/>
      <c r="W80" s="470"/>
      <c r="X80" s="23"/>
      <c r="Y80" s="23"/>
      <c r="Z80" s="23"/>
      <c r="AA80" s="11"/>
    </row>
    <row r="81" spans="2:27" x14ac:dyDescent="0.2">
      <c r="B81" s="24">
        <v>144.80000000000001</v>
      </c>
      <c r="C81" s="470">
        <v>109.39445406995318</v>
      </c>
      <c r="D81" s="470">
        <v>122.3606483376892</v>
      </c>
      <c r="E81" s="470">
        <v>137.95509408223188</v>
      </c>
      <c r="F81" s="470">
        <v>121.86099247136427</v>
      </c>
      <c r="G81" s="470">
        <v>84.538368361737867</v>
      </c>
      <c r="H81" s="470">
        <v>109.39445406995318</v>
      </c>
      <c r="I81" s="470">
        <v>122.3606483376892</v>
      </c>
      <c r="J81" s="470">
        <v>137.95509408223188</v>
      </c>
      <c r="K81" s="470">
        <v>121.86099247136427</v>
      </c>
      <c r="L81" s="470">
        <v>84.538368361737867</v>
      </c>
      <c r="M81" s="470">
        <v>109.39445406995318</v>
      </c>
      <c r="N81" s="470">
        <v>122.3606483376892</v>
      </c>
      <c r="O81" s="470">
        <v>137.95509408223188</v>
      </c>
      <c r="P81" s="470">
        <v>121.86099247136427</v>
      </c>
      <c r="Q81" s="470">
        <v>84.538368361737867</v>
      </c>
      <c r="R81" s="470">
        <v>103.25714120104365</v>
      </c>
      <c r="S81" s="470">
        <v>116.39721924012655</v>
      </c>
      <c r="T81" s="470"/>
      <c r="U81" s="470"/>
      <c r="V81" s="470"/>
      <c r="W81" s="470"/>
      <c r="X81" s="23"/>
      <c r="Y81" s="23"/>
      <c r="Z81" s="23"/>
      <c r="AA81" s="11"/>
    </row>
    <row r="82" spans="2:27" x14ac:dyDescent="0.2">
      <c r="B82" s="24">
        <v>181</v>
      </c>
      <c r="C82" s="470">
        <v>127.08113636732234</v>
      </c>
      <c r="D82" s="470">
        <v>143.09246645097275</v>
      </c>
      <c r="E82" s="470">
        <v>163.35671775864839</v>
      </c>
      <c r="F82" s="470">
        <v>146.45654223261755</v>
      </c>
      <c r="G82" s="470">
        <v>105.52127300392959</v>
      </c>
      <c r="H82" s="470">
        <v>127.08113636732234</v>
      </c>
      <c r="I82" s="470">
        <v>143.09246645097275</v>
      </c>
      <c r="J82" s="470">
        <v>163.35671775864839</v>
      </c>
      <c r="K82" s="470">
        <v>146.45654223261755</v>
      </c>
      <c r="L82" s="470">
        <v>105.52127300392959</v>
      </c>
      <c r="M82" s="470">
        <v>127.08113636732234</v>
      </c>
      <c r="N82" s="470">
        <v>143.09246645097275</v>
      </c>
      <c r="O82" s="470">
        <v>163.35671775864839</v>
      </c>
      <c r="P82" s="470">
        <v>146.45654223261755</v>
      </c>
      <c r="Q82" s="470">
        <v>105.52127300392959</v>
      </c>
      <c r="R82" s="470">
        <v>126.7264841465291</v>
      </c>
      <c r="S82" s="470">
        <v>140.63243222523747</v>
      </c>
      <c r="T82" s="470"/>
      <c r="U82" s="470"/>
      <c r="V82" s="470"/>
      <c r="W82" s="470"/>
      <c r="X82" s="23"/>
      <c r="Y82" s="23"/>
      <c r="Z82" s="23"/>
      <c r="AA82" s="11"/>
    </row>
    <row r="83" spans="2:27" x14ac:dyDescent="0.2">
      <c r="B83" s="24"/>
      <c r="C83" s="42"/>
      <c r="D83" s="42"/>
      <c r="E83" s="42"/>
      <c r="F83" s="42"/>
      <c r="G83" s="42"/>
      <c r="H83" s="42"/>
      <c r="I83" s="42"/>
      <c r="J83" s="42"/>
      <c r="K83" s="42"/>
      <c r="L83" s="42"/>
      <c r="M83" s="42"/>
      <c r="N83" s="42"/>
      <c r="O83" s="23"/>
      <c r="P83" s="23"/>
      <c r="Q83" s="23"/>
      <c r="R83" s="23"/>
      <c r="S83" s="23"/>
      <c r="T83" s="23"/>
      <c r="U83" s="23"/>
      <c r="V83" s="23"/>
      <c r="W83" s="23"/>
      <c r="X83" s="23"/>
      <c r="Y83" s="23"/>
      <c r="Z83" s="23"/>
      <c r="AA83" s="11"/>
    </row>
    <row r="84" spans="2:27" x14ac:dyDescent="0.2">
      <c r="B84" s="24"/>
      <c r="C84" s="42"/>
      <c r="D84" s="42"/>
      <c r="E84" s="42"/>
      <c r="F84" s="42"/>
      <c r="G84" s="42"/>
      <c r="H84" s="42"/>
      <c r="I84" s="42"/>
      <c r="J84" s="42"/>
      <c r="K84" s="42"/>
      <c r="L84" s="42"/>
      <c r="M84" s="42"/>
      <c r="N84" s="42"/>
      <c r="O84" s="23"/>
      <c r="P84" s="23"/>
      <c r="Q84" s="23"/>
      <c r="R84" s="23"/>
      <c r="S84" s="23"/>
      <c r="T84" s="23"/>
      <c r="U84" s="23"/>
      <c r="V84" s="23"/>
      <c r="W84" s="23"/>
      <c r="X84" s="23"/>
      <c r="Y84" s="23"/>
      <c r="Z84" s="23"/>
      <c r="AA84" s="11"/>
    </row>
    <row r="85" spans="2:27" x14ac:dyDescent="0.2">
      <c r="B85" s="24"/>
      <c r="C85" s="42"/>
      <c r="D85" s="42"/>
      <c r="E85" s="42"/>
      <c r="F85" s="42"/>
      <c r="G85" s="42"/>
      <c r="H85" s="42"/>
      <c r="I85" s="42"/>
      <c r="J85" s="42"/>
      <c r="K85" s="42"/>
      <c r="L85" s="42"/>
      <c r="M85" s="42"/>
      <c r="N85" s="42"/>
      <c r="O85" s="23"/>
      <c r="P85" s="23"/>
      <c r="Q85" s="23"/>
      <c r="R85" s="23"/>
      <c r="S85" s="23"/>
      <c r="T85" s="23"/>
      <c r="U85" s="23"/>
      <c r="V85" s="23"/>
      <c r="W85" s="23"/>
      <c r="X85" s="23"/>
      <c r="Y85" s="23"/>
      <c r="Z85" s="23"/>
      <c r="AA85" s="11"/>
    </row>
    <row r="86" spans="2:27" x14ac:dyDescent="0.2">
      <c r="B86" s="24"/>
      <c r="C86" s="42"/>
      <c r="D86" s="42"/>
      <c r="E86" s="42"/>
      <c r="F86" s="42"/>
      <c r="G86" s="42"/>
      <c r="H86" s="42"/>
      <c r="I86" s="42"/>
      <c r="J86" s="42"/>
      <c r="K86" s="42"/>
      <c r="L86" s="42"/>
      <c r="M86" s="42"/>
      <c r="N86" s="42"/>
      <c r="O86" s="23"/>
      <c r="P86" s="23"/>
      <c r="Q86" s="23"/>
      <c r="R86" s="23"/>
      <c r="S86" s="23"/>
      <c r="T86" s="23"/>
      <c r="U86" s="23"/>
      <c r="V86" s="23"/>
      <c r="W86" s="23"/>
      <c r="X86" s="23"/>
      <c r="Y86" s="23"/>
      <c r="Z86" s="23"/>
      <c r="AA86" s="11"/>
    </row>
    <row r="87" spans="2:27" x14ac:dyDescent="0.2">
      <c r="B87" s="24"/>
      <c r="C87" s="42"/>
      <c r="D87" s="42"/>
      <c r="E87" s="42"/>
      <c r="F87" s="42"/>
      <c r="G87" s="42"/>
      <c r="H87" s="42"/>
      <c r="I87" s="42"/>
      <c r="J87" s="42"/>
      <c r="K87" s="42"/>
      <c r="L87" s="42"/>
      <c r="M87" s="42"/>
      <c r="N87" s="42"/>
      <c r="O87" s="23"/>
      <c r="P87" s="23"/>
      <c r="Q87" s="23"/>
      <c r="R87" s="23"/>
      <c r="S87" s="23"/>
      <c r="T87" s="23"/>
      <c r="U87" s="23"/>
      <c r="V87" s="23"/>
      <c r="W87" s="23"/>
      <c r="X87" s="23"/>
      <c r="Y87" s="23"/>
      <c r="Z87" s="23"/>
      <c r="AA87" s="11"/>
    </row>
    <row r="88" spans="2:27" x14ac:dyDescent="0.2">
      <c r="B88" s="24"/>
      <c r="C88" s="42"/>
      <c r="D88" s="42"/>
      <c r="E88" s="42"/>
      <c r="F88" s="42"/>
      <c r="G88" s="42"/>
      <c r="H88" s="42"/>
      <c r="I88" s="42"/>
      <c r="J88" s="42"/>
      <c r="K88" s="42"/>
      <c r="L88" s="42"/>
      <c r="M88" s="42"/>
      <c r="N88" s="42"/>
      <c r="O88" s="23"/>
      <c r="P88" s="23"/>
      <c r="Q88" s="23"/>
      <c r="R88" s="23"/>
      <c r="S88" s="23"/>
      <c r="T88" s="23"/>
      <c r="U88" s="23"/>
      <c r="V88" s="23"/>
      <c r="W88" s="23"/>
      <c r="X88" s="23"/>
      <c r="Y88" s="23"/>
      <c r="Z88" s="23"/>
      <c r="AA88" s="11"/>
    </row>
    <row r="89" spans="2:27" x14ac:dyDescent="0.2">
      <c r="B89" s="24"/>
      <c r="C89" s="42"/>
      <c r="D89" s="42"/>
      <c r="E89" s="42"/>
      <c r="F89" s="42"/>
      <c r="G89" s="42"/>
      <c r="H89" s="42"/>
      <c r="I89" s="42"/>
      <c r="J89" s="42"/>
      <c r="K89" s="42"/>
      <c r="L89" s="42"/>
      <c r="M89" s="42"/>
      <c r="N89" s="42"/>
      <c r="O89" s="23"/>
      <c r="P89" s="23"/>
      <c r="Q89" s="23"/>
      <c r="R89" s="23"/>
      <c r="S89" s="23"/>
      <c r="T89" s="23"/>
      <c r="U89" s="23"/>
      <c r="V89" s="23"/>
      <c r="W89" s="23"/>
      <c r="X89" s="23"/>
      <c r="Y89" s="23"/>
      <c r="Z89" s="23"/>
      <c r="AA89" s="11"/>
    </row>
    <row r="90" spans="2:27" x14ac:dyDescent="0.2">
      <c r="B90" s="24"/>
      <c r="C90" s="42"/>
      <c r="D90" s="42"/>
      <c r="E90" s="42"/>
      <c r="F90" s="42"/>
      <c r="G90" s="42"/>
      <c r="H90" s="42"/>
      <c r="I90" s="42"/>
      <c r="J90" s="42"/>
      <c r="K90" s="42"/>
      <c r="L90" s="42"/>
      <c r="M90" s="42"/>
      <c r="N90" s="42"/>
      <c r="O90" s="23"/>
      <c r="P90" s="23"/>
      <c r="Q90" s="23"/>
      <c r="R90" s="23"/>
      <c r="S90" s="23"/>
      <c r="T90" s="23"/>
      <c r="U90" s="23"/>
      <c r="V90" s="23"/>
      <c r="W90" s="23"/>
      <c r="X90" s="23"/>
      <c r="Y90" s="23"/>
      <c r="Z90" s="23"/>
      <c r="AA90" s="11"/>
    </row>
    <row r="91" spans="2:27" x14ac:dyDescent="0.2">
      <c r="B91" s="24"/>
      <c r="C91" s="42"/>
      <c r="D91" s="42"/>
      <c r="E91" s="42"/>
      <c r="F91" s="42"/>
      <c r="G91" s="42"/>
      <c r="H91" s="42"/>
      <c r="I91" s="42"/>
      <c r="J91" s="42"/>
      <c r="K91" s="42"/>
      <c r="L91" s="42"/>
      <c r="M91" s="42"/>
      <c r="N91" s="42"/>
      <c r="O91" s="23"/>
      <c r="P91" s="23"/>
      <c r="Q91" s="23"/>
      <c r="R91" s="23"/>
      <c r="S91" s="23"/>
      <c r="T91" s="23"/>
      <c r="U91" s="23"/>
      <c r="V91" s="23"/>
      <c r="W91" s="23"/>
      <c r="X91" s="23"/>
      <c r="Y91" s="23"/>
      <c r="Z91" s="23"/>
      <c r="AA91" s="11"/>
    </row>
    <row r="92" spans="2:27" x14ac:dyDescent="0.2">
      <c r="B92" s="24"/>
      <c r="C92" s="42"/>
      <c r="D92" s="42"/>
      <c r="E92" s="42"/>
      <c r="F92" s="42"/>
      <c r="G92" s="42"/>
      <c r="H92" s="42"/>
      <c r="I92" s="42"/>
      <c r="J92" s="42"/>
      <c r="K92" s="42"/>
      <c r="L92" s="42"/>
      <c r="M92" s="42"/>
      <c r="N92" s="42"/>
      <c r="O92" s="23"/>
      <c r="P92" s="23"/>
      <c r="Q92" s="23"/>
      <c r="R92" s="23"/>
      <c r="S92" s="23"/>
      <c r="T92" s="23"/>
      <c r="U92" s="23"/>
      <c r="V92" s="23"/>
      <c r="W92" s="23"/>
      <c r="X92" s="23"/>
      <c r="Y92" s="23"/>
      <c r="Z92" s="23"/>
      <c r="AA92" s="11"/>
    </row>
    <row r="93" spans="2:27" x14ac:dyDescent="0.2">
      <c r="B93" s="24"/>
      <c r="C93" s="42"/>
      <c r="D93" s="42"/>
      <c r="E93" s="42"/>
      <c r="F93" s="42"/>
      <c r="G93" s="42"/>
      <c r="H93" s="42"/>
      <c r="I93" s="42"/>
      <c r="J93" s="42"/>
      <c r="K93" s="42"/>
      <c r="L93" s="42"/>
      <c r="M93" s="42"/>
      <c r="N93" s="42"/>
      <c r="O93" s="23"/>
      <c r="P93" s="23"/>
      <c r="Q93" s="23"/>
      <c r="R93" s="23"/>
      <c r="S93" s="23"/>
      <c r="T93" s="23"/>
      <c r="U93" s="23"/>
      <c r="V93" s="23"/>
      <c r="W93" s="23"/>
      <c r="X93" s="23"/>
      <c r="Y93" s="23"/>
      <c r="Z93" s="23"/>
      <c r="AA93" s="11"/>
    </row>
    <row r="94" spans="2:27" x14ac:dyDescent="0.2">
      <c r="B94" s="24"/>
      <c r="C94" s="42"/>
      <c r="D94" s="42"/>
      <c r="E94" s="42"/>
      <c r="F94" s="42"/>
      <c r="G94" s="42"/>
      <c r="H94" s="42"/>
      <c r="I94" s="42"/>
      <c r="J94" s="42"/>
      <c r="K94" s="42"/>
      <c r="L94" s="42"/>
      <c r="M94" s="42"/>
      <c r="N94" s="42"/>
      <c r="O94" s="23"/>
      <c r="P94" s="23"/>
      <c r="Q94" s="23"/>
      <c r="R94" s="23"/>
      <c r="S94" s="23"/>
      <c r="T94" s="23"/>
      <c r="U94" s="23"/>
      <c r="V94" s="23"/>
      <c r="W94" s="23"/>
      <c r="X94" s="23"/>
      <c r="Y94" s="23"/>
      <c r="Z94" s="23"/>
      <c r="AA94" s="11"/>
    </row>
    <row r="95" spans="2:27" x14ac:dyDescent="0.2">
      <c r="B95" s="24"/>
      <c r="C95" s="42"/>
      <c r="D95" s="42"/>
      <c r="E95" s="42"/>
      <c r="F95" s="42"/>
      <c r="G95" s="42"/>
      <c r="H95" s="42"/>
      <c r="I95" s="42"/>
      <c r="J95" s="42"/>
      <c r="K95" s="42"/>
      <c r="L95" s="42"/>
      <c r="M95" s="42"/>
      <c r="N95" s="42"/>
      <c r="O95" s="23"/>
      <c r="P95" s="23"/>
      <c r="Q95" s="23"/>
      <c r="R95" s="23"/>
      <c r="S95" s="23"/>
      <c r="T95" s="23"/>
      <c r="U95" s="23"/>
      <c r="V95" s="23"/>
      <c r="W95" s="23"/>
      <c r="X95" s="23"/>
      <c r="Y95" s="23"/>
      <c r="Z95" s="23"/>
      <c r="AA95" s="11"/>
    </row>
    <row r="96" spans="2:27" x14ac:dyDescent="0.2">
      <c r="B96" s="24"/>
      <c r="C96" s="42"/>
      <c r="D96" s="42"/>
      <c r="E96" s="42"/>
      <c r="F96" s="42"/>
      <c r="G96" s="42"/>
      <c r="H96" s="42"/>
      <c r="I96" s="42"/>
      <c r="J96" s="42"/>
      <c r="K96" s="42"/>
      <c r="L96" s="42"/>
      <c r="M96" s="42"/>
      <c r="N96" s="42"/>
      <c r="O96" s="23"/>
      <c r="P96" s="23"/>
      <c r="Q96" s="23"/>
      <c r="R96" s="23"/>
      <c r="S96" s="23"/>
      <c r="T96" s="23"/>
      <c r="U96" s="23"/>
      <c r="V96" s="23"/>
      <c r="W96" s="23"/>
      <c r="X96" s="23"/>
      <c r="Y96" s="23"/>
      <c r="Z96" s="23"/>
      <c r="AA96" s="11"/>
    </row>
    <row r="97" spans="2:27" x14ac:dyDescent="0.2">
      <c r="B97" s="24"/>
      <c r="C97" s="42"/>
      <c r="D97" s="42"/>
      <c r="E97" s="42"/>
      <c r="F97" s="42"/>
      <c r="G97" s="42"/>
      <c r="H97" s="42"/>
      <c r="I97" s="42"/>
      <c r="J97" s="42"/>
      <c r="K97" s="42"/>
      <c r="L97" s="42"/>
      <c r="M97" s="42"/>
      <c r="N97" s="42"/>
      <c r="O97" s="23"/>
      <c r="P97" s="23"/>
      <c r="Q97" s="23"/>
      <c r="R97" s="23"/>
      <c r="S97" s="23"/>
      <c r="T97" s="23"/>
      <c r="U97" s="23"/>
      <c r="V97" s="23"/>
      <c r="W97" s="23"/>
      <c r="X97" s="23"/>
      <c r="Y97" s="23"/>
      <c r="Z97" s="23"/>
      <c r="AA97" s="11"/>
    </row>
    <row r="98" spans="2:27" x14ac:dyDescent="0.2">
      <c r="B98" s="24"/>
      <c r="C98" s="42"/>
      <c r="D98" s="42"/>
      <c r="E98" s="42"/>
      <c r="F98" s="42"/>
      <c r="G98" s="42"/>
      <c r="H98" s="42"/>
      <c r="I98" s="42"/>
      <c r="J98" s="42"/>
      <c r="K98" s="42"/>
      <c r="L98" s="42"/>
      <c r="M98" s="42"/>
      <c r="N98" s="42"/>
      <c r="O98" s="23"/>
      <c r="P98" s="23"/>
      <c r="Q98" s="23"/>
      <c r="R98" s="23"/>
      <c r="S98" s="23"/>
      <c r="T98" s="23"/>
      <c r="U98" s="23"/>
      <c r="V98" s="23"/>
      <c r="W98" s="23"/>
      <c r="X98" s="23"/>
      <c r="Y98" s="23"/>
      <c r="Z98" s="23"/>
      <c r="AA98" s="11"/>
    </row>
    <row r="99" spans="2:27" x14ac:dyDescent="0.2">
      <c r="B99" s="24"/>
      <c r="C99" s="42"/>
      <c r="D99" s="42"/>
      <c r="E99" s="42"/>
      <c r="F99" s="42"/>
      <c r="G99" s="42"/>
      <c r="H99" s="42"/>
      <c r="I99" s="42"/>
      <c r="J99" s="42"/>
      <c r="K99" s="42"/>
      <c r="L99" s="42"/>
      <c r="M99" s="42"/>
      <c r="N99" s="42"/>
      <c r="O99" s="23"/>
      <c r="P99" s="23"/>
      <c r="Q99" s="23"/>
      <c r="R99" s="23"/>
      <c r="S99" s="23"/>
      <c r="T99" s="23"/>
      <c r="U99" s="23"/>
      <c r="V99" s="23"/>
      <c r="W99" s="23"/>
      <c r="X99" s="23"/>
      <c r="Y99" s="23"/>
      <c r="Z99" s="23"/>
      <c r="AA99" s="11"/>
    </row>
    <row r="100" spans="2:27" x14ac:dyDescent="0.2">
      <c r="B100" s="49"/>
      <c r="C100" s="50"/>
      <c r="D100" s="50"/>
      <c r="E100" s="50"/>
      <c r="F100" s="50"/>
      <c r="G100" s="50"/>
      <c r="H100" s="50"/>
      <c r="I100" s="50"/>
      <c r="J100" s="50"/>
      <c r="K100" s="50"/>
      <c r="L100" s="50"/>
      <c r="M100" s="50"/>
      <c r="N100" s="50"/>
      <c r="O100" s="25"/>
      <c r="P100" s="25"/>
      <c r="Q100" s="25"/>
      <c r="R100" s="25"/>
      <c r="S100" s="25"/>
      <c r="T100" s="25"/>
      <c r="U100" s="25"/>
      <c r="V100" s="25"/>
      <c r="W100" s="25"/>
      <c r="X100" s="25"/>
      <c r="Y100" s="25"/>
      <c r="Z100" s="25"/>
      <c r="AA100" s="13"/>
    </row>
  </sheetData>
  <phoneticPr fontId="0" type="noConversion"/>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A100"/>
  <sheetViews>
    <sheetView workbookViewId="0"/>
  </sheetViews>
  <sheetFormatPr defaultColWidth="9.140625" defaultRowHeight="12.75" x14ac:dyDescent="0.2"/>
  <cols>
    <col min="1" max="1" width="12.85546875" style="2" bestFit="1" customWidth="1"/>
    <col min="2" max="2" width="21" style="48" customWidth="1"/>
    <col min="3" max="27" width="9.140625" style="1"/>
    <col min="28" max="16384" width="9.140625" style="2"/>
  </cols>
  <sheetData>
    <row r="1" spans="1:27" ht="14.25" x14ac:dyDescent="0.2">
      <c r="A1" s="196">
        <f ca="1">NOW()</f>
        <v>44631.687362268516</v>
      </c>
      <c r="B1" s="47"/>
      <c r="C1" s="22"/>
      <c r="D1" s="22"/>
      <c r="E1" s="21"/>
      <c r="F1" s="22"/>
      <c r="G1" s="22"/>
      <c r="H1" s="22"/>
      <c r="I1" s="21"/>
      <c r="J1" s="22"/>
      <c r="K1" s="22"/>
      <c r="L1" s="22"/>
    </row>
    <row r="2" spans="1:27" x14ac:dyDescent="0.2">
      <c r="E2" s="52" t="s">
        <v>32</v>
      </c>
      <c r="F2" s="51" t="str">
        <f>'Target Site'!F3</f>
        <v>EXAMPLE CALCULATION</v>
      </c>
    </row>
    <row r="3" spans="1:27" ht="15" x14ac:dyDescent="0.25">
      <c r="D3" s="51" t="s">
        <v>172</v>
      </c>
    </row>
    <row r="4" spans="1:27" x14ac:dyDescent="0.2">
      <c r="AA4" s="43"/>
    </row>
    <row r="5" spans="1:27" x14ac:dyDescent="0.2">
      <c r="B5" s="16"/>
      <c r="C5" s="27"/>
      <c r="D5" s="27"/>
      <c r="E5" s="27"/>
      <c r="F5" s="27"/>
      <c r="G5" s="27"/>
      <c r="H5" s="27"/>
      <c r="I5" s="27"/>
      <c r="J5" s="27"/>
      <c r="K5" s="27"/>
      <c r="L5" s="27"/>
      <c r="M5" s="27"/>
      <c r="N5" s="27"/>
      <c r="O5" s="27"/>
      <c r="P5" s="27"/>
      <c r="Q5" s="27"/>
      <c r="R5" s="27"/>
      <c r="S5" s="27"/>
      <c r="T5" s="27"/>
      <c r="U5" s="27"/>
      <c r="V5" s="27"/>
      <c r="W5" s="27"/>
      <c r="X5" s="27"/>
      <c r="Y5" s="27"/>
      <c r="Z5" s="27"/>
      <c r="AA5" s="9"/>
    </row>
    <row r="6" spans="1:27" x14ac:dyDescent="0.2">
      <c r="B6" s="59"/>
      <c r="C6" s="23"/>
      <c r="D6" s="23"/>
      <c r="E6" s="23"/>
      <c r="F6" s="23"/>
      <c r="G6" s="23"/>
      <c r="H6" s="23"/>
      <c r="I6" s="23"/>
      <c r="J6" s="23"/>
      <c r="K6" s="23"/>
      <c r="L6" s="23"/>
      <c r="M6" s="23"/>
      <c r="N6" s="23"/>
      <c r="O6" s="23"/>
      <c r="P6" s="23"/>
      <c r="Q6" s="23"/>
      <c r="R6" s="23"/>
      <c r="S6" s="23"/>
      <c r="T6" s="23"/>
      <c r="U6" s="23"/>
      <c r="V6" s="23"/>
      <c r="W6" s="23"/>
      <c r="X6" s="23"/>
      <c r="Y6" s="23"/>
      <c r="Z6" s="23"/>
      <c r="AA6" s="23"/>
    </row>
    <row r="7" spans="1:27" x14ac:dyDescent="0.2">
      <c r="B7" s="24"/>
      <c r="C7" s="26"/>
      <c r="D7" s="23"/>
      <c r="E7" s="23"/>
      <c r="F7" s="23"/>
      <c r="G7" s="23"/>
      <c r="H7" s="23"/>
      <c r="I7" s="23"/>
      <c r="J7" s="23"/>
      <c r="K7" s="23"/>
      <c r="L7" s="23"/>
      <c r="M7" s="23"/>
      <c r="N7" s="23"/>
      <c r="O7" s="23"/>
      <c r="P7" s="23"/>
      <c r="Q7" s="23"/>
      <c r="R7" s="23"/>
      <c r="S7" s="23"/>
      <c r="T7" s="23"/>
      <c r="U7" s="23"/>
      <c r="V7" s="23"/>
      <c r="W7" s="23"/>
      <c r="X7" s="23"/>
      <c r="Y7" s="23"/>
      <c r="Z7" s="23"/>
      <c r="AA7" s="11"/>
    </row>
    <row r="8" spans="1:27" x14ac:dyDescent="0.2">
      <c r="B8" s="467"/>
      <c r="C8" s="26"/>
      <c r="D8" s="23"/>
      <c r="E8" s="23"/>
      <c r="F8" s="23"/>
      <c r="G8" s="23"/>
      <c r="H8" s="23"/>
      <c r="I8" s="23"/>
      <c r="J8" s="23"/>
      <c r="K8" s="23"/>
      <c r="L8" s="23"/>
      <c r="M8" s="23"/>
      <c r="N8" s="23"/>
      <c r="O8" s="23"/>
      <c r="P8" s="23"/>
      <c r="Q8" s="23"/>
      <c r="R8" s="23"/>
      <c r="S8" s="23"/>
      <c r="T8" s="23"/>
      <c r="U8" s="23"/>
      <c r="V8" s="23"/>
      <c r="W8" s="23"/>
      <c r="X8" s="23"/>
      <c r="Y8" s="23"/>
      <c r="Z8" s="23"/>
      <c r="AA8" s="11"/>
    </row>
    <row r="9" spans="1:27" x14ac:dyDescent="0.2">
      <c r="B9" s="467"/>
      <c r="C9" s="471"/>
      <c r="D9" s="471"/>
      <c r="E9" s="471"/>
      <c r="F9" s="471"/>
      <c r="G9" s="471"/>
      <c r="H9" s="471"/>
      <c r="I9" s="471"/>
      <c r="J9" s="471"/>
      <c r="K9" s="471"/>
      <c r="L9" s="471"/>
      <c r="M9" s="471"/>
      <c r="N9" s="471"/>
      <c r="O9" s="471"/>
      <c r="P9" s="471"/>
      <c r="Q9" s="471"/>
      <c r="R9" s="53"/>
      <c r="S9" s="53"/>
      <c r="T9" s="23"/>
      <c r="U9" s="23"/>
      <c r="V9" s="23"/>
      <c r="W9" s="23"/>
      <c r="X9" s="23"/>
      <c r="Y9" s="23"/>
      <c r="Z9" s="23"/>
      <c r="AA9" s="11"/>
    </row>
    <row r="10" spans="1:27" x14ac:dyDescent="0.2">
      <c r="B10" s="467"/>
      <c r="C10" s="471"/>
      <c r="D10" s="471"/>
      <c r="E10" s="471"/>
      <c r="F10" s="471"/>
      <c r="G10" s="471"/>
      <c r="H10" s="471"/>
      <c r="I10" s="471"/>
      <c r="J10" s="471"/>
      <c r="K10" s="471"/>
      <c r="L10" s="471"/>
      <c r="M10" s="471"/>
      <c r="N10" s="471"/>
      <c r="O10" s="471"/>
      <c r="P10" s="471"/>
      <c r="Q10" s="471"/>
      <c r="R10" s="53"/>
      <c r="S10" s="53"/>
      <c r="T10" s="23"/>
      <c r="U10" s="23"/>
      <c r="V10" s="23"/>
      <c r="W10" s="23"/>
      <c r="X10" s="23"/>
      <c r="Y10" s="23"/>
      <c r="Z10" s="23"/>
      <c r="AA10" s="11"/>
    </row>
    <row r="11" spans="1:27" x14ac:dyDescent="0.2">
      <c r="B11" s="467"/>
      <c r="C11" s="471"/>
      <c r="D11" s="471"/>
      <c r="E11" s="471"/>
      <c r="F11" s="471"/>
      <c r="G11" s="471"/>
      <c r="H11" s="471"/>
      <c r="I11" s="471"/>
      <c r="J11" s="471"/>
      <c r="K11" s="471"/>
      <c r="L11" s="471"/>
      <c r="M11" s="471"/>
      <c r="N11" s="471"/>
      <c r="O11" s="471"/>
      <c r="P11" s="471"/>
      <c r="Q11" s="471"/>
      <c r="R11" s="53"/>
      <c r="S11" s="53"/>
      <c r="T11" s="23"/>
      <c r="U11" s="23"/>
      <c r="V11" s="23"/>
      <c r="W11" s="23"/>
      <c r="X11" s="23"/>
      <c r="Y11" s="23"/>
      <c r="Z11" s="23"/>
      <c r="AA11" s="11"/>
    </row>
    <row r="12" spans="1:27" x14ac:dyDescent="0.2">
      <c r="B12" s="467"/>
      <c r="C12" s="471"/>
      <c r="D12" s="471"/>
      <c r="E12" s="471"/>
      <c r="F12" s="471"/>
      <c r="G12" s="471"/>
      <c r="H12" s="471"/>
      <c r="I12" s="471"/>
      <c r="J12" s="471"/>
      <c r="K12" s="471"/>
      <c r="L12" s="471"/>
      <c r="M12" s="471"/>
      <c r="N12" s="471"/>
      <c r="O12" s="471"/>
      <c r="P12" s="471"/>
      <c r="Q12" s="471"/>
      <c r="R12" s="53"/>
      <c r="S12" s="53"/>
      <c r="T12" s="23"/>
      <c r="U12" s="23"/>
      <c r="V12" s="23"/>
      <c r="W12" s="23"/>
      <c r="X12" s="23"/>
      <c r="Y12" s="23"/>
      <c r="Z12" s="23"/>
      <c r="AA12" s="11"/>
    </row>
    <row r="13" spans="1:27" x14ac:dyDescent="0.2">
      <c r="B13" s="467"/>
      <c r="C13" s="471"/>
      <c r="D13" s="471"/>
      <c r="E13" s="471"/>
      <c r="F13" s="471"/>
      <c r="G13" s="471"/>
      <c r="H13" s="471"/>
      <c r="I13" s="471"/>
      <c r="J13" s="471"/>
      <c r="K13" s="471"/>
      <c r="L13" s="471"/>
      <c r="M13" s="471"/>
      <c r="N13" s="471"/>
      <c r="O13" s="471"/>
      <c r="P13" s="471"/>
      <c r="Q13" s="471"/>
      <c r="R13" s="53"/>
      <c r="S13" s="53"/>
      <c r="T13" s="23"/>
      <c r="U13" s="23"/>
      <c r="V13" s="23"/>
      <c r="W13" s="23"/>
      <c r="X13" s="23"/>
      <c r="Y13" s="23"/>
      <c r="Z13" s="23"/>
      <c r="AA13" s="11"/>
    </row>
    <row r="14" spans="1:27" x14ac:dyDescent="0.2">
      <c r="B14" s="467"/>
      <c r="C14" s="471"/>
      <c r="D14" s="471"/>
      <c r="E14" s="471"/>
      <c r="F14" s="471"/>
      <c r="G14" s="471"/>
      <c r="H14" s="471"/>
      <c r="I14" s="471"/>
      <c r="J14" s="471"/>
      <c r="K14" s="471"/>
      <c r="L14" s="471"/>
      <c r="M14" s="471"/>
      <c r="N14" s="471"/>
      <c r="O14" s="471"/>
      <c r="P14" s="471"/>
      <c r="Q14" s="471"/>
      <c r="R14" s="53"/>
      <c r="S14" s="53"/>
      <c r="T14" s="23"/>
      <c r="U14" s="23"/>
      <c r="V14" s="23"/>
      <c r="W14" s="23"/>
      <c r="X14" s="23"/>
      <c r="Y14" s="23"/>
      <c r="Z14" s="23"/>
      <c r="AA14" s="11"/>
    </row>
    <row r="15" spans="1:27" x14ac:dyDescent="0.2">
      <c r="B15" s="467"/>
      <c r="C15" s="471"/>
      <c r="D15" s="471"/>
      <c r="E15" s="471"/>
      <c r="F15" s="471"/>
      <c r="G15" s="471"/>
      <c r="H15" s="471"/>
      <c r="I15" s="471"/>
      <c r="J15" s="471"/>
      <c r="K15" s="471"/>
      <c r="L15" s="471"/>
      <c r="M15" s="471"/>
      <c r="N15" s="471"/>
      <c r="O15" s="471"/>
      <c r="P15" s="471"/>
      <c r="Q15" s="471"/>
      <c r="R15" s="23"/>
      <c r="S15" s="23"/>
      <c r="T15" s="23"/>
      <c r="U15" s="23"/>
      <c r="V15" s="23"/>
      <c r="W15" s="23"/>
      <c r="X15" s="23"/>
      <c r="Y15" s="23"/>
      <c r="Z15" s="23"/>
      <c r="AA15" s="11"/>
    </row>
    <row r="16" spans="1:27" x14ac:dyDescent="0.2">
      <c r="B16" s="467"/>
      <c r="C16" s="471"/>
      <c r="D16" s="471"/>
      <c r="E16" s="471"/>
      <c r="F16" s="471"/>
      <c r="G16" s="471"/>
      <c r="H16" s="471"/>
      <c r="I16" s="471"/>
      <c r="J16" s="471"/>
      <c r="K16" s="471"/>
      <c r="L16" s="471"/>
      <c r="M16" s="471"/>
      <c r="N16" s="471"/>
      <c r="O16" s="471"/>
      <c r="P16" s="471"/>
      <c r="Q16" s="471"/>
      <c r="R16" s="23"/>
      <c r="S16" s="23"/>
      <c r="T16" s="23"/>
      <c r="U16" s="23"/>
      <c r="V16" s="23"/>
      <c r="W16" s="23"/>
      <c r="X16" s="23"/>
      <c r="Y16" s="23"/>
      <c r="Z16" s="23"/>
      <c r="AA16" s="11"/>
    </row>
    <row r="17" spans="2:27" x14ac:dyDescent="0.2">
      <c r="B17" s="467"/>
      <c r="C17" s="471"/>
      <c r="D17" s="471"/>
      <c r="E17" s="471"/>
      <c r="F17" s="471"/>
      <c r="G17" s="471"/>
      <c r="H17" s="471"/>
      <c r="I17" s="471"/>
      <c r="J17" s="471"/>
      <c r="K17" s="471"/>
      <c r="L17" s="471"/>
      <c r="M17" s="471"/>
      <c r="N17" s="471"/>
      <c r="O17" s="471"/>
      <c r="P17" s="471"/>
      <c r="Q17" s="471"/>
      <c r="R17" s="54"/>
      <c r="S17" s="54"/>
      <c r="T17" s="23"/>
      <c r="U17" s="23"/>
      <c r="V17" s="23"/>
      <c r="W17" s="23"/>
      <c r="X17" s="23"/>
      <c r="Y17" s="23"/>
      <c r="Z17" s="23"/>
      <c r="AA17" s="11"/>
    </row>
    <row r="18" spans="2:27" x14ac:dyDescent="0.2">
      <c r="B18" s="467"/>
      <c r="C18" s="471"/>
      <c r="D18" s="471"/>
      <c r="E18" s="471"/>
      <c r="F18" s="471"/>
      <c r="G18" s="471"/>
      <c r="H18" s="471"/>
      <c r="I18" s="471"/>
      <c r="J18" s="471"/>
      <c r="K18" s="471"/>
      <c r="L18" s="471"/>
      <c r="M18" s="471"/>
      <c r="N18" s="471"/>
      <c r="O18" s="471"/>
      <c r="P18" s="471"/>
      <c r="Q18" s="471"/>
      <c r="R18" s="54"/>
      <c r="S18" s="54"/>
      <c r="T18" s="23"/>
      <c r="U18" s="23"/>
      <c r="V18" s="23"/>
      <c r="W18" s="23"/>
      <c r="X18" s="23"/>
      <c r="Y18" s="23"/>
      <c r="Z18" s="23"/>
      <c r="AA18" s="11"/>
    </row>
    <row r="19" spans="2:27" x14ac:dyDescent="0.2">
      <c r="B19" s="467"/>
      <c r="C19" s="471"/>
      <c r="D19" s="471"/>
      <c r="E19" s="471"/>
      <c r="F19" s="471"/>
      <c r="G19" s="471"/>
      <c r="H19" s="471"/>
      <c r="I19" s="471"/>
      <c r="J19" s="471"/>
      <c r="K19" s="471"/>
      <c r="L19" s="471"/>
      <c r="M19" s="471"/>
      <c r="N19" s="471"/>
      <c r="O19" s="471"/>
      <c r="P19" s="471"/>
      <c r="Q19" s="471"/>
      <c r="R19" s="54"/>
      <c r="S19" s="54"/>
      <c r="T19" s="23"/>
      <c r="U19" s="23"/>
      <c r="V19" s="23"/>
      <c r="W19" s="23"/>
      <c r="X19" s="23"/>
      <c r="Y19" s="23"/>
      <c r="Z19" s="23"/>
      <c r="AA19" s="11"/>
    </row>
    <row r="20" spans="2:27" x14ac:dyDescent="0.2">
      <c r="B20" s="467"/>
      <c r="C20" s="471"/>
      <c r="D20" s="471"/>
      <c r="E20" s="471"/>
      <c r="F20" s="471"/>
      <c r="G20" s="471"/>
      <c r="H20" s="471"/>
      <c r="I20" s="471"/>
      <c r="J20" s="471"/>
      <c r="K20" s="471"/>
      <c r="L20" s="471"/>
      <c r="M20" s="471"/>
      <c r="N20" s="471"/>
      <c r="O20" s="471"/>
      <c r="P20" s="471"/>
      <c r="Q20" s="471"/>
      <c r="R20" s="54"/>
      <c r="S20" s="54"/>
      <c r="T20" s="23"/>
      <c r="U20" s="23"/>
      <c r="V20" s="23"/>
      <c r="W20" s="23"/>
      <c r="X20" s="23"/>
      <c r="Y20" s="23"/>
      <c r="Z20" s="23"/>
      <c r="AA20" s="11"/>
    </row>
    <row r="21" spans="2:27" x14ac:dyDescent="0.2">
      <c r="B21" s="467"/>
      <c r="C21" s="471"/>
      <c r="D21" s="471"/>
      <c r="E21" s="471"/>
      <c r="F21" s="471"/>
      <c r="G21" s="471"/>
      <c r="H21" s="471"/>
      <c r="I21" s="471"/>
      <c r="J21" s="471"/>
      <c r="K21" s="471"/>
      <c r="L21" s="471"/>
      <c r="M21" s="471"/>
      <c r="N21" s="471"/>
      <c r="O21" s="471"/>
      <c r="P21" s="471"/>
      <c r="Q21" s="471"/>
      <c r="R21" s="54"/>
      <c r="S21" s="54"/>
      <c r="T21" s="23"/>
      <c r="U21" s="23"/>
      <c r="V21" s="23"/>
      <c r="W21" s="23"/>
      <c r="X21" s="23"/>
      <c r="Y21" s="23"/>
      <c r="Z21" s="23"/>
      <c r="AA21" s="11"/>
    </row>
    <row r="22" spans="2:27" x14ac:dyDescent="0.2">
      <c r="B22" s="467"/>
      <c r="C22" s="471"/>
      <c r="D22" s="471"/>
      <c r="E22" s="471"/>
      <c r="F22" s="471"/>
      <c r="G22" s="471"/>
      <c r="H22" s="471"/>
      <c r="I22" s="471"/>
      <c r="J22" s="471"/>
      <c r="K22" s="471"/>
      <c r="L22" s="471"/>
      <c r="M22" s="471"/>
      <c r="N22" s="471"/>
      <c r="O22" s="471"/>
      <c r="P22" s="471"/>
      <c r="Q22" s="471"/>
      <c r="R22" s="54"/>
      <c r="S22" s="54"/>
      <c r="T22" s="23"/>
      <c r="U22" s="23"/>
      <c r="V22" s="23"/>
      <c r="W22" s="23"/>
      <c r="X22" s="23"/>
      <c r="Y22" s="23"/>
      <c r="Z22" s="23"/>
      <c r="AA22" s="11"/>
    </row>
    <row r="23" spans="2:27" x14ac:dyDescent="0.2">
      <c r="B23" s="467"/>
      <c r="C23" s="471"/>
      <c r="D23" s="471"/>
      <c r="E23" s="471"/>
      <c r="F23" s="471"/>
      <c r="G23" s="471"/>
      <c r="H23" s="471"/>
      <c r="I23" s="471"/>
      <c r="J23" s="471"/>
      <c r="K23" s="471"/>
      <c r="L23" s="471"/>
      <c r="M23" s="471"/>
      <c r="N23" s="471"/>
      <c r="O23" s="471"/>
      <c r="P23" s="471"/>
      <c r="Q23" s="471"/>
      <c r="R23" s="23"/>
      <c r="S23" s="23"/>
      <c r="T23" s="23"/>
      <c r="U23" s="23"/>
      <c r="V23" s="23"/>
      <c r="W23" s="23"/>
      <c r="X23" s="23"/>
      <c r="Y23" s="23"/>
      <c r="Z23" s="23"/>
      <c r="AA23" s="11"/>
    </row>
    <row r="24" spans="2:27" x14ac:dyDescent="0.2">
      <c r="B24" s="467"/>
      <c r="C24" s="471"/>
      <c r="D24" s="471"/>
      <c r="E24" s="471"/>
      <c r="F24" s="471"/>
      <c r="G24" s="471"/>
      <c r="H24" s="471"/>
      <c r="I24" s="471"/>
      <c r="J24" s="471"/>
      <c r="K24" s="471"/>
      <c r="L24" s="471"/>
      <c r="M24" s="471"/>
      <c r="N24" s="471"/>
      <c r="O24" s="471"/>
      <c r="P24" s="471"/>
      <c r="Q24" s="471"/>
      <c r="R24" s="23"/>
      <c r="S24" s="23"/>
      <c r="T24" s="23"/>
      <c r="U24" s="23"/>
      <c r="V24" s="23"/>
      <c r="W24" s="23"/>
      <c r="X24" s="23"/>
      <c r="Y24" s="23"/>
      <c r="Z24" s="23"/>
      <c r="AA24" s="11"/>
    </row>
    <row r="25" spans="2:27" x14ac:dyDescent="0.2">
      <c r="B25" s="24"/>
      <c r="C25" s="54"/>
      <c r="D25" s="54"/>
      <c r="E25" s="54"/>
      <c r="F25" s="54"/>
      <c r="G25" s="54"/>
      <c r="H25" s="54"/>
      <c r="I25" s="54"/>
      <c r="J25" s="54"/>
      <c r="K25" s="54"/>
      <c r="L25" s="54"/>
      <c r="M25" s="54"/>
      <c r="N25" s="54"/>
      <c r="O25" s="54"/>
      <c r="P25" s="54"/>
      <c r="Q25" s="54"/>
      <c r="R25" s="54"/>
      <c r="S25" s="54"/>
      <c r="T25" s="23"/>
      <c r="U25" s="23"/>
      <c r="V25" s="23"/>
      <c r="W25" s="23"/>
      <c r="X25" s="23"/>
      <c r="Y25" s="23"/>
      <c r="Z25" s="23"/>
      <c r="AA25" s="11"/>
    </row>
    <row r="26" spans="2:27" ht="14.25" x14ac:dyDescent="0.2">
      <c r="B26" s="24"/>
      <c r="C26" s="55"/>
      <c r="D26" s="54"/>
      <c r="E26" s="54"/>
      <c r="F26" s="54"/>
      <c r="G26" s="54"/>
      <c r="H26" s="54"/>
      <c r="I26" s="54"/>
      <c r="J26" s="54"/>
      <c r="K26" s="54"/>
      <c r="L26" s="54"/>
      <c r="M26" s="54"/>
      <c r="N26" s="54"/>
      <c r="O26" s="54"/>
      <c r="P26" s="54"/>
      <c r="Q26" s="54"/>
      <c r="R26" s="54"/>
      <c r="S26" s="54"/>
      <c r="T26" s="23"/>
      <c r="U26" s="23"/>
      <c r="V26" s="23"/>
      <c r="W26" s="23"/>
      <c r="X26" s="23"/>
      <c r="Y26" s="23"/>
      <c r="Z26" s="23"/>
      <c r="AA26" s="11"/>
    </row>
    <row r="27" spans="2:27" x14ac:dyDescent="0.2">
      <c r="B27" s="24"/>
      <c r="C27" s="470"/>
      <c r="D27" s="470"/>
      <c r="E27" s="470"/>
      <c r="F27" s="470"/>
      <c r="G27" s="470"/>
      <c r="H27" s="470"/>
      <c r="I27" s="470"/>
      <c r="J27" s="470"/>
      <c r="K27" s="470"/>
      <c r="L27" s="470"/>
      <c r="M27" s="470"/>
      <c r="N27" s="470"/>
      <c r="O27" s="470"/>
      <c r="P27" s="470"/>
      <c r="Q27" s="470"/>
      <c r="R27" s="54"/>
      <c r="S27" s="54"/>
      <c r="T27" s="23"/>
      <c r="U27" s="23"/>
      <c r="V27" s="23"/>
      <c r="W27" s="23"/>
      <c r="X27" s="23"/>
      <c r="Y27" s="23"/>
      <c r="Z27" s="23"/>
      <c r="AA27" s="11"/>
    </row>
    <row r="28" spans="2:27" x14ac:dyDescent="0.2">
      <c r="B28" s="24"/>
      <c r="C28" s="470"/>
      <c r="D28" s="470"/>
      <c r="E28" s="470"/>
      <c r="F28" s="470"/>
      <c r="G28" s="470"/>
      <c r="H28" s="470"/>
      <c r="I28" s="470"/>
      <c r="J28" s="470"/>
      <c r="K28" s="470"/>
      <c r="L28" s="470"/>
      <c r="M28" s="470"/>
      <c r="N28" s="470"/>
      <c r="O28" s="470"/>
      <c r="P28" s="470"/>
      <c r="Q28" s="470"/>
      <c r="R28" s="54"/>
      <c r="S28" s="54"/>
      <c r="T28" s="23"/>
      <c r="U28" s="23"/>
      <c r="V28" s="23"/>
      <c r="W28" s="23"/>
      <c r="X28" s="23"/>
      <c r="Y28" s="23"/>
      <c r="Z28" s="23"/>
      <c r="AA28" s="11"/>
    </row>
    <row r="29" spans="2:27" x14ac:dyDescent="0.2">
      <c r="B29" s="24"/>
      <c r="C29" s="470"/>
      <c r="D29" s="470"/>
      <c r="E29" s="470"/>
      <c r="F29" s="470"/>
      <c r="G29" s="470"/>
      <c r="H29" s="470"/>
      <c r="I29" s="470"/>
      <c r="J29" s="470"/>
      <c r="K29" s="470"/>
      <c r="L29" s="470"/>
      <c r="M29" s="470"/>
      <c r="N29" s="470"/>
      <c r="O29" s="470"/>
      <c r="P29" s="470"/>
      <c r="Q29" s="470"/>
      <c r="R29" s="54"/>
      <c r="S29" s="54"/>
      <c r="T29" s="23"/>
      <c r="U29" s="23"/>
      <c r="V29" s="23"/>
      <c r="W29" s="23"/>
      <c r="X29" s="23"/>
      <c r="Y29" s="23"/>
      <c r="Z29" s="23"/>
      <c r="AA29" s="11"/>
    </row>
    <row r="30" spans="2:27" x14ac:dyDescent="0.2">
      <c r="B30" s="24"/>
      <c r="C30" s="470"/>
      <c r="D30" s="470"/>
      <c r="E30" s="470"/>
      <c r="F30" s="470"/>
      <c r="G30" s="470"/>
      <c r="H30" s="470"/>
      <c r="I30" s="470"/>
      <c r="J30" s="470"/>
      <c r="K30" s="470"/>
      <c r="L30" s="470"/>
      <c r="M30" s="470"/>
      <c r="N30" s="470"/>
      <c r="O30" s="470"/>
      <c r="P30" s="470"/>
      <c r="Q30" s="470"/>
      <c r="R30" s="54"/>
      <c r="S30" s="54"/>
      <c r="T30" s="23"/>
      <c r="U30" s="23"/>
      <c r="V30" s="23"/>
      <c r="W30" s="23"/>
      <c r="X30" s="23"/>
      <c r="Y30" s="23"/>
      <c r="Z30" s="23"/>
      <c r="AA30" s="11"/>
    </row>
    <row r="31" spans="2:27" x14ac:dyDescent="0.2">
      <c r="B31" s="24"/>
      <c r="C31" s="470"/>
      <c r="D31" s="470"/>
      <c r="E31" s="470"/>
      <c r="F31" s="470"/>
      <c r="G31" s="470"/>
      <c r="H31" s="470"/>
      <c r="I31" s="470"/>
      <c r="J31" s="470"/>
      <c r="K31" s="470"/>
      <c r="L31" s="470"/>
      <c r="M31" s="470"/>
      <c r="N31" s="470"/>
      <c r="O31" s="470"/>
      <c r="P31" s="470"/>
      <c r="Q31" s="470"/>
      <c r="R31" s="23"/>
      <c r="S31" s="23"/>
      <c r="T31" s="23"/>
      <c r="U31" s="23"/>
      <c r="V31" s="23"/>
      <c r="W31" s="23"/>
      <c r="X31" s="23"/>
      <c r="Y31" s="23"/>
      <c r="Z31" s="23"/>
      <c r="AA31" s="11"/>
    </row>
    <row r="32" spans="2:27" x14ac:dyDescent="0.2">
      <c r="B32" s="24"/>
      <c r="C32" s="470"/>
      <c r="D32" s="470"/>
      <c r="E32" s="470"/>
      <c r="F32" s="470"/>
      <c r="G32" s="470"/>
      <c r="H32" s="470"/>
      <c r="I32" s="470"/>
      <c r="J32" s="470"/>
      <c r="K32" s="470"/>
      <c r="L32" s="470"/>
      <c r="M32" s="470"/>
      <c r="N32" s="470"/>
      <c r="O32" s="470"/>
      <c r="P32" s="470"/>
      <c r="Q32" s="470"/>
      <c r="R32" s="23"/>
      <c r="S32" s="23"/>
      <c r="T32" s="23"/>
      <c r="U32" s="23"/>
      <c r="V32" s="23"/>
      <c r="W32" s="23"/>
      <c r="X32" s="23"/>
      <c r="Y32" s="23"/>
      <c r="Z32" s="23"/>
      <c r="AA32" s="11"/>
    </row>
    <row r="33" spans="2:27" x14ac:dyDescent="0.2">
      <c r="B33" s="24"/>
      <c r="C33" s="470"/>
      <c r="D33" s="470"/>
      <c r="E33" s="470"/>
      <c r="F33" s="470"/>
      <c r="G33" s="470"/>
      <c r="H33" s="470"/>
      <c r="I33" s="470"/>
      <c r="J33" s="470"/>
      <c r="K33" s="470"/>
      <c r="L33" s="470"/>
      <c r="M33" s="470"/>
      <c r="N33" s="470"/>
      <c r="O33" s="470"/>
      <c r="P33" s="470"/>
      <c r="Q33" s="470"/>
      <c r="R33" s="54"/>
      <c r="S33" s="54"/>
      <c r="T33" s="23"/>
      <c r="U33" s="23"/>
      <c r="V33" s="23"/>
      <c r="W33" s="23"/>
      <c r="X33" s="23"/>
      <c r="Y33" s="23"/>
      <c r="Z33" s="23"/>
      <c r="AA33" s="11"/>
    </row>
    <row r="34" spans="2:27" x14ac:dyDescent="0.2">
      <c r="B34" s="24"/>
      <c r="C34" s="470"/>
      <c r="D34" s="470"/>
      <c r="E34" s="470"/>
      <c r="F34" s="470"/>
      <c r="G34" s="470"/>
      <c r="H34" s="470"/>
      <c r="I34" s="470"/>
      <c r="J34" s="470"/>
      <c r="K34" s="470"/>
      <c r="L34" s="470"/>
      <c r="M34" s="470"/>
      <c r="N34" s="470"/>
      <c r="O34" s="470"/>
      <c r="P34" s="470"/>
      <c r="Q34" s="470"/>
      <c r="R34" s="54"/>
      <c r="S34" s="54"/>
      <c r="T34" s="23"/>
      <c r="U34" s="23"/>
      <c r="V34" s="23"/>
      <c r="W34" s="23"/>
      <c r="X34" s="23"/>
      <c r="Y34" s="23"/>
      <c r="Z34" s="23"/>
      <c r="AA34" s="11"/>
    </row>
    <row r="35" spans="2:27" x14ac:dyDescent="0.2">
      <c r="B35" s="24"/>
      <c r="C35" s="470"/>
      <c r="D35" s="470"/>
      <c r="E35" s="470"/>
      <c r="F35" s="470"/>
      <c r="G35" s="470"/>
      <c r="H35" s="470"/>
      <c r="I35" s="470"/>
      <c r="J35" s="470"/>
      <c r="K35" s="470"/>
      <c r="L35" s="470"/>
      <c r="M35" s="470"/>
      <c r="N35" s="470"/>
      <c r="O35" s="470"/>
      <c r="P35" s="470"/>
      <c r="Q35" s="470"/>
      <c r="R35" s="54"/>
      <c r="S35" s="54"/>
      <c r="T35" s="23"/>
      <c r="U35" s="23"/>
      <c r="V35" s="23"/>
      <c r="W35" s="23"/>
      <c r="X35" s="23"/>
      <c r="Y35" s="23"/>
      <c r="Z35" s="23"/>
      <c r="AA35" s="11"/>
    </row>
    <row r="36" spans="2:27" x14ac:dyDescent="0.2">
      <c r="B36" s="24"/>
      <c r="C36" s="470"/>
      <c r="D36" s="470"/>
      <c r="E36" s="470"/>
      <c r="F36" s="470"/>
      <c r="G36" s="470"/>
      <c r="H36" s="470"/>
      <c r="I36" s="470"/>
      <c r="J36" s="470"/>
      <c r="K36" s="470"/>
      <c r="L36" s="470"/>
      <c r="M36" s="470"/>
      <c r="N36" s="470"/>
      <c r="O36" s="470"/>
      <c r="P36" s="470"/>
      <c r="Q36" s="470"/>
      <c r="R36" s="54"/>
      <c r="S36" s="54"/>
      <c r="T36" s="23"/>
      <c r="U36" s="23"/>
      <c r="V36" s="23"/>
      <c r="W36" s="23"/>
      <c r="X36" s="23"/>
      <c r="Y36" s="23"/>
      <c r="Z36" s="23"/>
      <c r="AA36" s="11"/>
    </row>
    <row r="37" spans="2:27" x14ac:dyDescent="0.2">
      <c r="B37" s="24"/>
      <c r="C37" s="470"/>
      <c r="D37" s="470"/>
      <c r="E37" s="470"/>
      <c r="F37" s="470"/>
      <c r="G37" s="470"/>
      <c r="H37" s="470"/>
      <c r="I37" s="470"/>
      <c r="J37" s="470"/>
      <c r="K37" s="470"/>
      <c r="L37" s="470"/>
      <c r="M37" s="470"/>
      <c r="N37" s="470"/>
      <c r="O37" s="470"/>
      <c r="P37" s="470"/>
      <c r="Q37" s="470"/>
      <c r="R37" s="54"/>
      <c r="S37" s="54"/>
      <c r="T37" s="23"/>
      <c r="U37" s="23"/>
      <c r="V37" s="23"/>
      <c r="W37" s="23"/>
      <c r="X37" s="23"/>
      <c r="Y37" s="23"/>
      <c r="Z37" s="23"/>
      <c r="AA37" s="11"/>
    </row>
    <row r="38" spans="2:27" x14ac:dyDescent="0.2">
      <c r="B38" s="24"/>
      <c r="C38" s="470"/>
      <c r="D38" s="470"/>
      <c r="E38" s="470"/>
      <c r="F38" s="470"/>
      <c r="G38" s="470"/>
      <c r="H38" s="470"/>
      <c r="I38" s="470"/>
      <c r="J38" s="470"/>
      <c r="K38" s="470"/>
      <c r="L38" s="470"/>
      <c r="M38" s="470"/>
      <c r="N38" s="470"/>
      <c r="O38" s="470"/>
      <c r="P38" s="470"/>
      <c r="Q38" s="470"/>
      <c r="R38" s="54"/>
      <c r="S38" s="54"/>
      <c r="T38" s="23"/>
      <c r="U38" s="23"/>
      <c r="V38" s="23"/>
      <c r="W38" s="23"/>
      <c r="X38" s="23"/>
      <c r="Y38" s="23"/>
      <c r="Z38" s="23"/>
      <c r="AA38" s="11"/>
    </row>
    <row r="39" spans="2:27" x14ac:dyDescent="0.2">
      <c r="B39" s="24"/>
      <c r="C39" s="470"/>
      <c r="D39" s="470"/>
      <c r="E39" s="470"/>
      <c r="F39" s="470"/>
      <c r="G39" s="470"/>
      <c r="H39" s="470"/>
      <c r="I39" s="470"/>
      <c r="J39" s="470"/>
      <c r="K39" s="470"/>
      <c r="L39" s="470"/>
      <c r="M39" s="470"/>
      <c r="N39" s="470"/>
      <c r="O39" s="470"/>
      <c r="P39" s="470"/>
      <c r="Q39" s="470"/>
      <c r="R39" s="23"/>
      <c r="S39" s="23"/>
      <c r="T39" s="23"/>
      <c r="U39" s="23"/>
      <c r="V39" s="23"/>
      <c r="W39" s="23"/>
      <c r="X39" s="23"/>
      <c r="Y39" s="23"/>
      <c r="Z39" s="23"/>
      <c r="AA39" s="11"/>
    </row>
    <row r="40" spans="2:27" x14ac:dyDescent="0.2">
      <c r="B40" s="24"/>
      <c r="C40" s="470"/>
      <c r="D40" s="470"/>
      <c r="E40" s="470"/>
      <c r="F40" s="470"/>
      <c r="G40" s="470"/>
      <c r="H40" s="470"/>
      <c r="I40" s="470"/>
      <c r="J40" s="470"/>
      <c r="K40" s="470"/>
      <c r="L40" s="470"/>
      <c r="M40" s="470"/>
      <c r="N40" s="470"/>
      <c r="O40" s="470"/>
      <c r="P40" s="470"/>
      <c r="Q40" s="470"/>
      <c r="R40" s="23"/>
      <c r="S40" s="23"/>
      <c r="T40" s="23"/>
      <c r="U40" s="23"/>
      <c r="V40" s="23"/>
      <c r="W40" s="23"/>
      <c r="X40" s="23"/>
      <c r="Y40" s="23"/>
      <c r="Z40" s="23"/>
      <c r="AA40" s="11"/>
    </row>
    <row r="41" spans="2:27" x14ac:dyDescent="0.2">
      <c r="B41" s="24"/>
      <c r="C41" s="470"/>
      <c r="D41" s="470"/>
      <c r="E41" s="470"/>
      <c r="F41" s="470"/>
      <c r="G41" s="470"/>
      <c r="H41" s="470"/>
      <c r="I41" s="470"/>
      <c r="J41" s="470"/>
      <c r="K41" s="470"/>
      <c r="L41" s="470"/>
      <c r="M41" s="470"/>
      <c r="N41" s="470"/>
      <c r="O41" s="470"/>
      <c r="P41" s="470"/>
      <c r="Q41" s="470"/>
      <c r="R41" s="23"/>
      <c r="S41" s="23"/>
      <c r="T41" s="23"/>
      <c r="U41" s="23"/>
      <c r="V41" s="23"/>
      <c r="W41" s="23"/>
      <c r="X41" s="23"/>
      <c r="Y41" s="23"/>
      <c r="Z41" s="23"/>
      <c r="AA41" s="11"/>
    </row>
    <row r="42" spans="2:27" x14ac:dyDescent="0.2">
      <c r="B42" s="24"/>
      <c r="C42" s="470"/>
      <c r="D42" s="470"/>
      <c r="E42" s="470"/>
      <c r="F42" s="470"/>
      <c r="G42" s="470"/>
      <c r="H42" s="470"/>
      <c r="I42" s="470"/>
      <c r="J42" s="470"/>
      <c r="K42" s="470"/>
      <c r="L42" s="470"/>
      <c r="M42" s="470"/>
      <c r="N42" s="470"/>
      <c r="O42" s="470"/>
      <c r="P42" s="470"/>
      <c r="Q42" s="470"/>
      <c r="R42" s="23"/>
      <c r="S42" s="23"/>
      <c r="T42" s="23"/>
      <c r="U42" s="23"/>
      <c r="V42" s="23"/>
      <c r="W42" s="23"/>
      <c r="X42" s="23"/>
      <c r="Y42" s="23"/>
      <c r="Z42" s="23"/>
      <c r="AA42" s="11"/>
    </row>
    <row r="43" spans="2:27" x14ac:dyDescent="0.2">
      <c r="B43" s="24"/>
      <c r="C43" s="54"/>
      <c r="D43" s="54"/>
      <c r="E43" s="54"/>
      <c r="F43" s="54"/>
      <c r="G43" s="54"/>
      <c r="H43" s="54"/>
      <c r="I43" s="23"/>
      <c r="J43" s="23"/>
      <c r="K43" s="23"/>
      <c r="L43" s="23"/>
      <c r="M43" s="23"/>
      <c r="N43" s="23"/>
      <c r="O43" s="23"/>
      <c r="P43" s="23"/>
      <c r="Q43" s="23"/>
      <c r="R43" s="23"/>
      <c r="S43" s="23"/>
      <c r="T43" s="23"/>
      <c r="U43" s="23"/>
      <c r="V43" s="23"/>
      <c r="W43" s="23"/>
      <c r="X43" s="23"/>
      <c r="Y43" s="23"/>
      <c r="Z43" s="23"/>
      <c r="AA43" s="11"/>
    </row>
    <row r="44" spans="2:27" ht="14.25" x14ac:dyDescent="0.2">
      <c r="B44" s="24"/>
      <c r="C44" s="55"/>
      <c r="D44" s="54"/>
      <c r="E44" s="54"/>
      <c r="F44" s="54"/>
      <c r="G44" s="54"/>
      <c r="H44" s="54"/>
      <c r="I44" s="23"/>
      <c r="J44" s="23"/>
      <c r="K44" s="23"/>
      <c r="L44" s="23"/>
      <c r="M44" s="23"/>
      <c r="N44" s="23"/>
      <c r="O44" s="23"/>
      <c r="P44" s="23"/>
      <c r="Q44" s="23"/>
      <c r="R44" s="23"/>
      <c r="S44" s="23"/>
      <c r="T44" s="23"/>
      <c r="U44" s="23"/>
      <c r="V44" s="23"/>
      <c r="W44" s="23"/>
      <c r="X44" s="23"/>
      <c r="Y44" s="23"/>
      <c r="Z44" s="23"/>
      <c r="AA44" s="11"/>
    </row>
    <row r="45" spans="2:27" x14ac:dyDescent="0.2">
      <c r="B45" s="24"/>
      <c r="C45" s="470"/>
      <c r="D45" s="470"/>
      <c r="E45" s="470"/>
      <c r="F45" s="470"/>
      <c r="G45" s="470"/>
      <c r="H45" s="470"/>
      <c r="I45" s="470"/>
      <c r="J45" s="470"/>
      <c r="K45" s="470"/>
      <c r="L45" s="470"/>
      <c r="M45" s="470"/>
      <c r="N45" s="470"/>
      <c r="O45" s="470"/>
      <c r="P45" s="470"/>
      <c r="Q45" s="470"/>
      <c r="R45" s="23"/>
      <c r="S45" s="23"/>
      <c r="T45" s="23"/>
      <c r="U45" s="23"/>
      <c r="V45" s="23"/>
      <c r="W45" s="23"/>
      <c r="X45" s="23"/>
      <c r="Y45" s="23"/>
      <c r="Z45" s="23"/>
      <c r="AA45" s="11"/>
    </row>
    <row r="46" spans="2:27" x14ac:dyDescent="0.2">
      <c r="B46" s="24"/>
      <c r="C46" s="470"/>
      <c r="D46" s="470"/>
      <c r="E46" s="470"/>
      <c r="F46" s="470"/>
      <c r="G46" s="470"/>
      <c r="H46" s="470"/>
      <c r="I46" s="470"/>
      <c r="J46" s="470"/>
      <c r="K46" s="470"/>
      <c r="L46" s="470"/>
      <c r="M46" s="470"/>
      <c r="N46" s="470"/>
      <c r="O46" s="470"/>
      <c r="P46" s="470"/>
      <c r="Q46" s="470"/>
      <c r="R46" s="23"/>
      <c r="S46" s="23"/>
      <c r="T46" s="23"/>
      <c r="U46" s="23"/>
      <c r="V46" s="23"/>
      <c r="W46" s="23"/>
      <c r="X46" s="23"/>
      <c r="Y46" s="23"/>
      <c r="Z46" s="23"/>
      <c r="AA46" s="11"/>
    </row>
    <row r="47" spans="2:27" x14ac:dyDescent="0.2">
      <c r="B47" s="24"/>
      <c r="C47" s="470"/>
      <c r="D47" s="470"/>
      <c r="E47" s="470"/>
      <c r="F47" s="470"/>
      <c r="G47" s="470"/>
      <c r="H47" s="470"/>
      <c r="I47" s="470"/>
      <c r="J47" s="470"/>
      <c r="K47" s="470"/>
      <c r="L47" s="470"/>
      <c r="M47" s="470"/>
      <c r="N47" s="470"/>
      <c r="O47" s="470"/>
      <c r="P47" s="470"/>
      <c r="Q47" s="470"/>
      <c r="R47" s="23"/>
      <c r="S47" s="23"/>
      <c r="T47" s="23"/>
      <c r="U47" s="23"/>
      <c r="V47" s="23"/>
      <c r="W47" s="23"/>
      <c r="X47" s="23"/>
      <c r="Y47" s="23"/>
      <c r="Z47" s="23"/>
      <c r="AA47" s="11"/>
    </row>
    <row r="48" spans="2:27" x14ac:dyDescent="0.2">
      <c r="B48" s="24"/>
      <c r="C48" s="470"/>
      <c r="D48" s="470"/>
      <c r="E48" s="470"/>
      <c r="F48" s="470"/>
      <c r="G48" s="470"/>
      <c r="H48" s="470"/>
      <c r="I48" s="470"/>
      <c r="J48" s="470"/>
      <c r="K48" s="470"/>
      <c r="L48" s="470"/>
      <c r="M48" s="470"/>
      <c r="N48" s="470"/>
      <c r="O48" s="470"/>
      <c r="P48" s="470"/>
      <c r="Q48" s="470"/>
      <c r="R48" s="23"/>
      <c r="S48" s="23"/>
      <c r="T48" s="23"/>
      <c r="U48" s="23"/>
      <c r="V48" s="23"/>
      <c r="W48" s="23"/>
      <c r="X48" s="23"/>
      <c r="Y48" s="23"/>
      <c r="Z48" s="23"/>
      <c r="AA48" s="11"/>
    </row>
    <row r="49" spans="2:27" x14ac:dyDescent="0.2">
      <c r="B49" s="24"/>
      <c r="C49" s="470"/>
      <c r="D49" s="470"/>
      <c r="E49" s="470"/>
      <c r="F49" s="470"/>
      <c r="G49" s="470"/>
      <c r="H49" s="470"/>
      <c r="I49" s="470"/>
      <c r="J49" s="470"/>
      <c r="K49" s="470"/>
      <c r="L49" s="470"/>
      <c r="M49" s="470"/>
      <c r="N49" s="470"/>
      <c r="O49" s="470"/>
      <c r="P49" s="470"/>
      <c r="Q49" s="470"/>
      <c r="R49" s="23"/>
      <c r="S49" s="23"/>
      <c r="T49" s="23"/>
      <c r="U49" s="23"/>
      <c r="V49" s="23"/>
      <c r="W49" s="23"/>
      <c r="X49" s="23"/>
      <c r="Y49" s="23"/>
      <c r="Z49" s="23"/>
      <c r="AA49" s="11"/>
    </row>
    <row r="50" spans="2:27" x14ac:dyDescent="0.2">
      <c r="B50" s="24"/>
      <c r="C50" s="470"/>
      <c r="D50" s="470"/>
      <c r="E50" s="470"/>
      <c r="F50" s="470"/>
      <c r="G50" s="470"/>
      <c r="H50" s="470"/>
      <c r="I50" s="470"/>
      <c r="J50" s="470"/>
      <c r="K50" s="470"/>
      <c r="L50" s="470"/>
      <c r="M50" s="470"/>
      <c r="N50" s="470"/>
      <c r="O50" s="470"/>
      <c r="P50" s="470"/>
      <c r="Q50" s="470"/>
      <c r="R50" s="23"/>
      <c r="S50" s="23"/>
      <c r="T50" s="23"/>
      <c r="U50" s="23"/>
      <c r="V50" s="23"/>
      <c r="W50" s="23"/>
      <c r="X50" s="23"/>
      <c r="Y50" s="23"/>
      <c r="Z50" s="23"/>
      <c r="AA50" s="11"/>
    </row>
    <row r="51" spans="2:27" x14ac:dyDescent="0.2">
      <c r="B51" s="24"/>
      <c r="C51" s="470"/>
      <c r="D51" s="470"/>
      <c r="E51" s="470"/>
      <c r="F51" s="470"/>
      <c r="G51" s="470"/>
      <c r="H51" s="470"/>
      <c r="I51" s="470"/>
      <c r="J51" s="470"/>
      <c r="K51" s="470"/>
      <c r="L51" s="470"/>
      <c r="M51" s="470"/>
      <c r="N51" s="470"/>
      <c r="O51" s="470"/>
      <c r="P51" s="470"/>
      <c r="Q51" s="470"/>
      <c r="R51" s="23"/>
      <c r="S51" s="23"/>
      <c r="T51" s="23"/>
      <c r="U51" s="23"/>
      <c r="V51" s="23"/>
      <c r="W51" s="23"/>
      <c r="X51" s="23"/>
      <c r="Y51" s="23"/>
      <c r="Z51" s="23"/>
      <c r="AA51" s="11"/>
    </row>
    <row r="52" spans="2:27" x14ac:dyDescent="0.2">
      <c r="B52" s="24"/>
      <c r="C52" s="470"/>
      <c r="D52" s="470"/>
      <c r="E52" s="470"/>
      <c r="F52" s="470"/>
      <c r="G52" s="470"/>
      <c r="H52" s="470"/>
      <c r="I52" s="470"/>
      <c r="J52" s="470"/>
      <c r="K52" s="470"/>
      <c r="L52" s="470"/>
      <c r="M52" s="470"/>
      <c r="N52" s="470"/>
      <c r="O52" s="470"/>
      <c r="P52" s="470"/>
      <c r="Q52" s="470"/>
      <c r="R52" s="23"/>
      <c r="S52" s="23"/>
      <c r="T52" s="23"/>
      <c r="U52" s="23"/>
      <c r="V52" s="23"/>
      <c r="W52" s="23"/>
      <c r="X52" s="23"/>
      <c r="Y52" s="23"/>
      <c r="Z52" s="23"/>
      <c r="AA52" s="11"/>
    </row>
    <row r="53" spans="2:27" x14ac:dyDescent="0.2">
      <c r="B53" s="24"/>
      <c r="C53" s="470"/>
      <c r="D53" s="470"/>
      <c r="E53" s="470"/>
      <c r="F53" s="470"/>
      <c r="G53" s="470"/>
      <c r="H53" s="470"/>
      <c r="I53" s="470"/>
      <c r="J53" s="470"/>
      <c r="K53" s="470"/>
      <c r="L53" s="470"/>
      <c r="M53" s="470"/>
      <c r="N53" s="470"/>
      <c r="O53" s="470"/>
      <c r="P53" s="470"/>
      <c r="Q53" s="470"/>
      <c r="R53" s="23"/>
      <c r="S53" s="23"/>
      <c r="T53" s="23"/>
      <c r="U53" s="23"/>
      <c r="V53" s="23"/>
      <c r="W53" s="23"/>
      <c r="X53" s="23"/>
      <c r="Y53" s="23"/>
      <c r="Z53" s="23"/>
      <c r="AA53" s="11"/>
    </row>
    <row r="54" spans="2:27" x14ac:dyDescent="0.2">
      <c r="B54" s="24"/>
      <c r="C54" s="470"/>
      <c r="D54" s="470"/>
      <c r="E54" s="470"/>
      <c r="F54" s="470"/>
      <c r="G54" s="470"/>
      <c r="H54" s="470"/>
      <c r="I54" s="470"/>
      <c r="J54" s="470"/>
      <c r="K54" s="470"/>
      <c r="L54" s="470"/>
      <c r="M54" s="470"/>
      <c r="N54" s="470"/>
      <c r="O54" s="470"/>
      <c r="P54" s="470"/>
      <c r="Q54" s="470"/>
      <c r="R54" s="23"/>
      <c r="S54" s="23"/>
      <c r="T54" s="23"/>
      <c r="U54" s="23"/>
      <c r="V54" s="23"/>
      <c r="W54" s="23"/>
      <c r="X54" s="23"/>
      <c r="Y54" s="23"/>
      <c r="Z54" s="23"/>
      <c r="AA54" s="11"/>
    </row>
    <row r="55" spans="2:27" x14ac:dyDescent="0.2">
      <c r="B55" s="24"/>
      <c r="C55" s="470"/>
      <c r="D55" s="470"/>
      <c r="E55" s="470"/>
      <c r="F55" s="470"/>
      <c r="G55" s="470"/>
      <c r="H55" s="470"/>
      <c r="I55" s="470"/>
      <c r="J55" s="470"/>
      <c r="K55" s="470"/>
      <c r="L55" s="470"/>
      <c r="M55" s="470"/>
      <c r="N55" s="470"/>
      <c r="O55" s="470"/>
      <c r="P55" s="470"/>
      <c r="Q55" s="470"/>
      <c r="R55" s="23"/>
      <c r="S55" s="23"/>
      <c r="T55" s="23"/>
      <c r="U55" s="23"/>
      <c r="V55" s="23"/>
      <c r="W55" s="23"/>
      <c r="X55" s="23"/>
      <c r="Y55" s="23"/>
      <c r="Z55" s="23"/>
      <c r="AA55" s="11"/>
    </row>
    <row r="56" spans="2:27" x14ac:dyDescent="0.2">
      <c r="B56" s="24"/>
      <c r="C56" s="470"/>
      <c r="D56" s="470"/>
      <c r="E56" s="470"/>
      <c r="F56" s="470"/>
      <c r="G56" s="470"/>
      <c r="H56" s="470"/>
      <c r="I56" s="470"/>
      <c r="J56" s="470"/>
      <c r="K56" s="470"/>
      <c r="L56" s="470"/>
      <c r="M56" s="470"/>
      <c r="N56" s="470"/>
      <c r="O56" s="470"/>
      <c r="P56" s="470"/>
      <c r="Q56" s="470"/>
      <c r="R56" s="23"/>
      <c r="S56" s="23"/>
      <c r="T56" s="23"/>
      <c r="U56" s="23"/>
      <c r="V56" s="23"/>
      <c r="W56" s="23"/>
      <c r="X56" s="23"/>
      <c r="Y56" s="23"/>
      <c r="Z56" s="23"/>
      <c r="AA56" s="11"/>
    </row>
    <row r="57" spans="2:27" x14ac:dyDescent="0.2">
      <c r="B57" s="24"/>
      <c r="C57" s="470"/>
      <c r="D57" s="470"/>
      <c r="E57" s="470"/>
      <c r="F57" s="470"/>
      <c r="G57" s="470"/>
      <c r="H57" s="470"/>
      <c r="I57" s="470"/>
      <c r="J57" s="470"/>
      <c r="K57" s="470"/>
      <c r="L57" s="470"/>
      <c r="M57" s="470"/>
      <c r="N57" s="470"/>
      <c r="O57" s="470"/>
      <c r="P57" s="470"/>
      <c r="Q57" s="470"/>
      <c r="R57" s="23"/>
      <c r="S57" s="23"/>
      <c r="T57" s="23"/>
      <c r="U57" s="23"/>
      <c r="V57" s="23"/>
      <c r="W57" s="23"/>
      <c r="X57" s="23"/>
      <c r="Y57" s="23"/>
      <c r="Z57" s="23"/>
      <c r="AA57" s="11"/>
    </row>
    <row r="58" spans="2:27" x14ac:dyDescent="0.2">
      <c r="B58" s="24"/>
      <c r="C58" s="470"/>
      <c r="D58" s="470"/>
      <c r="E58" s="470"/>
      <c r="F58" s="470"/>
      <c r="G58" s="470"/>
      <c r="H58" s="470"/>
      <c r="I58" s="470"/>
      <c r="J58" s="470"/>
      <c r="K58" s="470"/>
      <c r="L58" s="470"/>
      <c r="M58" s="470"/>
      <c r="N58" s="470"/>
      <c r="O58" s="470"/>
      <c r="P58" s="470"/>
      <c r="Q58" s="470"/>
      <c r="R58" s="23"/>
      <c r="S58" s="23"/>
      <c r="T58" s="23"/>
      <c r="U58" s="23"/>
      <c r="V58" s="23"/>
      <c r="W58" s="23"/>
      <c r="X58" s="23"/>
      <c r="Y58" s="23"/>
      <c r="Z58" s="23"/>
      <c r="AA58" s="11"/>
    </row>
    <row r="59" spans="2:27" x14ac:dyDescent="0.2">
      <c r="B59" s="24"/>
      <c r="C59" s="470"/>
      <c r="D59" s="470"/>
      <c r="E59" s="470"/>
      <c r="F59" s="470"/>
      <c r="G59" s="470"/>
      <c r="H59" s="470"/>
      <c r="I59" s="470"/>
      <c r="J59" s="470"/>
      <c r="K59" s="470"/>
      <c r="L59" s="470"/>
      <c r="M59" s="470"/>
      <c r="N59" s="470"/>
      <c r="O59" s="470"/>
      <c r="P59" s="470"/>
      <c r="Q59" s="470"/>
      <c r="R59" s="23"/>
      <c r="S59" s="23"/>
      <c r="T59" s="23"/>
      <c r="U59" s="23"/>
      <c r="V59" s="23"/>
      <c r="W59" s="23"/>
      <c r="X59" s="23"/>
      <c r="Y59" s="23"/>
      <c r="Z59" s="23"/>
      <c r="AA59" s="11"/>
    </row>
    <row r="60" spans="2:27" x14ac:dyDescent="0.2">
      <c r="B60" s="24"/>
      <c r="C60" s="470"/>
      <c r="D60" s="470"/>
      <c r="E60" s="470"/>
      <c r="F60" s="470"/>
      <c r="G60" s="470"/>
      <c r="H60" s="470"/>
      <c r="I60" s="470"/>
      <c r="J60" s="470"/>
      <c r="K60" s="470"/>
      <c r="L60" s="470"/>
      <c r="M60" s="470"/>
      <c r="N60" s="470"/>
      <c r="O60" s="470"/>
      <c r="P60" s="470"/>
      <c r="Q60" s="470"/>
      <c r="R60" s="23"/>
      <c r="S60" s="23"/>
      <c r="T60" s="23"/>
      <c r="U60" s="23"/>
      <c r="V60" s="23"/>
      <c r="W60" s="23"/>
      <c r="X60" s="23"/>
      <c r="Y60" s="23"/>
      <c r="Z60" s="23"/>
      <c r="AA60" s="11"/>
    </row>
    <row r="61" spans="2:27" x14ac:dyDescent="0.2">
      <c r="B61" s="24"/>
      <c r="C61" s="23"/>
      <c r="D61" s="23"/>
      <c r="E61" s="23"/>
      <c r="F61" s="23"/>
      <c r="G61" s="23"/>
      <c r="H61" s="23"/>
      <c r="I61" s="23"/>
      <c r="J61" s="23"/>
      <c r="K61" s="23"/>
      <c r="L61" s="23"/>
      <c r="M61" s="23"/>
      <c r="N61" s="23"/>
      <c r="O61" s="23"/>
      <c r="P61" s="23"/>
      <c r="Q61" s="23"/>
      <c r="R61" s="23"/>
      <c r="S61" s="23"/>
      <c r="T61" s="23"/>
      <c r="U61" s="23"/>
      <c r="V61" s="23"/>
      <c r="W61" s="23"/>
      <c r="X61" s="23"/>
      <c r="Y61" s="23"/>
      <c r="Z61" s="23"/>
      <c r="AA61" s="11"/>
    </row>
    <row r="62" spans="2:27" ht="14.25" x14ac:dyDescent="0.2">
      <c r="B62" s="24"/>
      <c r="C62" s="45"/>
      <c r="D62" s="23"/>
      <c r="E62" s="23"/>
      <c r="F62" s="23"/>
      <c r="G62" s="23"/>
      <c r="H62" s="23"/>
      <c r="I62" s="23"/>
      <c r="J62" s="23"/>
      <c r="K62" s="23"/>
      <c r="L62" s="23"/>
      <c r="M62" s="23"/>
      <c r="N62" s="23"/>
      <c r="O62" s="23"/>
      <c r="P62" s="23"/>
      <c r="Q62" s="23"/>
      <c r="R62" s="23"/>
      <c r="S62" s="23"/>
      <c r="T62" s="23"/>
      <c r="U62" s="23"/>
      <c r="V62" s="23"/>
      <c r="W62" s="23"/>
      <c r="X62" s="23"/>
      <c r="Y62" s="23"/>
      <c r="Z62" s="23"/>
      <c r="AA62" s="11"/>
    </row>
    <row r="63" spans="2:27" x14ac:dyDescent="0.2">
      <c r="B63" s="24"/>
      <c r="C63" s="470"/>
      <c r="D63" s="470"/>
      <c r="E63" s="470"/>
      <c r="F63" s="470"/>
      <c r="G63" s="470"/>
      <c r="H63" s="470"/>
      <c r="I63" s="470"/>
      <c r="J63" s="470"/>
      <c r="K63" s="470"/>
      <c r="L63" s="470"/>
      <c r="M63" s="470"/>
      <c r="N63" s="470"/>
      <c r="O63" s="470"/>
      <c r="P63" s="470"/>
      <c r="Q63" s="470"/>
      <c r="R63" s="23"/>
      <c r="S63" s="23"/>
      <c r="T63" s="23"/>
      <c r="U63" s="23"/>
      <c r="V63" s="23"/>
      <c r="W63" s="23"/>
      <c r="X63" s="23"/>
      <c r="Y63" s="23"/>
      <c r="Z63" s="23"/>
      <c r="AA63" s="11"/>
    </row>
    <row r="64" spans="2:27" x14ac:dyDescent="0.2">
      <c r="B64" s="24"/>
      <c r="C64" s="470"/>
      <c r="D64" s="470"/>
      <c r="E64" s="470"/>
      <c r="F64" s="470"/>
      <c r="G64" s="470"/>
      <c r="H64" s="470"/>
      <c r="I64" s="470"/>
      <c r="J64" s="470"/>
      <c r="K64" s="470"/>
      <c r="L64" s="470"/>
      <c r="M64" s="470"/>
      <c r="N64" s="470"/>
      <c r="O64" s="470"/>
      <c r="P64" s="470"/>
      <c r="Q64" s="470"/>
      <c r="R64" s="23"/>
      <c r="S64" s="23"/>
      <c r="T64" s="23"/>
      <c r="U64" s="23"/>
      <c r="V64" s="23"/>
      <c r="W64" s="23"/>
      <c r="X64" s="23"/>
      <c r="Y64" s="23"/>
      <c r="Z64" s="23"/>
      <c r="AA64" s="11"/>
    </row>
    <row r="65" spans="2:27" x14ac:dyDescent="0.2">
      <c r="B65" s="24"/>
      <c r="C65" s="470"/>
      <c r="D65" s="470"/>
      <c r="E65" s="470"/>
      <c r="F65" s="470"/>
      <c r="G65" s="470"/>
      <c r="H65" s="470"/>
      <c r="I65" s="470"/>
      <c r="J65" s="470"/>
      <c r="K65" s="470"/>
      <c r="L65" s="470"/>
      <c r="M65" s="470"/>
      <c r="N65" s="470"/>
      <c r="O65" s="470"/>
      <c r="P65" s="470"/>
      <c r="Q65" s="470"/>
      <c r="R65" s="23"/>
      <c r="S65" s="23"/>
      <c r="T65" s="23"/>
      <c r="U65" s="23"/>
      <c r="V65" s="23"/>
      <c r="W65" s="23"/>
      <c r="X65" s="23"/>
      <c r="Y65" s="23"/>
      <c r="Z65" s="23"/>
      <c r="AA65" s="11"/>
    </row>
    <row r="66" spans="2:27" x14ac:dyDescent="0.2">
      <c r="B66" s="24"/>
      <c r="C66" s="470"/>
      <c r="D66" s="470"/>
      <c r="E66" s="470"/>
      <c r="F66" s="470"/>
      <c r="G66" s="470"/>
      <c r="H66" s="470"/>
      <c r="I66" s="470"/>
      <c r="J66" s="470"/>
      <c r="K66" s="470"/>
      <c r="L66" s="470"/>
      <c r="M66" s="470"/>
      <c r="N66" s="470"/>
      <c r="O66" s="470"/>
      <c r="P66" s="470"/>
      <c r="Q66" s="470"/>
      <c r="R66" s="23"/>
      <c r="S66" s="23"/>
      <c r="T66" s="23"/>
      <c r="U66" s="23"/>
      <c r="V66" s="23"/>
      <c r="W66" s="23"/>
      <c r="X66" s="23"/>
      <c r="Y66" s="23"/>
      <c r="Z66" s="23"/>
      <c r="AA66" s="11"/>
    </row>
    <row r="67" spans="2:27" x14ac:dyDescent="0.2">
      <c r="B67" s="24"/>
      <c r="C67" s="470"/>
      <c r="D67" s="470"/>
      <c r="E67" s="470"/>
      <c r="F67" s="470"/>
      <c r="G67" s="470"/>
      <c r="H67" s="470"/>
      <c r="I67" s="470"/>
      <c r="J67" s="470"/>
      <c r="K67" s="470"/>
      <c r="L67" s="470"/>
      <c r="M67" s="470"/>
      <c r="N67" s="470"/>
      <c r="O67" s="470"/>
      <c r="P67" s="470"/>
      <c r="Q67" s="470"/>
      <c r="R67" s="23"/>
      <c r="S67" s="23"/>
      <c r="T67" s="23"/>
      <c r="U67" s="23"/>
      <c r="V67" s="23"/>
      <c r="W67" s="23"/>
      <c r="X67" s="23"/>
      <c r="Y67" s="23"/>
      <c r="Z67" s="23"/>
      <c r="AA67" s="11"/>
    </row>
    <row r="68" spans="2:27" x14ac:dyDescent="0.2">
      <c r="B68" s="24"/>
      <c r="C68" s="470"/>
      <c r="D68" s="470"/>
      <c r="E68" s="470"/>
      <c r="F68" s="470"/>
      <c r="G68" s="470"/>
      <c r="H68" s="470"/>
      <c r="I68" s="470"/>
      <c r="J68" s="470"/>
      <c r="K68" s="470"/>
      <c r="L68" s="470"/>
      <c r="M68" s="470"/>
      <c r="N68" s="470"/>
      <c r="O68" s="470"/>
      <c r="P68" s="470"/>
      <c r="Q68" s="470"/>
      <c r="R68" s="23"/>
      <c r="S68" s="23"/>
      <c r="T68" s="23"/>
      <c r="U68" s="23"/>
      <c r="V68" s="23"/>
      <c r="W68" s="23"/>
      <c r="X68" s="23"/>
      <c r="Y68" s="23"/>
      <c r="Z68" s="23"/>
      <c r="AA68" s="11"/>
    </row>
    <row r="69" spans="2:27" x14ac:dyDescent="0.2">
      <c r="B69" s="24"/>
      <c r="C69" s="470"/>
      <c r="D69" s="470"/>
      <c r="E69" s="470"/>
      <c r="F69" s="470"/>
      <c r="G69" s="470"/>
      <c r="H69" s="470"/>
      <c r="I69" s="470"/>
      <c r="J69" s="470"/>
      <c r="K69" s="470"/>
      <c r="L69" s="470"/>
      <c r="M69" s="470"/>
      <c r="N69" s="470"/>
      <c r="O69" s="470"/>
      <c r="P69" s="470"/>
      <c r="Q69" s="470"/>
      <c r="R69" s="23"/>
      <c r="S69" s="23"/>
      <c r="T69" s="23"/>
      <c r="U69" s="23"/>
      <c r="V69" s="23"/>
      <c r="W69" s="23"/>
      <c r="X69" s="23"/>
      <c r="Y69" s="23"/>
      <c r="Z69" s="23"/>
      <c r="AA69" s="11"/>
    </row>
    <row r="70" spans="2:27" x14ac:dyDescent="0.2">
      <c r="B70" s="24"/>
      <c r="C70" s="470"/>
      <c r="D70" s="470"/>
      <c r="E70" s="470"/>
      <c r="F70" s="470"/>
      <c r="G70" s="470"/>
      <c r="H70" s="470"/>
      <c r="I70" s="470"/>
      <c r="J70" s="470"/>
      <c r="K70" s="470"/>
      <c r="L70" s="470"/>
      <c r="M70" s="470"/>
      <c r="N70" s="470"/>
      <c r="O70" s="470"/>
      <c r="P70" s="470"/>
      <c r="Q70" s="470"/>
      <c r="R70" s="23"/>
      <c r="S70" s="23"/>
      <c r="T70" s="23"/>
      <c r="U70" s="23"/>
      <c r="V70" s="23"/>
      <c r="W70" s="23"/>
      <c r="X70" s="23"/>
      <c r="Y70" s="23"/>
      <c r="Z70" s="23"/>
      <c r="AA70" s="11"/>
    </row>
    <row r="71" spans="2:27" x14ac:dyDescent="0.2">
      <c r="B71" s="24"/>
      <c r="C71" s="470"/>
      <c r="D71" s="470"/>
      <c r="E71" s="470"/>
      <c r="F71" s="470"/>
      <c r="G71" s="470"/>
      <c r="H71" s="470"/>
      <c r="I71" s="470"/>
      <c r="J71" s="470"/>
      <c r="K71" s="470"/>
      <c r="L71" s="470"/>
      <c r="M71" s="470"/>
      <c r="N71" s="470"/>
      <c r="O71" s="470"/>
      <c r="P71" s="470"/>
      <c r="Q71" s="470"/>
      <c r="R71" s="23"/>
      <c r="S71" s="23"/>
      <c r="T71" s="23"/>
      <c r="U71" s="23"/>
      <c r="V71" s="23"/>
      <c r="W71" s="23"/>
      <c r="X71" s="23"/>
      <c r="Y71" s="23"/>
      <c r="Z71" s="23"/>
      <c r="AA71" s="11"/>
    </row>
    <row r="72" spans="2:27" x14ac:dyDescent="0.2">
      <c r="B72" s="24"/>
      <c r="C72" s="470"/>
      <c r="D72" s="470"/>
      <c r="E72" s="470"/>
      <c r="F72" s="470"/>
      <c r="G72" s="470"/>
      <c r="H72" s="470"/>
      <c r="I72" s="470"/>
      <c r="J72" s="470"/>
      <c r="K72" s="470"/>
      <c r="L72" s="470"/>
      <c r="M72" s="470"/>
      <c r="N72" s="470"/>
      <c r="O72" s="470"/>
      <c r="P72" s="470"/>
      <c r="Q72" s="470"/>
      <c r="R72" s="23"/>
      <c r="S72" s="23"/>
      <c r="T72" s="23"/>
      <c r="U72" s="23"/>
      <c r="V72" s="23"/>
      <c r="W72" s="23"/>
      <c r="X72" s="23"/>
      <c r="Y72" s="23"/>
      <c r="Z72" s="23"/>
      <c r="AA72" s="11"/>
    </row>
    <row r="73" spans="2:27" x14ac:dyDescent="0.2">
      <c r="B73" s="24"/>
      <c r="C73" s="470"/>
      <c r="D73" s="470"/>
      <c r="E73" s="470"/>
      <c r="F73" s="470"/>
      <c r="G73" s="470"/>
      <c r="H73" s="470"/>
      <c r="I73" s="470"/>
      <c r="J73" s="470"/>
      <c r="K73" s="470"/>
      <c r="L73" s="470"/>
      <c r="M73" s="470"/>
      <c r="N73" s="470"/>
      <c r="O73" s="470"/>
      <c r="P73" s="470"/>
      <c r="Q73" s="470"/>
      <c r="R73" s="23"/>
      <c r="S73" s="23"/>
      <c r="T73" s="23"/>
      <c r="U73" s="23"/>
      <c r="V73" s="23"/>
      <c r="W73" s="23"/>
      <c r="X73" s="23"/>
      <c r="Y73" s="23"/>
      <c r="Z73" s="23"/>
      <c r="AA73" s="11"/>
    </row>
    <row r="74" spans="2:27" x14ac:dyDescent="0.2">
      <c r="B74" s="24"/>
      <c r="C74" s="470"/>
      <c r="D74" s="470"/>
      <c r="E74" s="470"/>
      <c r="F74" s="470"/>
      <c r="G74" s="470"/>
      <c r="H74" s="470"/>
      <c r="I74" s="470"/>
      <c r="J74" s="470"/>
      <c r="K74" s="470"/>
      <c r="L74" s="470"/>
      <c r="M74" s="470"/>
      <c r="N74" s="470"/>
      <c r="O74" s="470"/>
      <c r="P74" s="470"/>
      <c r="Q74" s="470"/>
      <c r="R74" s="23"/>
      <c r="S74" s="23"/>
      <c r="T74" s="23"/>
      <c r="U74" s="23"/>
      <c r="V74" s="23"/>
      <c r="W74" s="23"/>
      <c r="X74" s="23"/>
      <c r="Y74" s="23"/>
      <c r="Z74" s="23"/>
      <c r="AA74" s="11"/>
    </row>
    <row r="75" spans="2:27" x14ac:dyDescent="0.2">
      <c r="B75" s="24"/>
      <c r="C75" s="470"/>
      <c r="D75" s="470"/>
      <c r="E75" s="470"/>
      <c r="F75" s="470"/>
      <c r="G75" s="470"/>
      <c r="H75" s="470"/>
      <c r="I75" s="470"/>
      <c r="J75" s="470"/>
      <c r="K75" s="470"/>
      <c r="L75" s="470"/>
      <c r="M75" s="470"/>
      <c r="N75" s="470"/>
      <c r="O75" s="470"/>
      <c r="P75" s="470"/>
      <c r="Q75" s="470"/>
      <c r="R75" s="23"/>
      <c r="S75" s="23"/>
      <c r="T75" s="23"/>
      <c r="U75" s="23"/>
      <c r="V75" s="23"/>
      <c r="W75" s="23"/>
      <c r="X75" s="23"/>
      <c r="Y75" s="23"/>
      <c r="Z75" s="23"/>
      <c r="AA75" s="11"/>
    </row>
    <row r="76" spans="2:27" x14ac:dyDescent="0.2">
      <c r="B76" s="24"/>
      <c r="C76" s="470"/>
      <c r="D76" s="470"/>
      <c r="E76" s="470"/>
      <c r="F76" s="470"/>
      <c r="G76" s="470"/>
      <c r="H76" s="470"/>
      <c r="I76" s="470"/>
      <c r="J76" s="470"/>
      <c r="K76" s="470"/>
      <c r="L76" s="470"/>
      <c r="M76" s="470"/>
      <c r="N76" s="470"/>
      <c r="O76" s="470"/>
      <c r="P76" s="470"/>
      <c r="Q76" s="470"/>
      <c r="R76" s="23"/>
      <c r="S76" s="23"/>
      <c r="T76" s="23"/>
      <c r="U76" s="23"/>
      <c r="V76" s="23"/>
      <c r="W76" s="23"/>
      <c r="X76" s="23"/>
      <c r="Y76" s="23"/>
      <c r="Z76" s="23"/>
      <c r="AA76" s="11"/>
    </row>
    <row r="77" spans="2:27" x14ac:dyDescent="0.2">
      <c r="B77" s="24"/>
      <c r="C77" s="470"/>
      <c r="D77" s="470"/>
      <c r="E77" s="470"/>
      <c r="F77" s="470"/>
      <c r="G77" s="470"/>
      <c r="H77" s="470"/>
      <c r="I77" s="470"/>
      <c r="J77" s="470"/>
      <c r="K77" s="470"/>
      <c r="L77" s="470"/>
      <c r="M77" s="470"/>
      <c r="N77" s="470"/>
      <c r="O77" s="470"/>
      <c r="P77" s="470"/>
      <c r="Q77" s="470"/>
      <c r="R77" s="23"/>
      <c r="S77" s="23"/>
      <c r="T77" s="23"/>
      <c r="U77" s="23"/>
      <c r="V77" s="23"/>
      <c r="W77" s="23"/>
      <c r="X77" s="23"/>
      <c r="Y77" s="23"/>
      <c r="Z77" s="23"/>
      <c r="AA77" s="11"/>
    </row>
    <row r="78" spans="2:27" x14ac:dyDescent="0.2">
      <c r="B78" s="24"/>
      <c r="C78" s="470"/>
      <c r="D78" s="470"/>
      <c r="E78" s="470"/>
      <c r="F78" s="470"/>
      <c r="G78" s="470"/>
      <c r="H78" s="470"/>
      <c r="I78" s="470"/>
      <c r="J78" s="470"/>
      <c r="K78" s="470"/>
      <c r="L78" s="470"/>
      <c r="M78" s="470"/>
      <c r="N78" s="470"/>
      <c r="O78" s="470"/>
      <c r="P78" s="470"/>
      <c r="Q78" s="470"/>
      <c r="R78" s="23"/>
      <c r="S78" s="23"/>
      <c r="T78" s="23"/>
      <c r="U78" s="23"/>
      <c r="V78" s="23"/>
      <c r="W78" s="23"/>
      <c r="X78" s="23"/>
      <c r="Y78" s="23"/>
      <c r="Z78" s="23"/>
      <c r="AA78" s="11"/>
    </row>
    <row r="79" spans="2:27" x14ac:dyDescent="0.2">
      <c r="B79" s="24"/>
      <c r="C79" s="23"/>
      <c r="D79" s="23"/>
      <c r="E79" s="23"/>
      <c r="F79" s="23"/>
      <c r="G79" s="23"/>
      <c r="H79" s="23"/>
      <c r="I79" s="23"/>
      <c r="J79" s="23"/>
      <c r="K79" s="23"/>
      <c r="L79" s="23"/>
      <c r="M79" s="23"/>
      <c r="N79" s="23"/>
      <c r="O79" s="23"/>
      <c r="P79" s="23"/>
      <c r="Q79" s="23"/>
      <c r="R79" s="23"/>
      <c r="S79" s="23"/>
      <c r="T79" s="23"/>
      <c r="U79" s="23"/>
      <c r="V79" s="23"/>
      <c r="W79" s="23"/>
      <c r="X79" s="23"/>
      <c r="Y79" s="23"/>
      <c r="Z79" s="23"/>
      <c r="AA79" s="11"/>
    </row>
    <row r="80" spans="2:27" x14ac:dyDescent="0.2">
      <c r="B80" s="24"/>
      <c r="C80" s="23"/>
      <c r="D80" s="23"/>
      <c r="E80" s="23"/>
      <c r="F80" s="23"/>
      <c r="G80" s="23"/>
      <c r="H80" s="23"/>
      <c r="I80" s="23"/>
      <c r="J80" s="23"/>
      <c r="K80" s="23"/>
      <c r="L80" s="23"/>
      <c r="M80" s="23"/>
      <c r="N80" s="23"/>
      <c r="O80" s="23"/>
      <c r="P80" s="23"/>
      <c r="Q80" s="23"/>
      <c r="R80" s="23"/>
      <c r="S80" s="23"/>
      <c r="T80" s="23"/>
      <c r="U80" s="23"/>
      <c r="V80" s="23"/>
      <c r="W80" s="23"/>
      <c r="X80" s="23"/>
      <c r="Y80" s="23"/>
      <c r="Z80" s="23"/>
      <c r="AA80" s="11"/>
    </row>
    <row r="81" spans="2:27" x14ac:dyDescent="0.2">
      <c r="B81" s="24"/>
      <c r="C81" s="23"/>
      <c r="D81" s="23"/>
      <c r="E81" s="23"/>
      <c r="F81" s="23"/>
      <c r="G81" s="23"/>
      <c r="H81" s="23"/>
      <c r="I81" s="23"/>
      <c r="J81" s="23"/>
      <c r="K81" s="23"/>
      <c r="L81" s="23"/>
      <c r="M81" s="23"/>
      <c r="N81" s="23"/>
      <c r="O81" s="23"/>
      <c r="P81" s="23"/>
      <c r="Q81" s="23"/>
      <c r="R81" s="23"/>
      <c r="S81" s="23"/>
      <c r="T81" s="23"/>
      <c r="U81" s="23"/>
      <c r="V81" s="23"/>
      <c r="W81" s="23"/>
      <c r="X81" s="23"/>
      <c r="Y81" s="23"/>
      <c r="Z81" s="23"/>
      <c r="AA81" s="11"/>
    </row>
    <row r="82" spans="2:27" x14ac:dyDescent="0.2">
      <c r="B82" s="24"/>
      <c r="C82" s="23"/>
      <c r="D82" s="23"/>
      <c r="E82" s="23"/>
      <c r="F82" s="23"/>
      <c r="G82" s="23"/>
      <c r="H82" s="23"/>
      <c r="I82" s="23"/>
      <c r="J82" s="23"/>
      <c r="K82" s="23"/>
      <c r="L82" s="23"/>
      <c r="M82" s="23"/>
      <c r="N82" s="23"/>
      <c r="O82" s="23"/>
      <c r="P82" s="23"/>
      <c r="Q82" s="23"/>
      <c r="R82" s="23"/>
      <c r="S82" s="23"/>
      <c r="T82" s="23"/>
      <c r="U82" s="23"/>
      <c r="V82" s="23"/>
      <c r="W82" s="23"/>
      <c r="X82" s="23"/>
      <c r="Y82" s="23"/>
      <c r="Z82" s="23"/>
      <c r="AA82" s="11"/>
    </row>
    <row r="83" spans="2:27" x14ac:dyDescent="0.2">
      <c r="B83" s="24"/>
      <c r="C83" s="23"/>
      <c r="D83" s="23"/>
      <c r="E83" s="23"/>
      <c r="F83" s="23"/>
      <c r="G83" s="23"/>
      <c r="H83" s="23"/>
      <c r="I83" s="23"/>
      <c r="J83" s="23"/>
      <c r="K83" s="23"/>
      <c r="L83" s="23"/>
      <c r="M83" s="23"/>
      <c r="N83" s="23"/>
      <c r="O83" s="23"/>
      <c r="P83" s="23"/>
      <c r="Q83" s="23"/>
      <c r="R83" s="23"/>
      <c r="S83" s="23"/>
      <c r="T83" s="23"/>
      <c r="U83" s="23"/>
      <c r="V83" s="23"/>
      <c r="W83" s="23"/>
      <c r="X83" s="23"/>
      <c r="Y83" s="23"/>
      <c r="Z83" s="23"/>
      <c r="AA83" s="11"/>
    </row>
    <row r="84" spans="2:27" x14ac:dyDescent="0.2">
      <c r="B84" s="24"/>
      <c r="C84" s="23"/>
      <c r="D84" s="23"/>
      <c r="E84" s="23"/>
      <c r="F84" s="23"/>
      <c r="G84" s="23"/>
      <c r="H84" s="23"/>
      <c r="I84" s="23"/>
      <c r="J84" s="23"/>
      <c r="K84" s="23"/>
      <c r="L84" s="23"/>
      <c r="M84" s="23"/>
      <c r="N84" s="23"/>
      <c r="O84" s="23"/>
      <c r="P84" s="23"/>
      <c r="Q84" s="23"/>
      <c r="R84" s="23"/>
      <c r="S84" s="23"/>
      <c r="T84" s="23"/>
      <c r="U84" s="23"/>
      <c r="V84" s="23"/>
      <c r="W84" s="23"/>
      <c r="X84" s="23"/>
      <c r="Y84" s="23"/>
      <c r="Z84" s="23"/>
      <c r="AA84" s="11"/>
    </row>
    <row r="85" spans="2:27" x14ac:dyDescent="0.2">
      <c r="B85" s="24"/>
      <c r="C85" s="23"/>
      <c r="D85" s="23"/>
      <c r="E85" s="23"/>
      <c r="F85" s="23"/>
      <c r="G85" s="23"/>
      <c r="H85" s="23"/>
      <c r="I85" s="23"/>
      <c r="J85" s="23"/>
      <c r="K85" s="23"/>
      <c r="L85" s="23"/>
      <c r="M85" s="23"/>
      <c r="N85" s="23"/>
      <c r="O85" s="23"/>
      <c r="P85" s="23"/>
      <c r="Q85" s="23"/>
      <c r="R85" s="23"/>
      <c r="S85" s="23"/>
      <c r="T85" s="23"/>
      <c r="U85" s="23"/>
      <c r="V85" s="23"/>
      <c r="W85" s="23"/>
      <c r="X85" s="23"/>
      <c r="Y85" s="23"/>
      <c r="Z85" s="23"/>
      <c r="AA85" s="11"/>
    </row>
    <row r="86" spans="2:27" x14ac:dyDescent="0.2">
      <c r="B86" s="24"/>
      <c r="C86" s="23"/>
      <c r="D86" s="23"/>
      <c r="E86" s="23"/>
      <c r="F86" s="23"/>
      <c r="G86" s="23"/>
      <c r="H86" s="23"/>
      <c r="I86" s="23"/>
      <c r="J86" s="23"/>
      <c r="K86" s="23"/>
      <c r="L86" s="23"/>
      <c r="M86" s="23"/>
      <c r="N86" s="23"/>
      <c r="O86" s="23"/>
      <c r="P86" s="23"/>
      <c r="Q86" s="23"/>
      <c r="R86" s="23"/>
      <c r="S86" s="23"/>
      <c r="T86" s="23"/>
      <c r="U86" s="23"/>
      <c r="V86" s="23"/>
      <c r="W86" s="23"/>
      <c r="X86" s="23"/>
      <c r="Y86" s="23"/>
      <c r="Z86" s="23"/>
      <c r="AA86" s="11"/>
    </row>
    <row r="87" spans="2:27" x14ac:dyDescent="0.2">
      <c r="B87" s="24"/>
      <c r="C87" s="23"/>
      <c r="D87" s="23"/>
      <c r="E87" s="23"/>
      <c r="F87" s="23"/>
      <c r="G87" s="23"/>
      <c r="H87" s="23"/>
      <c r="I87" s="23"/>
      <c r="J87" s="23"/>
      <c r="K87" s="23"/>
      <c r="L87" s="23"/>
      <c r="M87" s="23"/>
      <c r="N87" s="23"/>
      <c r="O87" s="23"/>
      <c r="P87" s="23"/>
      <c r="Q87" s="23"/>
      <c r="R87" s="23"/>
      <c r="S87" s="23"/>
      <c r="T87" s="23"/>
      <c r="U87" s="23"/>
      <c r="V87" s="23"/>
      <c r="W87" s="23"/>
      <c r="X87" s="23"/>
      <c r="Y87" s="23"/>
      <c r="Z87" s="23"/>
      <c r="AA87" s="11"/>
    </row>
    <row r="88" spans="2:27" x14ac:dyDescent="0.2">
      <c r="B88" s="24"/>
      <c r="C88" s="23"/>
      <c r="D88" s="23"/>
      <c r="E88" s="23"/>
      <c r="F88" s="23"/>
      <c r="G88" s="23"/>
      <c r="H88" s="23"/>
      <c r="I88" s="23"/>
      <c r="J88" s="23"/>
      <c r="K88" s="23"/>
      <c r="L88" s="23"/>
      <c r="M88" s="23"/>
      <c r="N88" s="23"/>
      <c r="O88" s="23"/>
      <c r="P88" s="23"/>
      <c r="Q88" s="23"/>
      <c r="R88" s="23"/>
      <c r="S88" s="23"/>
      <c r="T88" s="23"/>
      <c r="U88" s="23"/>
      <c r="V88" s="23"/>
      <c r="W88" s="23"/>
      <c r="X88" s="23"/>
      <c r="Y88" s="23"/>
      <c r="Z88" s="23"/>
      <c r="AA88" s="11"/>
    </row>
    <row r="89" spans="2:27" x14ac:dyDescent="0.2">
      <c r="B89" s="24"/>
      <c r="C89" s="23"/>
      <c r="D89" s="23"/>
      <c r="E89" s="23"/>
      <c r="F89" s="23"/>
      <c r="G89" s="23"/>
      <c r="H89" s="23"/>
      <c r="I89" s="23"/>
      <c r="J89" s="23"/>
      <c r="K89" s="23"/>
      <c r="L89" s="23"/>
      <c r="M89" s="23"/>
      <c r="N89" s="23"/>
      <c r="O89" s="23"/>
      <c r="P89" s="23"/>
      <c r="Q89" s="23"/>
      <c r="R89" s="23"/>
      <c r="S89" s="23"/>
      <c r="T89" s="23"/>
      <c r="U89" s="23"/>
      <c r="V89" s="23"/>
      <c r="W89" s="23"/>
      <c r="X89" s="23"/>
      <c r="Y89" s="23"/>
      <c r="Z89" s="23"/>
      <c r="AA89" s="11"/>
    </row>
    <row r="90" spans="2:27" x14ac:dyDescent="0.2">
      <c r="B90" s="24"/>
      <c r="C90" s="23"/>
      <c r="D90" s="23"/>
      <c r="E90" s="23"/>
      <c r="F90" s="23"/>
      <c r="G90" s="23"/>
      <c r="H90" s="23"/>
      <c r="I90" s="23"/>
      <c r="J90" s="23"/>
      <c r="K90" s="23"/>
      <c r="L90" s="23"/>
      <c r="M90" s="23"/>
      <c r="N90" s="23"/>
      <c r="O90" s="23"/>
      <c r="P90" s="23"/>
      <c r="Q90" s="23"/>
      <c r="R90" s="23"/>
      <c r="S90" s="23"/>
      <c r="T90" s="23"/>
      <c r="U90" s="23"/>
      <c r="V90" s="23"/>
      <c r="W90" s="23"/>
      <c r="X90" s="23"/>
      <c r="Y90" s="23"/>
      <c r="Z90" s="23"/>
      <c r="AA90" s="11"/>
    </row>
    <row r="91" spans="2:27" x14ac:dyDescent="0.2">
      <c r="B91" s="24"/>
      <c r="C91" s="23"/>
      <c r="D91" s="23"/>
      <c r="E91" s="23"/>
      <c r="F91" s="23"/>
      <c r="G91" s="23"/>
      <c r="H91" s="23"/>
      <c r="I91" s="23"/>
      <c r="J91" s="23"/>
      <c r="K91" s="23"/>
      <c r="L91" s="23"/>
      <c r="M91" s="23"/>
      <c r="N91" s="23"/>
      <c r="O91" s="23"/>
      <c r="P91" s="23"/>
      <c r="Q91" s="23"/>
      <c r="R91" s="23"/>
      <c r="S91" s="23"/>
      <c r="T91" s="23"/>
      <c r="U91" s="23"/>
      <c r="V91" s="23"/>
      <c r="W91" s="23"/>
      <c r="X91" s="23"/>
      <c r="Y91" s="23"/>
      <c r="Z91" s="23"/>
      <c r="AA91" s="11"/>
    </row>
    <row r="92" spans="2:27" x14ac:dyDescent="0.2">
      <c r="B92" s="24"/>
      <c r="C92" s="23"/>
      <c r="D92" s="23"/>
      <c r="E92" s="23"/>
      <c r="F92" s="23"/>
      <c r="G92" s="23"/>
      <c r="H92" s="23"/>
      <c r="I92" s="23"/>
      <c r="J92" s="23"/>
      <c r="K92" s="23"/>
      <c r="L92" s="23"/>
      <c r="M92" s="23"/>
      <c r="N92" s="23"/>
      <c r="O92" s="23"/>
      <c r="P92" s="23"/>
      <c r="Q92" s="23"/>
      <c r="R92" s="23"/>
      <c r="S92" s="23"/>
      <c r="T92" s="23"/>
      <c r="U92" s="23"/>
      <c r="V92" s="23"/>
      <c r="W92" s="23"/>
      <c r="X92" s="23"/>
      <c r="Y92" s="23"/>
      <c r="Z92" s="23"/>
      <c r="AA92" s="11"/>
    </row>
    <row r="93" spans="2:27" x14ac:dyDescent="0.2">
      <c r="B93" s="24"/>
      <c r="C93" s="23"/>
      <c r="D93" s="23"/>
      <c r="E93" s="23"/>
      <c r="F93" s="23"/>
      <c r="G93" s="23"/>
      <c r="H93" s="23"/>
      <c r="I93" s="23"/>
      <c r="J93" s="23"/>
      <c r="K93" s="23"/>
      <c r="L93" s="23"/>
      <c r="M93" s="23"/>
      <c r="N93" s="23"/>
      <c r="O93" s="23"/>
      <c r="P93" s="23"/>
      <c r="Q93" s="23"/>
      <c r="R93" s="23"/>
      <c r="S93" s="23"/>
      <c r="T93" s="23"/>
      <c r="U93" s="23"/>
      <c r="V93" s="23"/>
      <c r="W93" s="23"/>
      <c r="X93" s="23"/>
      <c r="Y93" s="23"/>
      <c r="Z93" s="23"/>
      <c r="AA93" s="11"/>
    </row>
    <row r="94" spans="2:27" x14ac:dyDescent="0.2">
      <c r="B94" s="24"/>
      <c r="C94" s="23"/>
      <c r="D94" s="23"/>
      <c r="E94" s="23"/>
      <c r="F94" s="23"/>
      <c r="G94" s="23"/>
      <c r="H94" s="23"/>
      <c r="I94" s="23"/>
      <c r="J94" s="23"/>
      <c r="K94" s="23"/>
      <c r="L94" s="23"/>
      <c r="M94" s="23"/>
      <c r="N94" s="23"/>
      <c r="O94" s="23"/>
      <c r="P94" s="23"/>
      <c r="Q94" s="23"/>
      <c r="R94" s="23"/>
      <c r="S94" s="23"/>
      <c r="T94" s="23"/>
      <c r="U94" s="23"/>
      <c r="V94" s="23"/>
      <c r="W94" s="23"/>
      <c r="X94" s="23"/>
      <c r="Y94" s="23"/>
      <c r="Z94" s="23"/>
      <c r="AA94" s="11"/>
    </row>
    <row r="95" spans="2:27" x14ac:dyDescent="0.2">
      <c r="B95" s="24"/>
      <c r="C95" s="23"/>
      <c r="D95" s="23"/>
      <c r="E95" s="23"/>
      <c r="F95" s="23"/>
      <c r="G95" s="23"/>
      <c r="H95" s="23"/>
      <c r="I95" s="23"/>
      <c r="J95" s="23"/>
      <c r="K95" s="23"/>
      <c r="L95" s="23"/>
      <c r="M95" s="23"/>
      <c r="N95" s="23"/>
      <c r="O95" s="23"/>
      <c r="P95" s="23"/>
      <c r="Q95" s="23"/>
      <c r="R95" s="23"/>
      <c r="S95" s="23"/>
      <c r="T95" s="23"/>
      <c r="U95" s="23"/>
      <c r="V95" s="23"/>
      <c r="W95" s="23"/>
      <c r="X95" s="23"/>
      <c r="Y95" s="23"/>
      <c r="Z95" s="23"/>
      <c r="AA95" s="11"/>
    </row>
    <row r="96" spans="2:27" x14ac:dyDescent="0.2">
      <c r="B96" s="24"/>
      <c r="C96" s="23"/>
      <c r="D96" s="23"/>
      <c r="E96" s="23"/>
      <c r="F96" s="23"/>
      <c r="G96" s="23"/>
      <c r="H96" s="23"/>
      <c r="I96" s="23"/>
      <c r="J96" s="23"/>
      <c r="K96" s="23"/>
      <c r="L96" s="23"/>
      <c r="M96" s="23"/>
      <c r="N96" s="23"/>
      <c r="O96" s="23"/>
      <c r="P96" s="23"/>
      <c r="Q96" s="23"/>
      <c r="R96" s="23"/>
      <c r="S96" s="23"/>
      <c r="T96" s="23"/>
      <c r="U96" s="23"/>
      <c r="V96" s="23"/>
      <c r="W96" s="23"/>
      <c r="X96" s="23"/>
      <c r="Y96" s="23"/>
      <c r="Z96" s="23"/>
      <c r="AA96" s="11"/>
    </row>
    <row r="97" spans="2:27" x14ac:dyDescent="0.2">
      <c r="B97" s="24"/>
      <c r="C97" s="23"/>
      <c r="D97" s="23"/>
      <c r="E97" s="23"/>
      <c r="F97" s="23"/>
      <c r="G97" s="23"/>
      <c r="H97" s="23"/>
      <c r="I97" s="23"/>
      <c r="J97" s="23"/>
      <c r="K97" s="23"/>
      <c r="L97" s="23"/>
      <c r="M97" s="23"/>
      <c r="N97" s="23"/>
      <c r="O97" s="23"/>
      <c r="P97" s="23"/>
      <c r="Q97" s="23"/>
      <c r="R97" s="23"/>
      <c r="S97" s="23"/>
      <c r="T97" s="23"/>
      <c r="U97" s="23"/>
      <c r="V97" s="23"/>
      <c r="W97" s="23"/>
      <c r="X97" s="23"/>
      <c r="Y97" s="23"/>
      <c r="Z97" s="23"/>
      <c r="AA97" s="11"/>
    </row>
    <row r="98" spans="2:27" x14ac:dyDescent="0.2">
      <c r="B98" s="24"/>
      <c r="C98" s="23"/>
      <c r="D98" s="23"/>
      <c r="E98" s="23"/>
      <c r="F98" s="23"/>
      <c r="G98" s="23"/>
      <c r="H98" s="23"/>
      <c r="I98" s="23"/>
      <c r="J98" s="23"/>
      <c r="K98" s="23"/>
      <c r="L98" s="23"/>
      <c r="M98" s="23"/>
      <c r="N98" s="23"/>
      <c r="O98" s="23"/>
      <c r="P98" s="23"/>
      <c r="Q98" s="23"/>
      <c r="R98" s="23"/>
      <c r="S98" s="23"/>
      <c r="T98" s="23"/>
      <c r="U98" s="23"/>
      <c r="V98" s="23"/>
      <c r="W98" s="23"/>
      <c r="X98" s="23"/>
      <c r="Y98" s="23"/>
      <c r="Z98" s="23"/>
      <c r="AA98" s="11"/>
    </row>
    <row r="99" spans="2:27" x14ac:dyDescent="0.2">
      <c r="B99" s="24"/>
      <c r="C99" s="23"/>
      <c r="D99" s="23"/>
      <c r="E99" s="23"/>
      <c r="F99" s="23"/>
      <c r="G99" s="23"/>
      <c r="H99" s="23"/>
      <c r="I99" s="23"/>
      <c r="J99" s="23"/>
      <c r="K99" s="23"/>
      <c r="L99" s="23"/>
      <c r="M99" s="23"/>
      <c r="N99" s="23"/>
      <c r="O99" s="23"/>
      <c r="P99" s="23"/>
      <c r="Q99" s="23"/>
      <c r="R99" s="23"/>
      <c r="S99" s="23"/>
      <c r="T99" s="23"/>
      <c r="U99" s="23"/>
      <c r="V99" s="23"/>
      <c r="W99" s="23"/>
      <c r="X99" s="23"/>
      <c r="Y99" s="23"/>
      <c r="Z99" s="23"/>
      <c r="AA99" s="11"/>
    </row>
    <row r="100" spans="2:27" x14ac:dyDescent="0.2">
      <c r="B100" s="49"/>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13"/>
    </row>
  </sheetData>
  <phoneticPr fontId="0"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A100"/>
  <sheetViews>
    <sheetView workbookViewId="0"/>
  </sheetViews>
  <sheetFormatPr defaultColWidth="9.140625" defaultRowHeight="12.75" x14ac:dyDescent="0.2"/>
  <cols>
    <col min="1" max="1" width="12.85546875" style="2" bestFit="1" customWidth="1"/>
    <col min="2" max="2" width="21" style="48" customWidth="1"/>
    <col min="3" max="27" width="9.140625" style="1"/>
    <col min="28" max="16384" width="9.140625" style="2"/>
  </cols>
  <sheetData>
    <row r="1" spans="1:27" ht="14.25" x14ac:dyDescent="0.2">
      <c r="A1" s="196">
        <f ca="1">NOW()</f>
        <v>44631.687362268516</v>
      </c>
      <c r="B1" s="47"/>
      <c r="C1" s="22"/>
      <c r="D1" s="22"/>
      <c r="E1" s="21"/>
      <c r="F1" s="22"/>
      <c r="G1" s="22"/>
      <c r="H1" s="22"/>
      <c r="I1" s="21"/>
      <c r="J1" s="22"/>
      <c r="K1" s="22"/>
      <c r="L1" s="22"/>
    </row>
    <row r="2" spans="1:27" x14ac:dyDescent="0.2">
      <c r="E2" s="52" t="s">
        <v>32</v>
      </c>
      <c r="F2" s="51" t="str">
        <f>'Target Site'!F3</f>
        <v>EXAMPLE CALCULATION</v>
      </c>
    </row>
    <row r="3" spans="1:27" ht="15" x14ac:dyDescent="0.25">
      <c r="D3" s="51" t="s">
        <v>173</v>
      </c>
    </row>
    <row r="4" spans="1:27" x14ac:dyDescent="0.2">
      <c r="AA4" s="43"/>
    </row>
    <row r="5" spans="1:27" x14ac:dyDescent="0.2">
      <c r="B5" s="16"/>
      <c r="C5" s="27"/>
      <c r="D5" s="27"/>
      <c r="E5" s="27"/>
      <c r="F5" s="27"/>
      <c r="G5" s="27"/>
      <c r="H5" s="27"/>
      <c r="I5" s="27"/>
      <c r="J5" s="27"/>
      <c r="K5" s="27"/>
      <c r="L5" s="27"/>
      <c r="M5" s="27"/>
      <c r="N5" s="27"/>
      <c r="O5" s="27"/>
      <c r="P5" s="27"/>
      <c r="Q5" s="27"/>
      <c r="R5" s="27"/>
      <c r="S5" s="27"/>
      <c r="T5" s="27"/>
      <c r="U5" s="27"/>
      <c r="V5" s="27"/>
      <c r="W5" s="27"/>
      <c r="X5" s="27"/>
      <c r="Y5" s="27"/>
      <c r="Z5" s="27"/>
      <c r="AA5" s="9"/>
    </row>
    <row r="6" spans="1:27" x14ac:dyDescent="0.2">
      <c r="B6" s="59"/>
      <c r="C6" s="23"/>
      <c r="D6" s="23"/>
      <c r="E6" s="23"/>
      <c r="F6" s="23"/>
      <c r="G6" s="23"/>
      <c r="H6" s="23"/>
      <c r="I6" s="23"/>
      <c r="J6" s="23"/>
      <c r="K6" s="23"/>
      <c r="L6" s="23"/>
      <c r="M6" s="23"/>
      <c r="N6" s="23"/>
      <c r="O6" s="23"/>
      <c r="P6" s="23"/>
      <c r="Q6" s="23"/>
      <c r="R6" s="23"/>
      <c r="S6" s="23"/>
      <c r="T6" s="23"/>
      <c r="U6" s="23"/>
      <c r="V6" s="23"/>
      <c r="W6" s="23"/>
      <c r="X6" s="23"/>
      <c r="Y6" s="23"/>
      <c r="Z6" s="23"/>
      <c r="AA6" s="23"/>
    </row>
    <row r="7" spans="1:27" x14ac:dyDescent="0.2">
      <c r="B7" s="24"/>
      <c r="C7" s="26"/>
      <c r="D7" s="23"/>
      <c r="E7" s="23"/>
      <c r="F7" s="23"/>
      <c r="G7" s="23"/>
      <c r="H7" s="23"/>
      <c r="I7" s="23"/>
      <c r="J7" s="23"/>
      <c r="K7" s="23"/>
      <c r="L7" s="23"/>
      <c r="M7" s="23"/>
      <c r="N7" s="23"/>
      <c r="O7" s="23"/>
      <c r="P7" s="23"/>
      <c r="Q7" s="23"/>
      <c r="R7" s="23"/>
      <c r="S7" s="23"/>
      <c r="T7" s="23"/>
      <c r="U7" s="23"/>
      <c r="V7" s="23"/>
      <c r="W7" s="23"/>
      <c r="X7" s="23"/>
      <c r="Y7" s="23"/>
      <c r="Z7" s="23"/>
      <c r="AA7" s="11"/>
    </row>
    <row r="8" spans="1:27" x14ac:dyDescent="0.2">
      <c r="B8" s="467"/>
      <c r="C8" s="26"/>
      <c r="D8" s="23"/>
      <c r="E8" s="23"/>
      <c r="F8" s="23"/>
      <c r="G8" s="23"/>
      <c r="H8" s="23"/>
      <c r="I8" s="23"/>
      <c r="J8" s="23"/>
      <c r="K8" s="23"/>
      <c r="L8" s="23"/>
      <c r="M8" s="23"/>
      <c r="N8" s="23"/>
      <c r="O8" s="23"/>
      <c r="P8" s="23"/>
      <c r="Q8" s="23"/>
      <c r="R8" s="23"/>
      <c r="S8" s="23"/>
      <c r="T8" s="23"/>
      <c r="U8" s="23"/>
      <c r="V8" s="23"/>
      <c r="W8" s="23"/>
      <c r="X8" s="23"/>
      <c r="Y8" s="23"/>
      <c r="Z8" s="23"/>
      <c r="AA8" s="11"/>
    </row>
    <row r="9" spans="1:27" x14ac:dyDescent="0.2">
      <c r="B9" s="467"/>
      <c r="C9" s="471"/>
      <c r="D9" s="471"/>
      <c r="E9" s="471"/>
      <c r="F9" s="471"/>
      <c r="G9" s="471"/>
      <c r="H9" s="471"/>
      <c r="I9" s="471"/>
      <c r="J9" s="471"/>
      <c r="K9" s="471"/>
      <c r="L9" s="471"/>
      <c r="M9" s="471"/>
      <c r="N9" s="471"/>
      <c r="O9" s="471"/>
      <c r="P9" s="471"/>
      <c r="Q9" s="471"/>
      <c r="R9" s="53"/>
      <c r="S9" s="53"/>
      <c r="T9" s="23"/>
      <c r="U9" s="23"/>
      <c r="V9" s="23"/>
      <c r="W9" s="23"/>
      <c r="X9" s="23"/>
      <c r="Y9" s="23"/>
      <c r="Z9" s="23"/>
      <c r="AA9" s="11"/>
    </row>
    <row r="10" spans="1:27" x14ac:dyDescent="0.2">
      <c r="B10" s="467"/>
      <c r="C10" s="471"/>
      <c r="D10" s="471"/>
      <c r="E10" s="471"/>
      <c r="F10" s="471"/>
      <c r="G10" s="471"/>
      <c r="H10" s="471"/>
      <c r="I10" s="471"/>
      <c r="J10" s="471"/>
      <c r="K10" s="471"/>
      <c r="L10" s="471"/>
      <c r="M10" s="471"/>
      <c r="N10" s="471"/>
      <c r="O10" s="471"/>
      <c r="P10" s="471"/>
      <c r="Q10" s="471"/>
      <c r="R10" s="53"/>
      <c r="S10" s="53"/>
      <c r="T10" s="23"/>
      <c r="U10" s="23"/>
      <c r="V10" s="23"/>
      <c r="W10" s="23"/>
      <c r="X10" s="23"/>
      <c r="Y10" s="23"/>
      <c r="Z10" s="23"/>
      <c r="AA10" s="11"/>
    </row>
    <row r="11" spans="1:27" x14ac:dyDescent="0.2">
      <c r="B11" s="467"/>
      <c r="C11" s="471"/>
      <c r="D11" s="471"/>
      <c r="E11" s="471"/>
      <c r="F11" s="471"/>
      <c r="G11" s="471"/>
      <c r="H11" s="471"/>
      <c r="I11" s="471"/>
      <c r="J11" s="471"/>
      <c r="K11" s="471"/>
      <c r="L11" s="471"/>
      <c r="M11" s="471"/>
      <c r="N11" s="471"/>
      <c r="O11" s="471"/>
      <c r="P11" s="471"/>
      <c r="Q11" s="471"/>
      <c r="R11" s="53"/>
      <c r="S11" s="53"/>
      <c r="T11" s="23"/>
      <c r="U11" s="23"/>
      <c r="V11" s="23"/>
      <c r="W11" s="23"/>
      <c r="X11" s="23"/>
      <c r="Y11" s="23"/>
      <c r="Z11" s="23"/>
      <c r="AA11" s="11"/>
    </row>
    <row r="12" spans="1:27" x14ac:dyDescent="0.2">
      <c r="B12" s="467"/>
      <c r="C12" s="471"/>
      <c r="D12" s="471"/>
      <c r="E12" s="471"/>
      <c r="F12" s="471"/>
      <c r="G12" s="471"/>
      <c r="H12" s="471"/>
      <c r="I12" s="471"/>
      <c r="J12" s="471"/>
      <c r="K12" s="471"/>
      <c r="L12" s="471"/>
      <c r="M12" s="471"/>
      <c r="N12" s="471"/>
      <c r="O12" s="471"/>
      <c r="P12" s="471"/>
      <c r="Q12" s="471"/>
      <c r="R12" s="53"/>
      <c r="S12" s="53"/>
      <c r="T12" s="23"/>
      <c r="U12" s="23"/>
      <c r="V12" s="23"/>
      <c r="W12" s="23"/>
      <c r="X12" s="23"/>
      <c r="Y12" s="23"/>
      <c r="Z12" s="23"/>
      <c r="AA12" s="11"/>
    </row>
    <row r="13" spans="1:27" x14ac:dyDescent="0.2">
      <c r="B13" s="467"/>
      <c r="C13" s="471"/>
      <c r="D13" s="471"/>
      <c r="E13" s="471"/>
      <c r="F13" s="471"/>
      <c r="G13" s="471"/>
      <c r="H13" s="471"/>
      <c r="I13" s="471"/>
      <c r="J13" s="471"/>
      <c r="K13" s="471"/>
      <c r="L13" s="471"/>
      <c r="M13" s="471"/>
      <c r="N13" s="471"/>
      <c r="O13" s="471"/>
      <c r="P13" s="471"/>
      <c r="Q13" s="471"/>
      <c r="R13" s="53"/>
      <c r="S13" s="53"/>
      <c r="T13" s="23"/>
      <c r="U13" s="23"/>
      <c r="V13" s="23"/>
      <c r="W13" s="23"/>
      <c r="X13" s="23"/>
      <c r="Y13" s="23"/>
      <c r="Z13" s="23"/>
      <c r="AA13" s="11"/>
    </row>
    <row r="14" spans="1:27" x14ac:dyDescent="0.2">
      <c r="B14" s="467"/>
      <c r="C14" s="471"/>
      <c r="D14" s="471"/>
      <c r="E14" s="471"/>
      <c r="F14" s="471"/>
      <c r="G14" s="471"/>
      <c r="H14" s="471"/>
      <c r="I14" s="471"/>
      <c r="J14" s="471"/>
      <c r="K14" s="471"/>
      <c r="L14" s="471"/>
      <c r="M14" s="471"/>
      <c r="N14" s="471"/>
      <c r="O14" s="471"/>
      <c r="P14" s="471"/>
      <c r="Q14" s="471"/>
      <c r="R14" s="53"/>
      <c r="S14" s="53"/>
      <c r="T14" s="23"/>
      <c r="U14" s="23"/>
      <c r="V14" s="23"/>
      <c r="W14" s="23"/>
      <c r="X14" s="23"/>
      <c r="Y14" s="23"/>
      <c r="Z14" s="23"/>
      <c r="AA14" s="11"/>
    </row>
    <row r="15" spans="1:27" x14ac:dyDescent="0.2">
      <c r="B15" s="467"/>
      <c r="C15" s="471"/>
      <c r="D15" s="471"/>
      <c r="E15" s="471"/>
      <c r="F15" s="471"/>
      <c r="G15" s="471"/>
      <c r="H15" s="471"/>
      <c r="I15" s="471"/>
      <c r="J15" s="471"/>
      <c r="K15" s="471"/>
      <c r="L15" s="471"/>
      <c r="M15" s="471"/>
      <c r="N15" s="471"/>
      <c r="O15" s="471"/>
      <c r="P15" s="471"/>
      <c r="Q15" s="471"/>
      <c r="R15" s="23"/>
      <c r="S15" s="23"/>
      <c r="T15" s="23"/>
      <c r="U15" s="23"/>
      <c r="V15" s="23"/>
      <c r="W15" s="23"/>
      <c r="X15" s="23"/>
      <c r="Y15" s="23"/>
      <c r="Z15" s="23"/>
      <c r="AA15" s="11"/>
    </row>
    <row r="16" spans="1:27" x14ac:dyDescent="0.2">
      <c r="B16" s="467"/>
      <c r="C16" s="471"/>
      <c r="D16" s="471"/>
      <c r="E16" s="471"/>
      <c r="F16" s="471"/>
      <c r="G16" s="471"/>
      <c r="H16" s="471"/>
      <c r="I16" s="471"/>
      <c r="J16" s="471"/>
      <c r="K16" s="471"/>
      <c r="L16" s="471"/>
      <c r="M16" s="471"/>
      <c r="N16" s="471"/>
      <c r="O16" s="471"/>
      <c r="P16" s="471"/>
      <c r="Q16" s="471"/>
      <c r="R16" s="23"/>
      <c r="S16" s="23"/>
      <c r="T16" s="23"/>
      <c r="U16" s="23"/>
      <c r="V16" s="23"/>
      <c r="W16" s="23"/>
      <c r="X16" s="23"/>
      <c r="Y16" s="23"/>
      <c r="Z16" s="23"/>
      <c r="AA16" s="11"/>
    </row>
    <row r="17" spans="2:27" x14ac:dyDescent="0.2">
      <c r="B17" s="467"/>
      <c r="C17" s="471"/>
      <c r="D17" s="471"/>
      <c r="E17" s="471"/>
      <c r="F17" s="471"/>
      <c r="G17" s="471"/>
      <c r="H17" s="471"/>
      <c r="I17" s="471"/>
      <c r="J17" s="471"/>
      <c r="K17" s="471"/>
      <c r="L17" s="471"/>
      <c r="M17" s="471"/>
      <c r="N17" s="471"/>
      <c r="O17" s="471"/>
      <c r="P17" s="471"/>
      <c r="Q17" s="471"/>
      <c r="R17" s="54"/>
      <c r="S17" s="54"/>
      <c r="T17" s="23"/>
      <c r="U17" s="23"/>
      <c r="V17" s="23"/>
      <c r="W17" s="23"/>
      <c r="X17" s="23"/>
      <c r="Y17" s="23"/>
      <c r="Z17" s="23"/>
      <c r="AA17" s="11"/>
    </row>
    <row r="18" spans="2:27" x14ac:dyDescent="0.2">
      <c r="B18" s="467"/>
      <c r="C18" s="471"/>
      <c r="D18" s="471"/>
      <c r="E18" s="471"/>
      <c r="F18" s="471"/>
      <c r="G18" s="471"/>
      <c r="H18" s="471"/>
      <c r="I18" s="471"/>
      <c r="J18" s="471"/>
      <c r="K18" s="471"/>
      <c r="L18" s="471"/>
      <c r="M18" s="471"/>
      <c r="N18" s="471"/>
      <c r="O18" s="471"/>
      <c r="P18" s="471"/>
      <c r="Q18" s="471"/>
      <c r="R18" s="54"/>
      <c r="S18" s="54"/>
      <c r="T18" s="23"/>
      <c r="U18" s="23"/>
      <c r="V18" s="23"/>
      <c r="W18" s="23"/>
      <c r="X18" s="23"/>
      <c r="Y18" s="23"/>
      <c r="Z18" s="23"/>
      <c r="AA18" s="11"/>
    </row>
    <row r="19" spans="2:27" x14ac:dyDescent="0.2">
      <c r="B19" s="467"/>
      <c r="C19" s="471"/>
      <c r="D19" s="471"/>
      <c r="E19" s="471"/>
      <c r="F19" s="471"/>
      <c r="G19" s="471"/>
      <c r="H19" s="471"/>
      <c r="I19" s="471"/>
      <c r="J19" s="471"/>
      <c r="K19" s="471"/>
      <c r="L19" s="471"/>
      <c r="M19" s="471"/>
      <c r="N19" s="471"/>
      <c r="O19" s="471"/>
      <c r="P19" s="471"/>
      <c r="Q19" s="471"/>
      <c r="R19" s="54"/>
      <c r="S19" s="54"/>
      <c r="T19" s="23"/>
      <c r="U19" s="23"/>
      <c r="V19" s="23"/>
      <c r="W19" s="23"/>
      <c r="X19" s="23"/>
      <c r="Y19" s="23"/>
      <c r="Z19" s="23"/>
      <c r="AA19" s="11"/>
    </row>
    <row r="20" spans="2:27" x14ac:dyDescent="0.2">
      <c r="B20" s="467"/>
      <c r="C20" s="471"/>
      <c r="D20" s="471"/>
      <c r="E20" s="471"/>
      <c r="F20" s="471"/>
      <c r="G20" s="471"/>
      <c r="H20" s="471"/>
      <c r="I20" s="471"/>
      <c r="J20" s="471"/>
      <c r="K20" s="471"/>
      <c r="L20" s="471"/>
      <c r="M20" s="471"/>
      <c r="N20" s="471"/>
      <c r="O20" s="471"/>
      <c r="P20" s="471"/>
      <c r="Q20" s="471"/>
      <c r="R20" s="54"/>
      <c r="S20" s="54"/>
      <c r="T20" s="23"/>
      <c r="U20" s="23"/>
      <c r="V20" s="23"/>
      <c r="W20" s="23"/>
      <c r="X20" s="23"/>
      <c r="Y20" s="23"/>
      <c r="Z20" s="23"/>
      <c r="AA20" s="11"/>
    </row>
    <row r="21" spans="2:27" x14ac:dyDescent="0.2">
      <c r="B21" s="467"/>
      <c r="C21" s="471"/>
      <c r="D21" s="471"/>
      <c r="E21" s="471"/>
      <c r="F21" s="471"/>
      <c r="G21" s="471"/>
      <c r="H21" s="471"/>
      <c r="I21" s="471"/>
      <c r="J21" s="471"/>
      <c r="K21" s="471"/>
      <c r="L21" s="471"/>
      <c r="M21" s="471"/>
      <c r="N21" s="471"/>
      <c r="O21" s="471"/>
      <c r="P21" s="471"/>
      <c r="Q21" s="471"/>
      <c r="R21" s="54"/>
      <c r="S21" s="54"/>
      <c r="T21" s="23"/>
      <c r="U21" s="23"/>
      <c r="V21" s="23"/>
      <c r="W21" s="23"/>
      <c r="X21" s="23"/>
      <c r="Y21" s="23"/>
      <c r="Z21" s="23"/>
      <c r="AA21" s="11"/>
    </row>
    <row r="22" spans="2:27" x14ac:dyDescent="0.2">
      <c r="B22" s="467"/>
      <c r="C22" s="471"/>
      <c r="D22" s="471"/>
      <c r="E22" s="471"/>
      <c r="F22" s="471"/>
      <c r="G22" s="471"/>
      <c r="H22" s="471"/>
      <c r="I22" s="471"/>
      <c r="J22" s="471"/>
      <c r="K22" s="471"/>
      <c r="L22" s="471"/>
      <c r="M22" s="471"/>
      <c r="N22" s="471"/>
      <c r="O22" s="471"/>
      <c r="P22" s="471"/>
      <c r="Q22" s="471"/>
      <c r="R22" s="54"/>
      <c r="S22" s="54"/>
      <c r="T22" s="23"/>
      <c r="U22" s="23"/>
      <c r="V22" s="23"/>
      <c r="W22" s="23"/>
      <c r="X22" s="23"/>
      <c r="Y22" s="23"/>
      <c r="Z22" s="23"/>
      <c r="AA22" s="11"/>
    </row>
    <row r="23" spans="2:27" x14ac:dyDescent="0.2">
      <c r="B23" s="467"/>
      <c r="C23" s="471"/>
      <c r="D23" s="471"/>
      <c r="E23" s="471"/>
      <c r="F23" s="471"/>
      <c r="G23" s="471"/>
      <c r="H23" s="471"/>
      <c r="I23" s="471"/>
      <c r="J23" s="471"/>
      <c r="K23" s="471"/>
      <c r="L23" s="471"/>
      <c r="M23" s="471"/>
      <c r="N23" s="471"/>
      <c r="O23" s="471"/>
      <c r="P23" s="471"/>
      <c r="Q23" s="471"/>
      <c r="R23" s="23"/>
      <c r="S23" s="23"/>
      <c r="T23" s="23"/>
      <c r="U23" s="23"/>
      <c r="V23" s="23"/>
      <c r="W23" s="23"/>
      <c r="X23" s="23"/>
      <c r="Y23" s="23"/>
      <c r="Z23" s="23"/>
      <c r="AA23" s="11"/>
    </row>
    <row r="24" spans="2:27" x14ac:dyDescent="0.2">
      <c r="B24" s="467"/>
      <c r="C24" s="471"/>
      <c r="D24" s="471"/>
      <c r="E24" s="471"/>
      <c r="F24" s="471"/>
      <c r="G24" s="471"/>
      <c r="H24" s="471"/>
      <c r="I24" s="471"/>
      <c r="J24" s="471"/>
      <c r="K24" s="471"/>
      <c r="L24" s="471"/>
      <c r="M24" s="471"/>
      <c r="N24" s="471"/>
      <c r="O24" s="471"/>
      <c r="P24" s="471"/>
      <c r="Q24" s="471"/>
      <c r="R24" s="23"/>
      <c r="S24" s="23"/>
      <c r="T24" s="23"/>
      <c r="U24" s="23"/>
      <c r="V24" s="23"/>
      <c r="W24" s="23"/>
      <c r="X24" s="23"/>
      <c r="Y24" s="23"/>
      <c r="Z24" s="23"/>
      <c r="AA24" s="11"/>
    </row>
    <row r="25" spans="2:27" x14ac:dyDescent="0.2">
      <c r="B25" s="24"/>
      <c r="C25" s="54"/>
      <c r="D25" s="54"/>
      <c r="E25" s="54"/>
      <c r="F25" s="54"/>
      <c r="G25" s="54"/>
      <c r="H25" s="54"/>
      <c r="I25" s="54"/>
      <c r="J25" s="54"/>
      <c r="K25" s="54"/>
      <c r="L25" s="54"/>
      <c r="M25" s="54"/>
      <c r="N25" s="54"/>
      <c r="O25" s="54"/>
      <c r="P25" s="54"/>
      <c r="Q25" s="54"/>
      <c r="R25" s="54"/>
      <c r="S25" s="54"/>
      <c r="T25" s="23"/>
      <c r="U25" s="23"/>
      <c r="V25" s="23"/>
      <c r="W25" s="23"/>
      <c r="X25" s="23"/>
      <c r="Y25" s="23"/>
      <c r="Z25" s="23"/>
      <c r="AA25" s="11"/>
    </row>
    <row r="26" spans="2:27" ht="14.25" x14ac:dyDescent="0.2">
      <c r="B26" s="24"/>
      <c r="C26" s="55"/>
      <c r="D26" s="54"/>
      <c r="E26" s="54"/>
      <c r="F26" s="54"/>
      <c r="G26" s="54"/>
      <c r="H26" s="54"/>
      <c r="I26" s="54"/>
      <c r="J26" s="54"/>
      <c r="K26" s="54"/>
      <c r="L26" s="54"/>
      <c r="M26" s="54"/>
      <c r="N26" s="54"/>
      <c r="O26" s="54"/>
      <c r="P26" s="54"/>
      <c r="Q26" s="54"/>
      <c r="R26" s="54"/>
      <c r="S26" s="54"/>
      <c r="T26" s="23"/>
      <c r="U26" s="23"/>
      <c r="V26" s="23"/>
      <c r="W26" s="23"/>
      <c r="X26" s="23"/>
      <c r="Y26" s="23"/>
      <c r="Z26" s="23"/>
      <c r="AA26" s="11"/>
    </row>
    <row r="27" spans="2:27" x14ac:dyDescent="0.2">
      <c r="B27" s="24"/>
      <c r="C27" s="470"/>
      <c r="D27" s="470"/>
      <c r="E27" s="470"/>
      <c r="F27" s="470"/>
      <c r="G27" s="470"/>
      <c r="H27" s="470"/>
      <c r="I27" s="470"/>
      <c r="J27" s="470"/>
      <c r="K27" s="470"/>
      <c r="L27" s="470"/>
      <c r="M27" s="470"/>
      <c r="N27" s="470"/>
      <c r="O27" s="470"/>
      <c r="P27" s="470"/>
      <c r="Q27" s="470"/>
      <c r="R27" s="54"/>
      <c r="S27" s="54"/>
      <c r="T27" s="23"/>
      <c r="U27" s="23"/>
      <c r="V27" s="23"/>
      <c r="W27" s="23"/>
      <c r="X27" s="23"/>
      <c r="Y27" s="23"/>
      <c r="Z27" s="23"/>
      <c r="AA27" s="11"/>
    </row>
    <row r="28" spans="2:27" x14ac:dyDescent="0.2">
      <c r="B28" s="24"/>
      <c r="C28" s="470"/>
      <c r="D28" s="470"/>
      <c r="E28" s="470"/>
      <c r="F28" s="470"/>
      <c r="G28" s="470"/>
      <c r="H28" s="470"/>
      <c r="I28" s="470"/>
      <c r="J28" s="470"/>
      <c r="K28" s="470"/>
      <c r="L28" s="470"/>
      <c r="M28" s="470"/>
      <c r="N28" s="470"/>
      <c r="O28" s="470"/>
      <c r="P28" s="470"/>
      <c r="Q28" s="470"/>
      <c r="R28" s="54"/>
      <c r="S28" s="54"/>
      <c r="T28" s="23"/>
      <c r="U28" s="23"/>
      <c r="V28" s="23"/>
      <c r="W28" s="23"/>
      <c r="X28" s="23"/>
      <c r="Y28" s="23"/>
      <c r="Z28" s="23"/>
      <c r="AA28" s="11"/>
    </row>
    <row r="29" spans="2:27" x14ac:dyDescent="0.2">
      <c r="B29" s="24"/>
      <c r="C29" s="470"/>
      <c r="D29" s="470"/>
      <c r="E29" s="470"/>
      <c r="F29" s="470"/>
      <c r="G29" s="470"/>
      <c r="H29" s="470"/>
      <c r="I29" s="470"/>
      <c r="J29" s="470"/>
      <c r="K29" s="470"/>
      <c r="L29" s="470"/>
      <c r="M29" s="470"/>
      <c r="N29" s="470"/>
      <c r="O29" s="470"/>
      <c r="P29" s="470"/>
      <c r="Q29" s="470"/>
      <c r="R29" s="54"/>
      <c r="S29" s="54"/>
      <c r="T29" s="23"/>
      <c r="U29" s="23"/>
      <c r="V29" s="23"/>
      <c r="W29" s="23"/>
      <c r="X29" s="23"/>
      <c r="Y29" s="23"/>
      <c r="Z29" s="23"/>
      <c r="AA29" s="11"/>
    </row>
    <row r="30" spans="2:27" x14ac:dyDescent="0.2">
      <c r="B30" s="24"/>
      <c r="C30" s="470"/>
      <c r="D30" s="470"/>
      <c r="E30" s="470"/>
      <c r="F30" s="470"/>
      <c r="G30" s="470"/>
      <c r="H30" s="470"/>
      <c r="I30" s="470"/>
      <c r="J30" s="470"/>
      <c r="K30" s="470"/>
      <c r="L30" s="470"/>
      <c r="M30" s="470"/>
      <c r="N30" s="470"/>
      <c r="O30" s="470"/>
      <c r="P30" s="470"/>
      <c r="Q30" s="470"/>
      <c r="R30" s="54"/>
      <c r="S30" s="54"/>
      <c r="T30" s="23"/>
      <c r="U30" s="23"/>
      <c r="V30" s="23"/>
      <c r="W30" s="23"/>
      <c r="X30" s="23"/>
      <c r="Y30" s="23"/>
      <c r="Z30" s="23"/>
      <c r="AA30" s="11"/>
    </row>
    <row r="31" spans="2:27" x14ac:dyDescent="0.2">
      <c r="B31" s="24"/>
      <c r="C31" s="470"/>
      <c r="D31" s="470"/>
      <c r="E31" s="470"/>
      <c r="F31" s="470"/>
      <c r="G31" s="470"/>
      <c r="H31" s="470"/>
      <c r="I31" s="470"/>
      <c r="J31" s="470"/>
      <c r="K31" s="470"/>
      <c r="L31" s="470"/>
      <c r="M31" s="470"/>
      <c r="N31" s="470"/>
      <c r="O31" s="470"/>
      <c r="P31" s="470"/>
      <c r="Q31" s="470"/>
      <c r="R31" s="23"/>
      <c r="S31" s="23"/>
      <c r="T31" s="23"/>
      <c r="U31" s="23"/>
      <c r="V31" s="23"/>
      <c r="W31" s="23"/>
      <c r="X31" s="23"/>
      <c r="Y31" s="23"/>
      <c r="Z31" s="23"/>
      <c r="AA31" s="11"/>
    </row>
    <row r="32" spans="2:27" x14ac:dyDescent="0.2">
      <c r="B32" s="24"/>
      <c r="C32" s="470"/>
      <c r="D32" s="470"/>
      <c r="E32" s="470"/>
      <c r="F32" s="470"/>
      <c r="G32" s="470"/>
      <c r="H32" s="470"/>
      <c r="I32" s="470"/>
      <c r="J32" s="470"/>
      <c r="K32" s="470"/>
      <c r="L32" s="470"/>
      <c r="M32" s="470"/>
      <c r="N32" s="470"/>
      <c r="O32" s="470"/>
      <c r="P32" s="470"/>
      <c r="Q32" s="470"/>
      <c r="R32" s="23"/>
      <c r="S32" s="23"/>
      <c r="T32" s="23"/>
      <c r="U32" s="23"/>
      <c r="V32" s="23"/>
      <c r="W32" s="23"/>
      <c r="X32" s="23"/>
      <c r="Y32" s="23"/>
      <c r="Z32" s="23"/>
      <c r="AA32" s="11"/>
    </row>
    <row r="33" spans="2:27" x14ac:dyDescent="0.2">
      <c r="B33" s="24"/>
      <c r="C33" s="470"/>
      <c r="D33" s="470"/>
      <c r="E33" s="470"/>
      <c r="F33" s="470"/>
      <c r="G33" s="470"/>
      <c r="H33" s="470"/>
      <c r="I33" s="470"/>
      <c r="J33" s="470"/>
      <c r="K33" s="470"/>
      <c r="L33" s="470"/>
      <c r="M33" s="470"/>
      <c r="N33" s="470"/>
      <c r="O33" s="470"/>
      <c r="P33" s="470"/>
      <c r="Q33" s="470"/>
      <c r="R33" s="54"/>
      <c r="S33" s="54"/>
      <c r="T33" s="23"/>
      <c r="U33" s="23"/>
      <c r="V33" s="23"/>
      <c r="W33" s="23"/>
      <c r="X33" s="23"/>
      <c r="Y33" s="23"/>
      <c r="Z33" s="23"/>
      <c r="AA33" s="11"/>
    </row>
    <row r="34" spans="2:27" x14ac:dyDescent="0.2">
      <c r="B34" s="24"/>
      <c r="C34" s="470"/>
      <c r="D34" s="470"/>
      <c r="E34" s="470"/>
      <c r="F34" s="470"/>
      <c r="G34" s="470"/>
      <c r="H34" s="470"/>
      <c r="I34" s="470"/>
      <c r="J34" s="470"/>
      <c r="K34" s="470"/>
      <c r="L34" s="470"/>
      <c r="M34" s="470"/>
      <c r="N34" s="470"/>
      <c r="O34" s="470"/>
      <c r="P34" s="470"/>
      <c r="Q34" s="470"/>
      <c r="R34" s="54"/>
      <c r="S34" s="54"/>
      <c r="T34" s="23"/>
      <c r="U34" s="23"/>
      <c r="V34" s="23"/>
      <c r="W34" s="23"/>
      <c r="X34" s="23"/>
      <c r="Y34" s="23"/>
      <c r="Z34" s="23"/>
      <c r="AA34" s="11"/>
    </row>
    <row r="35" spans="2:27" x14ac:dyDescent="0.2">
      <c r="B35" s="24"/>
      <c r="C35" s="470"/>
      <c r="D35" s="470"/>
      <c r="E35" s="470"/>
      <c r="F35" s="470"/>
      <c r="G35" s="470"/>
      <c r="H35" s="470"/>
      <c r="I35" s="470"/>
      <c r="J35" s="470"/>
      <c r="K35" s="470"/>
      <c r="L35" s="470"/>
      <c r="M35" s="470"/>
      <c r="N35" s="470"/>
      <c r="O35" s="470"/>
      <c r="P35" s="470"/>
      <c r="Q35" s="470"/>
      <c r="R35" s="54"/>
      <c r="S35" s="54"/>
      <c r="T35" s="23"/>
      <c r="U35" s="23"/>
      <c r="V35" s="23"/>
      <c r="W35" s="23"/>
      <c r="X35" s="23"/>
      <c r="Y35" s="23"/>
      <c r="Z35" s="23"/>
      <c r="AA35" s="11"/>
    </row>
    <row r="36" spans="2:27" x14ac:dyDescent="0.2">
      <c r="B36" s="24"/>
      <c r="C36" s="470"/>
      <c r="D36" s="470"/>
      <c r="E36" s="470"/>
      <c r="F36" s="470"/>
      <c r="G36" s="470"/>
      <c r="H36" s="470"/>
      <c r="I36" s="470"/>
      <c r="J36" s="470"/>
      <c r="K36" s="470"/>
      <c r="L36" s="470"/>
      <c r="M36" s="470"/>
      <c r="N36" s="470"/>
      <c r="O36" s="470"/>
      <c r="P36" s="470"/>
      <c r="Q36" s="470"/>
      <c r="R36" s="54"/>
      <c r="S36" s="54"/>
      <c r="T36" s="23"/>
      <c r="U36" s="23"/>
      <c r="V36" s="23"/>
      <c r="W36" s="23"/>
      <c r="X36" s="23"/>
      <c r="Y36" s="23"/>
      <c r="Z36" s="23"/>
      <c r="AA36" s="11"/>
    </row>
    <row r="37" spans="2:27" x14ac:dyDescent="0.2">
      <c r="B37" s="24"/>
      <c r="C37" s="470"/>
      <c r="D37" s="470"/>
      <c r="E37" s="470"/>
      <c r="F37" s="470"/>
      <c r="G37" s="470"/>
      <c r="H37" s="470"/>
      <c r="I37" s="470"/>
      <c r="J37" s="470"/>
      <c r="K37" s="470"/>
      <c r="L37" s="470"/>
      <c r="M37" s="470"/>
      <c r="N37" s="470"/>
      <c r="O37" s="470"/>
      <c r="P37" s="470"/>
      <c r="Q37" s="470"/>
      <c r="R37" s="54"/>
      <c r="S37" s="54"/>
      <c r="T37" s="23"/>
      <c r="U37" s="23"/>
      <c r="V37" s="23"/>
      <c r="W37" s="23"/>
      <c r="X37" s="23"/>
      <c r="Y37" s="23"/>
      <c r="Z37" s="23"/>
      <c r="AA37" s="11"/>
    </row>
    <row r="38" spans="2:27" x14ac:dyDescent="0.2">
      <c r="B38" s="24"/>
      <c r="C38" s="470"/>
      <c r="D38" s="470"/>
      <c r="E38" s="470"/>
      <c r="F38" s="470"/>
      <c r="G38" s="470"/>
      <c r="H38" s="470"/>
      <c r="I38" s="470"/>
      <c r="J38" s="470"/>
      <c r="K38" s="470"/>
      <c r="L38" s="470"/>
      <c r="M38" s="470"/>
      <c r="N38" s="470"/>
      <c r="O38" s="470"/>
      <c r="P38" s="470"/>
      <c r="Q38" s="470"/>
      <c r="R38" s="54"/>
      <c r="S38" s="54"/>
      <c r="T38" s="23"/>
      <c r="U38" s="23"/>
      <c r="V38" s="23"/>
      <c r="W38" s="23"/>
      <c r="X38" s="23"/>
      <c r="Y38" s="23"/>
      <c r="Z38" s="23"/>
      <c r="AA38" s="11"/>
    </row>
    <row r="39" spans="2:27" x14ac:dyDescent="0.2">
      <c r="B39" s="24"/>
      <c r="C39" s="470"/>
      <c r="D39" s="470"/>
      <c r="E39" s="470"/>
      <c r="F39" s="470"/>
      <c r="G39" s="470"/>
      <c r="H39" s="470"/>
      <c r="I39" s="470"/>
      <c r="J39" s="470"/>
      <c r="K39" s="470"/>
      <c r="L39" s="470"/>
      <c r="M39" s="470"/>
      <c r="N39" s="470"/>
      <c r="O39" s="470"/>
      <c r="P39" s="470"/>
      <c r="Q39" s="470"/>
      <c r="R39" s="23"/>
      <c r="S39" s="23"/>
      <c r="T39" s="23"/>
      <c r="U39" s="23"/>
      <c r="V39" s="23"/>
      <c r="W39" s="23"/>
      <c r="X39" s="23"/>
      <c r="Y39" s="23"/>
      <c r="Z39" s="23"/>
      <c r="AA39" s="11"/>
    </row>
    <row r="40" spans="2:27" x14ac:dyDescent="0.2">
      <c r="B40" s="24"/>
      <c r="C40" s="470"/>
      <c r="D40" s="470"/>
      <c r="E40" s="470"/>
      <c r="F40" s="470"/>
      <c r="G40" s="470"/>
      <c r="H40" s="470"/>
      <c r="I40" s="470"/>
      <c r="J40" s="470"/>
      <c r="K40" s="470"/>
      <c r="L40" s="470"/>
      <c r="M40" s="470"/>
      <c r="N40" s="470"/>
      <c r="O40" s="470"/>
      <c r="P40" s="470"/>
      <c r="Q40" s="470"/>
      <c r="R40" s="23"/>
      <c r="S40" s="23"/>
      <c r="T40" s="23"/>
      <c r="U40" s="23"/>
      <c r="V40" s="23"/>
      <c r="W40" s="23"/>
      <c r="X40" s="23"/>
      <c r="Y40" s="23"/>
      <c r="Z40" s="23"/>
      <c r="AA40" s="11"/>
    </row>
    <row r="41" spans="2:27" x14ac:dyDescent="0.2">
      <c r="B41" s="24"/>
      <c r="C41" s="470"/>
      <c r="D41" s="470"/>
      <c r="E41" s="470"/>
      <c r="F41" s="470"/>
      <c r="G41" s="470"/>
      <c r="H41" s="470"/>
      <c r="I41" s="470"/>
      <c r="J41" s="470"/>
      <c r="K41" s="470"/>
      <c r="L41" s="470"/>
      <c r="M41" s="470"/>
      <c r="N41" s="470"/>
      <c r="O41" s="470"/>
      <c r="P41" s="470"/>
      <c r="Q41" s="470"/>
      <c r="R41" s="23"/>
      <c r="S41" s="23"/>
      <c r="T41" s="23"/>
      <c r="U41" s="23"/>
      <c r="V41" s="23"/>
      <c r="W41" s="23"/>
      <c r="X41" s="23"/>
      <c r="Y41" s="23"/>
      <c r="Z41" s="23"/>
      <c r="AA41" s="11"/>
    </row>
    <row r="42" spans="2:27" x14ac:dyDescent="0.2">
      <c r="B42" s="24"/>
      <c r="C42" s="470"/>
      <c r="D42" s="470"/>
      <c r="E42" s="470"/>
      <c r="F42" s="470"/>
      <c r="G42" s="470"/>
      <c r="H42" s="470"/>
      <c r="I42" s="470"/>
      <c r="J42" s="470"/>
      <c r="K42" s="470"/>
      <c r="L42" s="470"/>
      <c r="M42" s="470"/>
      <c r="N42" s="470"/>
      <c r="O42" s="470"/>
      <c r="P42" s="470"/>
      <c r="Q42" s="470"/>
      <c r="R42" s="23"/>
      <c r="S42" s="23"/>
      <c r="T42" s="23"/>
      <c r="U42" s="23"/>
      <c r="V42" s="23"/>
      <c r="W42" s="23"/>
      <c r="X42" s="23"/>
      <c r="Y42" s="23"/>
      <c r="Z42" s="23"/>
      <c r="AA42" s="11"/>
    </row>
    <row r="43" spans="2:27" x14ac:dyDescent="0.2">
      <c r="B43" s="24"/>
      <c r="C43" s="54"/>
      <c r="D43" s="54"/>
      <c r="E43" s="54"/>
      <c r="F43" s="54"/>
      <c r="G43" s="54"/>
      <c r="H43" s="54"/>
      <c r="I43" s="23"/>
      <c r="J43" s="23"/>
      <c r="K43" s="23"/>
      <c r="L43" s="23"/>
      <c r="M43" s="23"/>
      <c r="N43" s="23"/>
      <c r="O43" s="23"/>
      <c r="P43" s="23"/>
      <c r="Q43" s="23"/>
      <c r="R43" s="23"/>
      <c r="S43" s="23"/>
      <c r="T43" s="23"/>
      <c r="U43" s="23"/>
      <c r="V43" s="23"/>
      <c r="W43" s="23"/>
      <c r="X43" s="23"/>
      <c r="Y43" s="23"/>
      <c r="Z43" s="23"/>
      <c r="AA43" s="11"/>
    </row>
    <row r="44" spans="2:27" ht="14.25" x14ac:dyDescent="0.2">
      <c r="B44" s="24"/>
      <c r="C44" s="55"/>
      <c r="D44" s="54"/>
      <c r="E44" s="54"/>
      <c r="F44" s="54"/>
      <c r="G44" s="54"/>
      <c r="H44" s="54"/>
      <c r="I44" s="23"/>
      <c r="J44" s="23"/>
      <c r="K44" s="23"/>
      <c r="L44" s="23"/>
      <c r="M44" s="23"/>
      <c r="N44" s="23"/>
      <c r="O44" s="23"/>
      <c r="P44" s="23"/>
      <c r="Q44" s="23"/>
      <c r="R44" s="23"/>
      <c r="S44" s="23"/>
      <c r="T44" s="23"/>
      <c r="U44" s="23"/>
      <c r="V44" s="23"/>
      <c r="W44" s="23"/>
      <c r="X44" s="23"/>
      <c r="Y44" s="23"/>
      <c r="Z44" s="23"/>
      <c r="AA44" s="11"/>
    </row>
    <row r="45" spans="2:27" x14ac:dyDescent="0.2">
      <c r="B45" s="24"/>
      <c r="C45" s="470"/>
      <c r="D45" s="470"/>
      <c r="E45" s="470"/>
      <c r="F45" s="470"/>
      <c r="G45" s="470"/>
      <c r="H45" s="470"/>
      <c r="I45" s="470"/>
      <c r="J45" s="470"/>
      <c r="K45" s="470"/>
      <c r="L45" s="470"/>
      <c r="M45" s="470"/>
      <c r="N45" s="470"/>
      <c r="O45" s="470"/>
      <c r="P45" s="470"/>
      <c r="Q45" s="470"/>
      <c r="R45" s="23"/>
      <c r="S45" s="23"/>
      <c r="T45" s="23"/>
      <c r="U45" s="23"/>
      <c r="V45" s="23"/>
      <c r="W45" s="23"/>
      <c r="X45" s="23"/>
      <c r="Y45" s="23"/>
      <c r="Z45" s="23"/>
      <c r="AA45" s="11"/>
    </row>
    <row r="46" spans="2:27" x14ac:dyDescent="0.2">
      <c r="B46" s="24"/>
      <c r="C46" s="470"/>
      <c r="D46" s="470"/>
      <c r="E46" s="470"/>
      <c r="F46" s="470"/>
      <c r="G46" s="470"/>
      <c r="H46" s="470"/>
      <c r="I46" s="470"/>
      <c r="J46" s="470"/>
      <c r="K46" s="470"/>
      <c r="L46" s="470"/>
      <c r="M46" s="470"/>
      <c r="N46" s="470"/>
      <c r="O46" s="470"/>
      <c r="P46" s="470"/>
      <c r="Q46" s="470"/>
      <c r="R46" s="23"/>
      <c r="S46" s="23"/>
      <c r="T46" s="23"/>
      <c r="U46" s="23"/>
      <c r="V46" s="23"/>
      <c r="W46" s="23"/>
      <c r="X46" s="23"/>
      <c r="Y46" s="23"/>
      <c r="Z46" s="23"/>
      <c r="AA46" s="11"/>
    </row>
    <row r="47" spans="2:27" x14ac:dyDescent="0.2">
      <c r="B47" s="24"/>
      <c r="C47" s="470"/>
      <c r="D47" s="470"/>
      <c r="E47" s="470"/>
      <c r="F47" s="470"/>
      <c r="G47" s="470"/>
      <c r="H47" s="470"/>
      <c r="I47" s="470"/>
      <c r="J47" s="470"/>
      <c r="K47" s="470"/>
      <c r="L47" s="470"/>
      <c r="M47" s="470"/>
      <c r="N47" s="470"/>
      <c r="O47" s="470"/>
      <c r="P47" s="470"/>
      <c r="Q47" s="470"/>
      <c r="R47" s="23"/>
      <c r="S47" s="23"/>
      <c r="T47" s="23"/>
      <c r="U47" s="23"/>
      <c r="V47" s="23"/>
      <c r="W47" s="23"/>
      <c r="X47" s="23"/>
      <c r="Y47" s="23"/>
      <c r="Z47" s="23"/>
      <c r="AA47" s="11"/>
    </row>
    <row r="48" spans="2:27" x14ac:dyDescent="0.2">
      <c r="B48" s="24"/>
      <c r="C48" s="470"/>
      <c r="D48" s="470"/>
      <c r="E48" s="470"/>
      <c r="F48" s="470"/>
      <c r="G48" s="470"/>
      <c r="H48" s="470"/>
      <c r="I48" s="470"/>
      <c r="J48" s="470"/>
      <c r="K48" s="470"/>
      <c r="L48" s="470"/>
      <c r="M48" s="470"/>
      <c r="N48" s="470"/>
      <c r="O48" s="470"/>
      <c r="P48" s="470"/>
      <c r="Q48" s="470"/>
      <c r="R48" s="23"/>
      <c r="S48" s="23"/>
      <c r="T48" s="23"/>
      <c r="U48" s="23"/>
      <c r="V48" s="23"/>
      <c r="W48" s="23"/>
      <c r="X48" s="23"/>
      <c r="Y48" s="23"/>
      <c r="Z48" s="23"/>
      <c r="AA48" s="11"/>
    </row>
    <row r="49" spans="2:27" x14ac:dyDescent="0.2">
      <c r="B49" s="24"/>
      <c r="C49" s="470"/>
      <c r="D49" s="470"/>
      <c r="E49" s="470"/>
      <c r="F49" s="470"/>
      <c r="G49" s="470"/>
      <c r="H49" s="470"/>
      <c r="I49" s="470"/>
      <c r="J49" s="470"/>
      <c r="K49" s="470"/>
      <c r="L49" s="470"/>
      <c r="M49" s="470"/>
      <c r="N49" s="470"/>
      <c r="O49" s="470"/>
      <c r="P49" s="470"/>
      <c r="Q49" s="470"/>
      <c r="R49" s="23"/>
      <c r="S49" s="23"/>
      <c r="T49" s="23"/>
      <c r="U49" s="23"/>
      <c r="V49" s="23"/>
      <c r="W49" s="23"/>
      <c r="X49" s="23"/>
      <c r="Y49" s="23"/>
      <c r="Z49" s="23"/>
      <c r="AA49" s="11"/>
    </row>
    <row r="50" spans="2:27" x14ac:dyDescent="0.2">
      <c r="B50" s="24"/>
      <c r="C50" s="470"/>
      <c r="D50" s="470"/>
      <c r="E50" s="470"/>
      <c r="F50" s="470"/>
      <c r="G50" s="470"/>
      <c r="H50" s="470"/>
      <c r="I50" s="470"/>
      <c r="J50" s="470"/>
      <c r="K50" s="470"/>
      <c r="L50" s="470"/>
      <c r="M50" s="470"/>
      <c r="N50" s="470"/>
      <c r="O50" s="470"/>
      <c r="P50" s="470"/>
      <c r="Q50" s="470"/>
      <c r="R50" s="23"/>
      <c r="S50" s="23"/>
      <c r="T50" s="23"/>
      <c r="U50" s="23"/>
      <c r="V50" s="23"/>
      <c r="W50" s="23"/>
      <c r="X50" s="23"/>
      <c r="Y50" s="23"/>
      <c r="Z50" s="23"/>
      <c r="AA50" s="11"/>
    </row>
    <row r="51" spans="2:27" x14ac:dyDescent="0.2">
      <c r="B51" s="24"/>
      <c r="C51" s="470"/>
      <c r="D51" s="470"/>
      <c r="E51" s="470"/>
      <c r="F51" s="470"/>
      <c r="G51" s="470"/>
      <c r="H51" s="470"/>
      <c r="I51" s="470"/>
      <c r="J51" s="470"/>
      <c r="K51" s="470"/>
      <c r="L51" s="470"/>
      <c r="M51" s="470"/>
      <c r="N51" s="470"/>
      <c r="O51" s="470"/>
      <c r="P51" s="470"/>
      <c r="Q51" s="470"/>
      <c r="R51" s="23"/>
      <c r="S51" s="23"/>
      <c r="T51" s="23"/>
      <c r="U51" s="23"/>
      <c r="V51" s="23"/>
      <c r="W51" s="23"/>
      <c r="X51" s="23"/>
      <c r="Y51" s="23"/>
      <c r="Z51" s="23"/>
      <c r="AA51" s="11"/>
    </row>
    <row r="52" spans="2:27" x14ac:dyDescent="0.2">
      <c r="B52" s="24"/>
      <c r="C52" s="470"/>
      <c r="D52" s="470"/>
      <c r="E52" s="470"/>
      <c r="F52" s="470"/>
      <c r="G52" s="470"/>
      <c r="H52" s="470"/>
      <c r="I52" s="470"/>
      <c r="J52" s="470"/>
      <c r="K52" s="470"/>
      <c r="L52" s="470"/>
      <c r="M52" s="470"/>
      <c r="N52" s="470"/>
      <c r="O52" s="470"/>
      <c r="P52" s="470"/>
      <c r="Q52" s="470"/>
      <c r="R52" s="23"/>
      <c r="S52" s="23"/>
      <c r="T52" s="23"/>
      <c r="U52" s="23"/>
      <c r="V52" s="23"/>
      <c r="W52" s="23"/>
      <c r="X52" s="23"/>
      <c r="Y52" s="23"/>
      <c r="Z52" s="23"/>
      <c r="AA52" s="11"/>
    </row>
    <row r="53" spans="2:27" x14ac:dyDescent="0.2">
      <c r="B53" s="24"/>
      <c r="C53" s="470"/>
      <c r="D53" s="470"/>
      <c r="E53" s="470"/>
      <c r="F53" s="470"/>
      <c r="G53" s="470"/>
      <c r="H53" s="470"/>
      <c r="I53" s="470"/>
      <c r="J53" s="470"/>
      <c r="K53" s="470"/>
      <c r="L53" s="470"/>
      <c r="M53" s="470"/>
      <c r="N53" s="470"/>
      <c r="O53" s="470"/>
      <c r="P53" s="470"/>
      <c r="Q53" s="470"/>
      <c r="R53" s="23"/>
      <c r="S53" s="23"/>
      <c r="T53" s="23"/>
      <c r="U53" s="23"/>
      <c r="V53" s="23"/>
      <c r="W53" s="23"/>
      <c r="X53" s="23"/>
      <c r="Y53" s="23"/>
      <c r="Z53" s="23"/>
      <c r="AA53" s="11"/>
    </row>
    <row r="54" spans="2:27" x14ac:dyDescent="0.2">
      <c r="B54" s="24"/>
      <c r="C54" s="470"/>
      <c r="D54" s="470"/>
      <c r="E54" s="470"/>
      <c r="F54" s="470"/>
      <c r="G54" s="470"/>
      <c r="H54" s="470"/>
      <c r="I54" s="470"/>
      <c r="J54" s="470"/>
      <c r="K54" s="470"/>
      <c r="L54" s="470"/>
      <c r="M54" s="470"/>
      <c r="N54" s="470"/>
      <c r="O54" s="470"/>
      <c r="P54" s="470"/>
      <c r="Q54" s="470"/>
      <c r="R54" s="23"/>
      <c r="S54" s="23"/>
      <c r="T54" s="23"/>
      <c r="U54" s="23"/>
      <c r="V54" s="23"/>
      <c r="W54" s="23"/>
      <c r="X54" s="23"/>
      <c r="Y54" s="23"/>
      <c r="Z54" s="23"/>
      <c r="AA54" s="11"/>
    </row>
    <row r="55" spans="2:27" x14ac:dyDescent="0.2">
      <c r="B55" s="24"/>
      <c r="C55" s="470"/>
      <c r="D55" s="470"/>
      <c r="E55" s="470"/>
      <c r="F55" s="470"/>
      <c r="G55" s="470"/>
      <c r="H55" s="470"/>
      <c r="I55" s="470"/>
      <c r="J55" s="470"/>
      <c r="K55" s="470"/>
      <c r="L55" s="470"/>
      <c r="M55" s="470"/>
      <c r="N55" s="470"/>
      <c r="O55" s="470"/>
      <c r="P55" s="470"/>
      <c r="Q55" s="470"/>
      <c r="R55" s="23"/>
      <c r="S55" s="23"/>
      <c r="T55" s="23"/>
      <c r="U55" s="23"/>
      <c r="V55" s="23"/>
      <c r="W55" s="23"/>
      <c r="X55" s="23"/>
      <c r="Y55" s="23"/>
      <c r="Z55" s="23"/>
      <c r="AA55" s="11"/>
    </row>
    <row r="56" spans="2:27" x14ac:dyDescent="0.2">
      <c r="B56" s="24"/>
      <c r="C56" s="470"/>
      <c r="D56" s="470"/>
      <c r="E56" s="470"/>
      <c r="F56" s="470"/>
      <c r="G56" s="470"/>
      <c r="H56" s="470"/>
      <c r="I56" s="470"/>
      <c r="J56" s="470"/>
      <c r="K56" s="470"/>
      <c r="L56" s="470"/>
      <c r="M56" s="470"/>
      <c r="N56" s="470"/>
      <c r="O56" s="470"/>
      <c r="P56" s="470"/>
      <c r="Q56" s="470"/>
      <c r="R56" s="23"/>
      <c r="S56" s="23"/>
      <c r="T56" s="23"/>
      <c r="U56" s="23"/>
      <c r="V56" s="23"/>
      <c r="W56" s="23"/>
      <c r="X56" s="23"/>
      <c r="Y56" s="23"/>
      <c r="Z56" s="23"/>
      <c r="AA56" s="11"/>
    </row>
    <row r="57" spans="2:27" x14ac:dyDescent="0.2">
      <c r="B57" s="24"/>
      <c r="C57" s="470"/>
      <c r="D57" s="470"/>
      <c r="E57" s="470"/>
      <c r="F57" s="470"/>
      <c r="G57" s="470"/>
      <c r="H57" s="470"/>
      <c r="I57" s="470"/>
      <c r="J57" s="470"/>
      <c r="K57" s="470"/>
      <c r="L57" s="470"/>
      <c r="M57" s="470"/>
      <c r="N57" s="470"/>
      <c r="O57" s="470"/>
      <c r="P57" s="470"/>
      <c r="Q57" s="470"/>
      <c r="R57" s="23"/>
      <c r="S57" s="23"/>
      <c r="T57" s="23"/>
      <c r="U57" s="23"/>
      <c r="V57" s="23"/>
      <c r="W57" s="23"/>
      <c r="X57" s="23"/>
      <c r="Y57" s="23"/>
      <c r="Z57" s="23"/>
      <c r="AA57" s="11"/>
    </row>
    <row r="58" spans="2:27" x14ac:dyDescent="0.2">
      <c r="B58" s="24"/>
      <c r="C58" s="470"/>
      <c r="D58" s="470"/>
      <c r="E58" s="470"/>
      <c r="F58" s="470"/>
      <c r="G58" s="470"/>
      <c r="H58" s="470"/>
      <c r="I58" s="470"/>
      <c r="J58" s="470"/>
      <c r="K58" s="470"/>
      <c r="L58" s="470"/>
      <c r="M58" s="470"/>
      <c r="N58" s="470"/>
      <c r="O58" s="470"/>
      <c r="P58" s="470"/>
      <c r="Q58" s="470"/>
      <c r="R58" s="23"/>
      <c r="S58" s="23"/>
      <c r="T58" s="23"/>
      <c r="U58" s="23"/>
      <c r="V58" s="23"/>
      <c r="W58" s="23"/>
      <c r="X58" s="23"/>
      <c r="Y58" s="23"/>
      <c r="Z58" s="23"/>
      <c r="AA58" s="11"/>
    </row>
    <row r="59" spans="2:27" x14ac:dyDescent="0.2">
      <c r="B59" s="24"/>
      <c r="C59" s="470"/>
      <c r="D59" s="470"/>
      <c r="E59" s="470"/>
      <c r="F59" s="470"/>
      <c r="G59" s="470"/>
      <c r="H59" s="470"/>
      <c r="I59" s="470"/>
      <c r="J59" s="470"/>
      <c r="K59" s="470"/>
      <c r="L59" s="470"/>
      <c r="M59" s="470"/>
      <c r="N59" s="470"/>
      <c r="O59" s="470"/>
      <c r="P59" s="470"/>
      <c r="Q59" s="470"/>
      <c r="R59" s="23"/>
      <c r="S59" s="23"/>
      <c r="T59" s="23"/>
      <c r="U59" s="23"/>
      <c r="V59" s="23"/>
      <c r="W59" s="23"/>
      <c r="X59" s="23"/>
      <c r="Y59" s="23"/>
      <c r="Z59" s="23"/>
      <c r="AA59" s="11"/>
    </row>
    <row r="60" spans="2:27" x14ac:dyDescent="0.2">
      <c r="B60" s="24"/>
      <c r="C60" s="470"/>
      <c r="D60" s="470"/>
      <c r="E60" s="470"/>
      <c r="F60" s="470"/>
      <c r="G60" s="470"/>
      <c r="H60" s="470"/>
      <c r="I60" s="470"/>
      <c r="J60" s="470"/>
      <c r="K60" s="470"/>
      <c r="L60" s="470"/>
      <c r="M60" s="470"/>
      <c r="N60" s="470"/>
      <c r="O60" s="470"/>
      <c r="P60" s="470"/>
      <c r="Q60" s="470"/>
      <c r="R60" s="23"/>
      <c r="S60" s="23"/>
      <c r="T60" s="23"/>
      <c r="U60" s="23"/>
      <c r="V60" s="23"/>
      <c r="W60" s="23"/>
      <c r="X60" s="23"/>
      <c r="Y60" s="23"/>
      <c r="Z60" s="23"/>
      <c r="AA60" s="11"/>
    </row>
    <row r="61" spans="2:27" x14ac:dyDescent="0.2">
      <c r="B61" s="24"/>
      <c r="C61" s="23"/>
      <c r="D61" s="23"/>
      <c r="E61" s="23"/>
      <c r="F61" s="23"/>
      <c r="G61" s="23"/>
      <c r="H61" s="23"/>
      <c r="I61" s="23"/>
      <c r="J61" s="23"/>
      <c r="K61" s="23"/>
      <c r="L61" s="23"/>
      <c r="M61" s="23"/>
      <c r="N61" s="23"/>
      <c r="O61" s="23"/>
      <c r="P61" s="23"/>
      <c r="Q61" s="23"/>
      <c r="R61" s="23"/>
      <c r="S61" s="23"/>
      <c r="T61" s="23"/>
      <c r="U61" s="23"/>
      <c r="V61" s="23"/>
      <c r="W61" s="23"/>
      <c r="X61" s="23"/>
      <c r="Y61" s="23"/>
      <c r="Z61" s="23"/>
      <c r="AA61" s="11"/>
    </row>
    <row r="62" spans="2:27" ht="14.25" x14ac:dyDescent="0.2">
      <c r="B62" s="24"/>
      <c r="C62" s="45"/>
      <c r="D62" s="23"/>
      <c r="E62" s="23"/>
      <c r="F62" s="23"/>
      <c r="G62" s="23"/>
      <c r="H62" s="23"/>
      <c r="I62" s="23"/>
      <c r="J62" s="23"/>
      <c r="K62" s="23"/>
      <c r="L62" s="23"/>
      <c r="M62" s="23"/>
      <c r="N62" s="23"/>
      <c r="O62" s="23"/>
      <c r="P62" s="23"/>
      <c r="Q62" s="23"/>
      <c r="R62" s="23"/>
      <c r="S62" s="23"/>
      <c r="T62" s="23"/>
      <c r="U62" s="23"/>
      <c r="V62" s="23"/>
      <c r="W62" s="23"/>
      <c r="X62" s="23"/>
      <c r="Y62" s="23"/>
      <c r="Z62" s="23"/>
      <c r="AA62" s="11"/>
    </row>
    <row r="63" spans="2:27" x14ac:dyDescent="0.2">
      <c r="B63" s="24"/>
      <c r="C63" s="470"/>
      <c r="D63" s="470"/>
      <c r="E63" s="470"/>
      <c r="F63" s="470"/>
      <c r="G63" s="470"/>
      <c r="H63" s="470"/>
      <c r="I63" s="470"/>
      <c r="J63" s="470"/>
      <c r="K63" s="470"/>
      <c r="L63" s="470"/>
      <c r="M63" s="470"/>
      <c r="N63" s="470"/>
      <c r="O63" s="470"/>
      <c r="P63" s="470"/>
      <c r="Q63" s="470"/>
      <c r="R63" s="23"/>
      <c r="S63" s="23"/>
      <c r="T63" s="23"/>
      <c r="U63" s="23"/>
      <c r="V63" s="23"/>
      <c r="W63" s="23"/>
      <c r="X63" s="23"/>
      <c r="Y63" s="23"/>
      <c r="Z63" s="23"/>
      <c r="AA63" s="11"/>
    </row>
    <row r="64" spans="2:27" x14ac:dyDescent="0.2">
      <c r="B64" s="24"/>
      <c r="C64" s="470"/>
      <c r="D64" s="470"/>
      <c r="E64" s="470"/>
      <c r="F64" s="470"/>
      <c r="G64" s="470"/>
      <c r="H64" s="470"/>
      <c r="I64" s="470"/>
      <c r="J64" s="470"/>
      <c r="K64" s="470"/>
      <c r="L64" s="470"/>
      <c r="M64" s="470"/>
      <c r="N64" s="470"/>
      <c r="O64" s="470"/>
      <c r="P64" s="470"/>
      <c r="Q64" s="470"/>
      <c r="R64" s="23"/>
      <c r="S64" s="23"/>
      <c r="T64" s="23"/>
      <c r="U64" s="23"/>
      <c r="V64" s="23"/>
      <c r="W64" s="23"/>
      <c r="X64" s="23"/>
      <c r="Y64" s="23"/>
      <c r="Z64" s="23"/>
      <c r="AA64" s="11"/>
    </row>
    <row r="65" spans="2:27" x14ac:dyDescent="0.2">
      <c r="B65" s="24"/>
      <c r="C65" s="470"/>
      <c r="D65" s="470"/>
      <c r="E65" s="470"/>
      <c r="F65" s="470"/>
      <c r="G65" s="470"/>
      <c r="H65" s="470"/>
      <c r="I65" s="470"/>
      <c r="J65" s="470"/>
      <c r="K65" s="470"/>
      <c r="L65" s="470"/>
      <c r="M65" s="470"/>
      <c r="N65" s="470"/>
      <c r="O65" s="470"/>
      <c r="P65" s="470"/>
      <c r="Q65" s="470"/>
      <c r="R65" s="23"/>
      <c r="S65" s="23"/>
      <c r="T65" s="23"/>
      <c r="U65" s="23"/>
      <c r="V65" s="23"/>
      <c r="W65" s="23"/>
      <c r="X65" s="23"/>
      <c r="Y65" s="23"/>
      <c r="Z65" s="23"/>
      <c r="AA65" s="11"/>
    </row>
    <row r="66" spans="2:27" x14ac:dyDescent="0.2">
      <c r="B66" s="24"/>
      <c r="C66" s="470"/>
      <c r="D66" s="470"/>
      <c r="E66" s="470"/>
      <c r="F66" s="470"/>
      <c r="G66" s="470"/>
      <c r="H66" s="470"/>
      <c r="I66" s="470"/>
      <c r="J66" s="470"/>
      <c r="K66" s="470"/>
      <c r="L66" s="470"/>
      <c r="M66" s="470"/>
      <c r="N66" s="470"/>
      <c r="O66" s="470"/>
      <c r="P66" s="470"/>
      <c r="Q66" s="470"/>
      <c r="R66" s="23"/>
      <c r="S66" s="23"/>
      <c r="T66" s="23"/>
      <c r="U66" s="23"/>
      <c r="V66" s="23"/>
      <c r="W66" s="23"/>
      <c r="X66" s="23"/>
      <c r="Y66" s="23"/>
      <c r="Z66" s="23"/>
      <c r="AA66" s="11"/>
    </row>
    <row r="67" spans="2:27" x14ac:dyDescent="0.2">
      <c r="B67" s="24"/>
      <c r="C67" s="470"/>
      <c r="D67" s="470"/>
      <c r="E67" s="470"/>
      <c r="F67" s="470"/>
      <c r="G67" s="470"/>
      <c r="H67" s="470"/>
      <c r="I67" s="470"/>
      <c r="J67" s="470"/>
      <c r="K67" s="470"/>
      <c r="L67" s="470"/>
      <c r="M67" s="470"/>
      <c r="N67" s="470"/>
      <c r="O67" s="470"/>
      <c r="P67" s="470"/>
      <c r="Q67" s="470"/>
      <c r="R67" s="23"/>
      <c r="S67" s="23"/>
      <c r="T67" s="23"/>
      <c r="U67" s="23"/>
      <c r="V67" s="23"/>
      <c r="W67" s="23"/>
      <c r="X67" s="23"/>
      <c r="Y67" s="23"/>
      <c r="Z67" s="23"/>
      <c r="AA67" s="11"/>
    </row>
    <row r="68" spans="2:27" x14ac:dyDescent="0.2">
      <c r="B68" s="24"/>
      <c r="C68" s="470"/>
      <c r="D68" s="470"/>
      <c r="E68" s="470"/>
      <c r="F68" s="470"/>
      <c r="G68" s="470"/>
      <c r="H68" s="470"/>
      <c r="I68" s="470"/>
      <c r="J68" s="470"/>
      <c r="K68" s="470"/>
      <c r="L68" s="470"/>
      <c r="M68" s="470"/>
      <c r="N68" s="470"/>
      <c r="O68" s="470"/>
      <c r="P68" s="470"/>
      <c r="Q68" s="470"/>
      <c r="R68" s="23"/>
      <c r="S68" s="23"/>
      <c r="T68" s="23"/>
      <c r="U68" s="23"/>
      <c r="V68" s="23"/>
      <c r="W68" s="23"/>
      <c r="X68" s="23"/>
      <c r="Y68" s="23"/>
      <c r="Z68" s="23"/>
      <c r="AA68" s="11"/>
    </row>
    <row r="69" spans="2:27" x14ac:dyDescent="0.2">
      <c r="B69" s="24"/>
      <c r="C69" s="470"/>
      <c r="D69" s="470"/>
      <c r="E69" s="470"/>
      <c r="F69" s="470"/>
      <c r="G69" s="470"/>
      <c r="H69" s="470"/>
      <c r="I69" s="470"/>
      <c r="J69" s="470"/>
      <c r="K69" s="470"/>
      <c r="L69" s="470"/>
      <c r="M69" s="470"/>
      <c r="N69" s="470"/>
      <c r="O69" s="470"/>
      <c r="P69" s="470"/>
      <c r="Q69" s="470"/>
      <c r="R69" s="23"/>
      <c r="S69" s="23"/>
      <c r="T69" s="23"/>
      <c r="U69" s="23"/>
      <c r="V69" s="23"/>
      <c r="W69" s="23"/>
      <c r="X69" s="23"/>
      <c r="Y69" s="23"/>
      <c r="Z69" s="23"/>
      <c r="AA69" s="11"/>
    </row>
    <row r="70" spans="2:27" x14ac:dyDescent="0.2">
      <c r="B70" s="24"/>
      <c r="C70" s="470"/>
      <c r="D70" s="470"/>
      <c r="E70" s="470"/>
      <c r="F70" s="470"/>
      <c r="G70" s="470"/>
      <c r="H70" s="470"/>
      <c r="I70" s="470"/>
      <c r="J70" s="470"/>
      <c r="K70" s="470"/>
      <c r="L70" s="470"/>
      <c r="M70" s="470"/>
      <c r="N70" s="470"/>
      <c r="O70" s="470"/>
      <c r="P70" s="470"/>
      <c r="Q70" s="470"/>
      <c r="R70" s="23"/>
      <c r="S70" s="23"/>
      <c r="T70" s="23"/>
      <c r="U70" s="23"/>
      <c r="V70" s="23"/>
      <c r="W70" s="23"/>
      <c r="X70" s="23"/>
      <c r="Y70" s="23"/>
      <c r="Z70" s="23"/>
      <c r="AA70" s="11"/>
    </row>
    <row r="71" spans="2:27" x14ac:dyDescent="0.2">
      <c r="B71" s="24"/>
      <c r="C71" s="470"/>
      <c r="D71" s="470"/>
      <c r="E71" s="470"/>
      <c r="F71" s="470"/>
      <c r="G71" s="470"/>
      <c r="H71" s="470"/>
      <c r="I71" s="470"/>
      <c r="J71" s="470"/>
      <c r="K71" s="470"/>
      <c r="L71" s="470"/>
      <c r="M71" s="470"/>
      <c r="N71" s="470"/>
      <c r="O71" s="470"/>
      <c r="P71" s="470"/>
      <c r="Q71" s="470"/>
      <c r="R71" s="23"/>
      <c r="S71" s="23"/>
      <c r="T71" s="23"/>
      <c r="U71" s="23"/>
      <c r="V71" s="23"/>
      <c r="W71" s="23"/>
      <c r="X71" s="23"/>
      <c r="Y71" s="23"/>
      <c r="Z71" s="23"/>
      <c r="AA71" s="11"/>
    </row>
    <row r="72" spans="2:27" x14ac:dyDescent="0.2">
      <c r="B72" s="24"/>
      <c r="C72" s="470"/>
      <c r="D72" s="470"/>
      <c r="E72" s="470"/>
      <c r="F72" s="470"/>
      <c r="G72" s="470"/>
      <c r="H72" s="470"/>
      <c r="I72" s="470"/>
      <c r="J72" s="470"/>
      <c r="K72" s="470"/>
      <c r="L72" s="470"/>
      <c r="M72" s="470"/>
      <c r="N72" s="470"/>
      <c r="O72" s="470"/>
      <c r="P72" s="470"/>
      <c r="Q72" s="470"/>
      <c r="R72" s="23"/>
      <c r="S72" s="23"/>
      <c r="T72" s="23"/>
      <c r="U72" s="23"/>
      <c r="V72" s="23"/>
      <c r="W72" s="23"/>
      <c r="X72" s="23"/>
      <c r="Y72" s="23"/>
      <c r="Z72" s="23"/>
      <c r="AA72" s="11"/>
    </row>
    <row r="73" spans="2:27" x14ac:dyDescent="0.2">
      <c r="B73" s="24"/>
      <c r="C73" s="470"/>
      <c r="D73" s="470"/>
      <c r="E73" s="470"/>
      <c r="F73" s="470"/>
      <c r="G73" s="470"/>
      <c r="H73" s="470"/>
      <c r="I73" s="470"/>
      <c r="J73" s="470"/>
      <c r="K73" s="470"/>
      <c r="L73" s="470"/>
      <c r="M73" s="470"/>
      <c r="N73" s="470"/>
      <c r="O73" s="470"/>
      <c r="P73" s="470"/>
      <c r="Q73" s="470"/>
      <c r="R73" s="23"/>
      <c r="S73" s="23"/>
      <c r="T73" s="23"/>
      <c r="U73" s="23"/>
      <c r="V73" s="23"/>
      <c r="W73" s="23"/>
      <c r="X73" s="23"/>
      <c r="Y73" s="23"/>
      <c r="Z73" s="23"/>
      <c r="AA73" s="11"/>
    </row>
    <row r="74" spans="2:27" x14ac:dyDescent="0.2">
      <c r="B74" s="24"/>
      <c r="C74" s="470"/>
      <c r="D74" s="470"/>
      <c r="E74" s="470"/>
      <c r="F74" s="470"/>
      <c r="G74" s="470"/>
      <c r="H74" s="470"/>
      <c r="I74" s="470"/>
      <c r="J74" s="470"/>
      <c r="K74" s="470"/>
      <c r="L74" s="470"/>
      <c r="M74" s="470"/>
      <c r="N74" s="470"/>
      <c r="O74" s="470"/>
      <c r="P74" s="470"/>
      <c r="Q74" s="470"/>
      <c r="R74" s="23"/>
      <c r="S74" s="23"/>
      <c r="T74" s="23"/>
      <c r="U74" s="23"/>
      <c r="V74" s="23"/>
      <c r="W74" s="23"/>
      <c r="X74" s="23"/>
      <c r="Y74" s="23"/>
      <c r="Z74" s="23"/>
      <c r="AA74" s="11"/>
    </row>
    <row r="75" spans="2:27" x14ac:dyDescent="0.2">
      <c r="B75" s="24"/>
      <c r="C75" s="470"/>
      <c r="D75" s="470"/>
      <c r="E75" s="470"/>
      <c r="F75" s="470"/>
      <c r="G75" s="470"/>
      <c r="H75" s="470"/>
      <c r="I75" s="470"/>
      <c r="J75" s="470"/>
      <c r="K75" s="470"/>
      <c r="L75" s="470"/>
      <c r="M75" s="470"/>
      <c r="N75" s="470"/>
      <c r="O75" s="470"/>
      <c r="P75" s="470"/>
      <c r="Q75" s="470"/>
      <c r="R75" s="23"/>
      <c r="S75" s="23"/>
      <c r="T75" s="23"/>
      <c r="U75" s="23"/>
      <c r="V75" s="23"/>
      <c r="W75" s="23"/>
      <c r="X75" s="23"/>
      <c r="Y75" s="23"/>
      <c r="Z75" s="23"/>
      <c r="AA75" s="11"/>
    </row>
    <row r="76" spans="2:27" x14ac:dyDescent="0.2">
      <c r="B76" s="24"/>
      <c r="C76" s="470"/>
      <c r="D76" s="470"/>
      <c r="E76" s="470"/>
      <c r="F76" s="470"/>
      <c r="G76" s="470"/>
      <c r="H76" s="470"/>
      <c r="I76" s="470"/>
      <c r="J76" s="470"/>
      <c r="K76" s="470"/>
      <c r="L76" s="470"/>
      <c r="M76" s="470"/>
      <c r="N76" s="470"/>
      <c r="O76" s="470"/>
      <c r="P76" s="470"/>
      <c r="Q76" s="470"/>
      <c r="R76" s="23"/>
      <c r="S76" s="23"/>
      <c r="T76" s="23"/>
      <c r="U76" s="23"/>
      <c r="V76" s="23"/>
      <c r="W76" s="23"/>
      <c r="X76" s="23"/>
      <c r="Y76" s="23"/>
      <c r="Z76" s="23"/>
      <c r="AA76" s="11"/>
    </row>
    <row r="77" spans="2:27" x14ac:dyDescent="0.2">
      <c r="B77" s="24"/>
      <c r="C77" s="470"/>
      <c r="D77" s="470"/>
      <c r="E77" s="470"/>
      <c r="F77" s="470"/>
      <c r="G77" s="470"/>
      <c r="H77" s="470"/>
      <c r="I77" s="470"/>
      <c r="J77" s="470"/>
      <c r="K77" s="470"/>
      <c r="L77" s="470"/>
      <c r="M77" s="470"/>
      <c r="N77" s="470"/>
      <c r="O77" s="470"/>
      <c r="P77" s="470"/>
      <c r="Q77" s="470"/>
      <c r="R77" s="23"/>
      <c r="S77" s="23"/>
      <c r="T77" s="23"/>
      <c r="U77" s="23"/>
      <c r="V77" s="23"/>
      <c r="W77" s="23"/>
      <c r="X77" s="23"/>
      <c r="Y77" s="23"/>
      <c r="Z77" s="23"/>
      <c r="AA77" s="11"/>
    </row>
    <row r="78" spans="2:27" x14ac:dyDescent="0.2">
      <c r="B78" s="24"/>
      <c r="C78" s="470"/>
      <c r="D78" s="470"/>
      <c r="E78" s="470"/>
      <c r="F78" s="470"/>
      <c r="G78" s="470"/>
      <c r="H78" s="470"/>
      <c r="I78" s="470"/>
      <c r="J78" s="470"/>
      <c r="K78" s="470"/>
      <c r="L78" s="470"/>
      <c r="M78" s="470"/>
      <c r="N78" s="470"/>
      <c r="O78" s="470"/>
      <c r="P78" s="470"/>
      <c r="Q78" s="470"/>
      <c r="R78" s="23"/>
      <c r="S78" s="23"/>
      <c r="T78" s="23"/>
      <c r="U78" s="23"/>
      <c r="V78" s="23"/>
      <c r="W78" s="23"/>
      <c r="X78" s="23"/>
      <c r="Y78" s="23"/>
      <c r="Z78" s="23"/>
      <c r="AA78" s="11"/>
    </row>
    <row r="79" spans="2:27" x14ac:dyDescent="0.2">
      <c r="B79" s="24"/>
      <c r="C79" s="23"/>
      <c r="D79" s="23"/>
      <c r="E79" s="23"/>
      <c r="F79" s="23"/>
      <c r="G79" s="23"/>
      <c r="H79" s="23"/>
      <c r="I79" s="23"/>
      <c r="J79" s="23"/>
      <c r="K79" s="23"/>
      <c r="L79" s="23"/>
      <c r="M79" s="23"/>
      <c r="N79" s="23"/>
      <c r="O79" s="23"/>
      <c r="P79" s="23"/>
      <c r="Q79" s="23"/>
      <c r="R79" s="23"/>
      <c r="S79" s="23"/>
      <c r="T79" s="23"/>
      <c r="U79" s="23"/>
      <c r="V79" s="23"/>
      <c r="W79" s="23"/>
      <c r="X79" s="23"/>
      <c r="Y79" s="23"/>
      <c r="Z79" s="23"/>
      <c r="AA79" s="11"/>
    </row>
    <row r="80" spans="2:27" x14ac:dyDescent="0.2">
      <c r="B80" s="24"/>
      <c r="C80" s="23"/>
      <c r="D80" s="23"/>
      <c r="E80" s="23"/>
      <c r="F80" s="23"/>
      <c r="G80" s="23"/>
      <c r="H80" s="23"/>
      <c r="I80" s="23"/>
      <c r="J80" s="23"/>
      <c r="K80" s="23"/>
      <c r="L80" s="23"/>
      <c r="M80" s="23"/>
      <c r="N80" s="23"/>
      <c r="O80" s="23"/>
      <c r="P80" s="23"/>
      <c r="Q80" s="23"/>
      <c r="R80" s="23"/>
      <c r="S80" s="23"/>
      <c r="T80" s="23"/>
      <c r="U80" s="23"/>
      <c r="V80" s="23"/>
      <c r="W80" s="23"/>
      <c r="X80" s="23"/>
      <c r="Y80" s="23"/>
      <c r="Z80" s="23"/>
      <c r="AA80" s="11"/>
    </row>
    <row r="81" spans="2:27" x14ac:dyDescent="0.2">
      <c r="B81" s="24"/>
      <c r="C81" s="23"/>
      <c r="D81" s="23"/>
      <c r="E81" s="23"/>
      <c r="F81" s="23"/>
      <c r="G81" s="23"/>
      <c r="H81" s="23"/>
      <c r="I81" s="23"/>
      <c r="J81" s="23"/>
      <c r="K81" s="23"/>
      <c r="L81" s="23"/>
      <c r="M81" s="23"/>
      <c r="N81" s="23"/>
      <c r="O81" s="23"/>
      <c r="P81" s="23"/>
      <c r="Q81" s="23"/>
      <c r="R81" s="23"/>
      <c r="S81" s="23"/>
      <c r="T81" s="23"/>
      <c r="U81" s="23"/>
      <c r="V81" s="23"/>
      <c r="W81" s="23"/>
      <c r="X81" s="23"/>
      <c r="Y81" s="23"/>
      <c r="Z81" s="23"/>
      <c r="AA81" s="11"/>
    </row>
    <row r="82" spans="2:27" x14ac:dyDescent="0.2">
      <c r="B82" s="24"/>
      <c r="C82" s="23"/>
      <c r="D82" s="23"/>
      <c r="E82" s="23"/>
      <c r="F82" s="23"/>
      <c r="G82" s="23"/>
      <c r="H82" s="23"/>
      <c r="I82" s="23"/>
      <c r="J82" s="23"/>
      <c r="K82" s="23"/>
      <c r="L82" s="23"/>
      <c r="M82" s="23"/>
      <c r="N82" s="23"/>
      <c r="O82" s="23"/>
      <c r="P82" s="23"/>
      <c r="Q82" s="23"/>
      <c r="R82" s="23"/>
      <c r="S82" s="23"/>
      <c r="T82" s="23"/>
      <c r="U82" s="23"/>
      <c r="V82" s="23"/>
      <c r="W82" s="23"/>
      <c r="X82" s="23"/>
      <c r="Y82" s="23"/>
      <c r="Z82" s="23"/>
      <c r="AA82" s="11"/>
    </row>
    <row r="83" spans="2:27" x14ac:dyDescent="0.2">
      <c r="B83" s="24"/>
      <c r="C83" s="23"/>
      <c r="D83" s="23"/>
      <c r="E83" s="23"/>
      <c r="F83" s="23"/>
      <c r="G83" s="23"/>
      <c r="H83" s="23"/>
      <c r="I83" s="23"/>
      <c r="J83" s="23"/>
      <c r="K83" s="23"/>
      <c r="L83" s="23"/>
      <c r="M83" s="23"/>
      <c r="N83" s="23"/>
      <c r="O83" s="23"/>
      <c r="P83" s="23"/>
      <c r="Q83" s="23"/>
      <c r="R83" s="23"/>
      <c r="S83" s="23"/>
      <c r="T83" s="23"/>
      <c r="U83" s="23"/>
      <c r="V83" s="23"/>
      <c r="W83" s="23"/>
      <c r="X83" s="23"/>
      <c r="Y83" s="23"/>
      <c r="Z83" s="23"/>
      <c r="AA83" s="11"/>
    </row>
    <row r="84" spans="2:27" x14ac:dyDescent="0.2">
      <c r="B84" s="24"/>
      <c r="C84" s="23"/>
      <c r="D84" s="23"/>
      <c r="E84" s="23"/>
      <c r="F84" s="23"/>
      <c r="G84" s="23"/>
      <c r="H84" s="23"/>
      <c r="I84" s="23"/>
      <c r="J84" s="23"/>
      <c r="K84" s="23"/>
      <c r="L84" s="23"/>
      <c r="M84" s="23"/>
      <c r="N84" s="23"/>
      <c r="O84" s="23"/>
      <c r="P84" s="23"/>
      <c r="Q84" s="23"/>
      <c r="R84" s="23"/>
      <c r="S84" s="23"/>
      <c r="T84" s="23"/>
      <c r="U84" s="23"/>
      <c r="V84" s="23"/>
      <c r="W84" s="23"/>
      <c r="X84" s="23"/>
      <c r="Y84" s="23"/>
      <c r="Z84" s="23"/>
      <c r="AA84" s="11"/>
    </row>
    <row r="85" spans="2:27" x14ac:dyDescent="0.2">
      <c r="B85" s="24"/>
      <c r="C85" s="23"/>
      <c r="D85" s="23"/>
      <c r="E85" s="23"/>
      <c r="F85" s="23"/>
      <c r="G85" s="23"/>
      <c r="H85" s="23"/>
      <c r="I85" s="23"/>
      <c r="J85" s="23"/>
      <c r="K85" s="23"/>
      <c r="L85" s="23"/>
      <c r="M85" s="23"/>
      <c r="N85" s="23"/>
      <c r="O85" s="23"/>
      <c r="P85" s="23"/>
      <c r="Q85" s="23"/>
      <c r="R85" s="23"/>
      <c r="S85" s="23"/>
      <c r="T85" s="23"/>
      <c r="U85" s="23"/>
      <c r="V85" s="23"/>
      <c r="W85" s="23"/>
      <c r="X85" s="23"/>
      <c r="Y85" s="23"/>
      <c r="Z85" s="23"/>
      <c r="AA85" s="11"/>
    </row>
    <row r="86" spans="2:27" x14ac:dyDescent="0.2">
      <c r="B86" s="24"/>
      <c r="C86" s="23"/>
      <c r="D86" s="23"/>
      <c r="E86" s="23"/>
      <c r="F86" s="23"/>
      <c r="G86" s="23"/>
      <c r="H86" s="23"/>
      <c r="I86" s="23"/>
      <c r="J86" s="23"/>
      <c r="K86" s="23"/>
      <c r="L86" s="23"/>
      <c r="M86" s="23"/>
      <c r="N86" s="23"/>
      <c r="O86" s="23"/>
      <c r="P86" s="23"/>
      <c r="Q86" s="23"/>
      <c r="R86" s="23"/>
      <c r="S86" s="23"/>
      <c r="T86" s="23"/>
      <c r="U86" s="23"/>
      <c r="V86" s="23"/>
      <c r="W86" s="23"/>
      <c r="X86" s="23"/>
      <c r="Y86" s="23"/>
      <c r="Z86" s="23"/>
      <c r="AA86" s="11"/>
    </row>
    <row r="87" spans="2:27" x14ac:dyDescent="0.2">
      <c r="B87" s="24"/>
      <c r="C87" s="23"/>
      <c r="D87" s="23"/>
      <c r="E87" s="23"/>
      <c r="F87" s="23"/>
      <c r="G87" s="23"/>
      <c r="H87" s="23"/>
      <c r="I87" s="23"/>
      <c r="J87" s="23"/>
      <c r="K87" s="23"/>
      <c r="L87" s="23"/>
      <c r="M87" s="23"/>
      <c r="N87" s="23"/>
      <c r="O87" s="23"/>
      <c r="P87" s="23"/>
      <c r="Q87" s="23"/>
      <c r="R87" s="23"/>
      <c r="S87" s="23"/>
      <c r="T87" s="23"/>
      <c r="U87" s="23"/>
      <c r="V87" s="23"/>
      <c r="W87" s="23"/>
      <c r="X87" s="23"/>
      <c r="Y87" s="23"/>
      <c r="Z87" s="23"/>
      <c r="AA87" s="11"/>
    </row>
    <row r="88" spans="2:27" x14ac:dyDescent="0.2">
      <c r="B88" s="24"/>
      <c r="C88" s="23"/>
      <c r="D88" s="23"/>
      <c r="E88" s="23"/>
      <c r="F88" s="23"/>
      <c r="G88" s="23"/>
      <c r="H88" s="23"/>
      <c r="I88" s="23"/>
      <c r="J88" s="23"/>
      <c r="K88" s="23"/>
      <c r="L88" s="23"/>
      <c r="M88" s="23"/>
      <c r="N88" s="23"/>
      <c r="O88" s="23"/>
      <c r="P88" s="23"/>
      <c r="Q88" s="23"/>
      <c r="R88" s="23"/>
      <c r="S88" s="23"/>
      <c r="T88" s="23"/>
      <c r="U88" s="23"/>
      <c r="V88" s="23"/>
      <c r="W88" s="23"/>
      <c r="X88" s="23"/>
      <c r="Y88" s="23"/>
      <c r="Z88" s="23"/>
      <c r="AA88" s="11"/>
    </row>
    <row r="89" spans="2:27" x14ac:dyDescent="0.2">
      <c r="B89" s="24"/>
      <c r="C89" s="23"/>
      <c r="D89" s="23"/>
      <c r="E89" s="23"/>
      <c r="F89" s="23"/>
      <c r="G89" s="23"/>
      <c r="H89" s="23"/>
      <c r="I89" s="23"/>
      <c r="J89" s="23"/>
      <c r="K89" s="23"/>
      <c r="L89" s="23"/>
      <c r="M89" s="23"/>
      <c r="N89" s="23"/>
      <c r="O89" s="23"/>
      <c r="P89" s="23"/>
      <c r="Q89" s="23"/>
      <c r="R89" s="23"/>
      <c r="S89" s="23"/>
      <c r="T89" s="23"/>
      <c r="U89" s="23"/>
      <c r="V89" s="23"/>
      <c r="W89" s="23"/>
      <c r="X89" s="23"/>
      <c r="Y89" s="23"/>
      <c r="Z89" s="23"/>
      <c r="AA89" s="11"/>
    </row>
    <row r="90" spans="2:27" x14ac:dyDescent="0.2">
      <c r="B90" s="24"/>
      <c r="C90" s="23"/>
      <c r="D90" s="23"/>
      <c r="E90" s="23"/>
      <c r="F90" s="23"/>
      <c r="G90" s="23"/>
      <c r="H90" s="23"/>
      <c r="I90" s="23"/>
      <c r="J90" s="23"/>
      <c r="K90" s="23"/>
      <c r="L90" s="23"/>
      <c r="M90" s="23"/>
      <c r="N90" s="23"/>
      <c r="O90" s="23"/>
      <c r="P90" s="23"/>
      <c r="Q90" s="23"/>
      <c r="R90" s="23"/>
      <c r="S90" s="23"/>
      <c r="T90" s="23"/>
      <c r="U90" s="23"/>
      <c r="V90" s="23"/>
      <c r="W90" s="23"/>
      <c r="X90" s="23"/>
      <c r="Y90" s="23"/>
      <c r="Z90" s="23"/>
      <c r="AA90" s="11"/>
    </row>
    <row r="91" spans="2:27" x14ac:dyDescent="0.2">
      <c r="B91" s="24"/>
      <c r="C91" s="23"/>
      <c r="D91" s="23"/>
      <c r="E91" s="23"/>
      <c r="F91" s="23"/>
      <c r="G91" s="23"/>
      <c r="H91" s="23"/>
      <c r="I91" s="23"/>
      <c r="J91" s="23"/>
      <c r="K91" s="23"/>
      <c r="L91" s="23"/>
      <c r="M91" s="23"/>
      <c r="N91" s="23"/>
      <c r="O91" s="23"/>
      <c r="P91" s="23"/>
      <c r="Q91" s="23"/>
      <c r="R91" s="23"/>
      <c r="S91" s="23"/>
      <c r="T91" s="23"/>
      <c r="U91" s="23"/>
      <c r="V91" s="23"/>
      <c r="W91" s="23"/>
      <c r="X91" s="23"/>
      <c r="Y91" s="23"/>
      <c r="Z91" s="23"/>
      <c r="AA91" s="11"/>
    </row>
    <row r="92" spans="2:27" x14ac:dyDescent="0.2">
      <c r="B92" s="24"/>
      <c r="C92" s="23"/>
      <c r="D92" s="23"/>
      <c r="E92" s="23"/>
      <c r="F92" s="23"/>
      <c r="G92" s="23"/>
      <c r="H92" s="23"/>
      <c r="I92" s="23"/>
      <c r="J92" s="23"/>
      <c r="K92" s="23"/>
      <c r="L92" s="23"/>
      <c r="M92" s="23"/>
      <c r="N92" s="23"/>
      <c r="O92" s="23"/>
      <c r="P92" s="23"/>
      <c r="Q92" s="23"/>
      <c r="R92" s="23"/>
      <c r="S92" s="23"/>
      <c r="T92" s="23"/>
      <c r="U92" s="23"/>
      <c r="V92" s="23"/>
      <c r="W92" s="23"/>
      <c r="X92" s="23"/>
      <c r="Y92" s="23"/>
      <c r="Z92" s="23"/>
      <c r="AA92" s="11"/>
    </row>
    <row r="93" spans="2:27" x14ac:dyDescent="0.2">
      <c r="B93" s="24"/>
      <c r="C93" s="23"/>
      <c r="D93" s="23"/>
      <c r="E93" s="23"/>
      <c r="F93" s="23"/>
      <c r="G93" s="23"/>
      <c r="H93" s="23"/>
      <c r="I93" s="23"/>
      <c r="J93" s="23"/>
      <c r="K93" s="23"/>
      <c r="L93" s="23"/>
      <c r="M93" s="23"/>
      <c r="N93" s="23"/>
      <c r="O93" s="23"/>
      <c r="P93" s="23"/>
      <c r="Q93" s="23"/>
      <c r="R93" s="23"/>
      <c r="S93" s="23"/>
      <c r="T93" s="23"/>
      <c r="U93" s="23"/>
      <c r="V93" s="23"/>
      <c r="W93" s="23"/>
      <c r="X93" s="23"/>
      <c r="Y93" s="23"/>
      <c r="Z93" s="23"/>
      <c r="AA93" s="11"/>
    </row>
    <row r="94" spans="2:27" x14ac:dyDescent="0.2">
      <c r="B94" s="24"/>
      <c r="C94" s="23"/>
      <c r="D94" s="23"/>
      <c r="E94" s="23"/>
      <c r="F94" s="23"/>
      <c r="G94" s="23"/>
      <c r="H94" s="23"/>
      <c r="I94" s="23"/>
      <c r="J94" s="23"/>
      <c r="K94" s="23"/>
      <c r="L94" s="23"/>
      <c r="M94" s="23"/>
      <c r="N94" s="23"/>
      <c r="O94" s="23"/>
      <c r="P94" s="23"/>
      <c r="Q94" s="23"/>
      <c r="R94" s="23"/>
      <c r="S94" s="23"/>
      <c r="T94" s="23"/>
      <c r="U94" s="23"/>
      <c r="V94" s="23"/>
      <c r="W94" s="23"/>
      <c r="X94" s="23"/>
      <c r="Y94" s="23"/>
      <c r="Z94" s="23"/>
      <c r="AA94" s="11"/>
    </row>
    <row r="95" spans="2:27" x14ac:dyDescent="0.2">
      <c r="B95" s="24"/>
      <c r="C95" s="23"/>
      <c r="D95" s="23"/>
      <c r="E95" s="23"/>
      <c r="F95" s="23"/>
      <c r="G95" s="23"/>
      <c r="H95" s="23"/>
      <c r="I95" s="23"/>
      <c r="J95" s="23"/>
      <c r="K95" s="23"/>
      <c r="L95" s="23"/>
      <c r="M95" s="23"/>
      <c r="N95" s="23"/>
      <c r="O95" s="23"/>
      <c r="P95" s="23"/>
      <c r="Q95" s="23"/>
      <c r="R95" s="23"/>
      <c r="S95" s="23"/>
      <c r="T95" s="23"/>
      <c r="U95" s="23"/>
      <c r="V95" s="23"/>
      <c r="W95" s="23"/>
      <c r="X95" s="23"/>
      <c r="Y95" s="23"/>
      <c r="Z95" s="23"/>
      <c r="AA95" s="11"/>
    </row>
    <row r="96" spans="2:27" x14ac:dyDescent="0.2">
      <c r="B96" s="24"/>
      <c r="C96" s="23"/>
      <c r="D96" s="23"/>
      <c r="E96" s="23"/>
      <c r="F96" s="23"/>
      <c r="G96" s="23"/>
      <c r="H96" s="23"/>
      <c r="I96" s="23"/>
      <c r="J96" s="23"/>
      <c r="K96" s="23"/>
      <c r="L96" s="23"/>
      <c r="M96" s="23"/>
      <c r="N96" s="23"/>
      <c r="O96" s="23"/>
      <c r="P96" s="23"/>
      <c r="Q96" s="23"/>
      <c r="R96" s="23"/>
      <c r="S96" s="23"/>
      <c r="T96" s="23"/>
      <c r="U96" s="23"/>
      <c r="V96" s="23"/>
      <c r="W96" s="23"/>
      <c r="X96" s="23"/>
      <c r="Y96" s="23"/>
      <c r="Z96" s="23"/>
      <c r="AA96" s="11"/>
    </row>
    <row r="97" spans="2:27" x14ac:dyDescent="0.2">
      <c r="B97" s="24"/>
      <c r="C97" s="23"/>
      <c r="D97" s="23"/>
      <c r="E97" s="23"/>
      <c r="F97" s="23"/>
      <c r="G97" s="23"/>
      <c r="H97" s="23"/>
      <c r="I97" s="23"/>
      <c r="J97" s="23"/>
      <c r="K97" s="23"/>
      <c r="L97" s="23"/>
      <c r="M97" s="23"/>
      <c r="N97" s="23"/>
      <c r="O97" s="23"/>
      <c r="P97" s="23"/>
      <c r="Q97" s="23"/>
      <c r="R97" s="23"/>
      <c r="S97" s="23"/>
      <c r="T97" s="23"/>
      <c r="U97" s="23"/>
      <c r="V97" s="23"/>
      <c r="W97" s="23"/>
      <c r="X97" s="23"/>
      <c r="Y97" s="23"/>
      <c r="Z97" s="23"/>
      <c r="AA97" s="11"/>
    </row>
    <row r="98" spans="2:27" x14ac:dyDescent="0.2">
      <c r="B98" s="24"/>
      <c r="C98" s="23"/>
      <c r="D98" s="23"/>
      <c r="E98" s="23"/>
      <c r="F98" s="23"/>
      <c r="G98" s="23"/>
      <c r="H98" s="23"/>
      <c r="I98" s="23"/>
      <c r="J98" s="23"/>
      <c r="K98" s="23"/>
      <c r="L98" s="23"/>
      <c r="M98" s="23"/>
      <c r="N98" s="23"/>
      <c r="O98" s="23"/>
      <c r="P98" s="23"/>
      <c r="Q98" s="23"/>
      <c r="R98" s="23"/>
      <c r="S98" s="23"/>
      <c r="T98" s="23"/>
      <c r="U98" s="23"/>
      <c r="V98" s="23"/>
      <c r="W98" s="23"/>
      <c r="X98" s="23"/>
      <c r="Y98" s="23"/>
      <c r="Z98" s="23"/>
      <c r="AA98" s="11"/>
    </row>
    <row r="99" spans="2:27" x14ac:dyDescent="0.2">
      <c r="B99" s="24"/>
      <c r="C99" s="23"/>
      <c r="D99" s="23"/>
      <c r="E99" s="23"/>
      <c r="F99" s="23"/>
      <c r="G99" s="23"/>
      <c r="H99" s="23"/>
      <c r="I99" s="23"/>
      <c r="J99" s="23"/>
      <c r="K99" s="23"/>
      <c r="L99" s="23"/>
      <c r="M99" s="23"/>
      <c r="N99" s="23"/>
      <c r="O99" s="23"/>
      <c r="P99" s="23"/>
      <c r="Q99" s="23"/>
      <c r="R99" s="23"/>
      <c r="S99" s="23"/>
      <c r="T99" s="23"/>
      <c r="U99" s="23"/>
      <c r="V99" s="23"/>
      <c r="W99" s="23"/>
      <c r="X99" s="23"/>
      <c r="Y99" s="23"/>
      <c r="Z99" s="23"/>
      <c r="AA99" s="11"/>
    </row>
    <row r="100" spans="2:27" x14ac:dyDescent="0.2">
      <c r="B100" s="49"/>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13"/>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S300"/>
  <sheetViews>
    <sheetView workbookViewId="0"/>
  </sheetViews>
  <sheetFormatPr defaultRowHeight="12.75" x14ac:dyDescent="0.2"/>
  <cols>
    <col min="1" max="1" width="22.140625" style="222" bestFit="1" customWidth="1"/>
    <col min="2" max="2" width="13.85546875" style="58" bestFit="1" customWidth="1"/>
    <col min="3" max="3" width="15.140625" style="58" customWidth="1"/>
    <col min="4" max="9" width="9.140625" style="58" customWidth="1"/>
    <col min="12" max="28" width="9.140625" style="58" customWidth="1"/>
    <col min="29" max="63" width="9.140625" style="83" customWidth="1"/>
    <col min="64" max="71" width="9.140625" style="58" customWidth="1"/>
  </cols>
  <sheetData>
    <row r="1" spans="1:63" x14ac:dyDescent="0.2">
      <c r="A1" s="246">
        <f ca="1">NOW()</f>
        <v>44631.687362268516</v>
      </c>
      <c r="B1" s="1"/>
      <c r="C1" s="1"/>
      <c r="D1" s="1"/>
      <c r="E1" s="1"/>
      <c r="F1" s="1"/>
      <c r="G1" s="1"/>
      <c r="H1" s="1"/>
      <c r="I1" s="1"/>
      <c r="J1" s="2"/>
      <c r="K1" s="2"/>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x14ac:dyDescent="0.2">
      <c r="A2" s="220"/>
      <c r="B2" s="1"/>
      <c r="C2" s="1"/>
      <c r="D2" s="52" t="s">
        <v>32</v>
      </c>
      <c r="E2" s="51" t="str">
        <f>'Target Site'!F3</f>
        <v>EXAMPLE CALCULATION</v>
      </c>
      <c r="F2" s="1"/>
      <c r="G2" s="1"/>
      <c r="H2" s="1"/>
      <c r="I2" s="1"/>
      <c r="J2" s="2"/>
      <c r="K2" s="2"/>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row>
    <row r="3" spans="1:63" x14ac:dyDescent="0.2">
      <c r="A3" s="220"/>
      <c r="B3" s="1"/>
      <c r="C3" s="51" t="s">
        <v>174</v>
      </c>
      <c r="D3" s="1"/>
      <c r="E3" s="1"/>
      <c r="F3" s="1"/>
      <c r="G3" s="1"/>
      <c r="H3" s="1"/>
      <c r="I3" s="1"/>
      <c r="J3" s="2"/>
      <c r="K3" s="2"/>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ht="13.5" thickBot="1" x14ac:dyDescent="0.25">
      <c r="A4" s="220"/>
      <c r="B4" s="1"/>
      <c r="C4" s="1"/>
      <c r="D4" s="62"/>
      <c r="E4" s="1"/>
      <c r="F4" s="1"/>
      <c r="G4" s="1"/>
      <c r="H4" s="1"/>
      <c r="I4" s="1"/>
      <c r="J4" s="2"/>
      <c r="K4" s="2"/>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row>
    <row r="5" spans="1:63" ht="13.5" thickBot="1" x14ac:dyDescent="0.25">
      <c r="A5" s="220"/>
      <c r="B5" s="1"/>
      <c r="C5" s="204" t="s">
        <v>144</v>
      </c>
      <c r="D5" s="213"/>
      <c r="E5" s="211">
        <v>1</v>
      </c>
      <c r="F5" s="212"/>
      <c r="G5" s="209"/>
      <c r="H5" s="203">
        <v>2</v>
      </c>
      <c r="I5" s="210"/>
      <c r="J5" s="209"/>
      <c r="K5" s="203">
        <v>3</v>
      </c>
      <c r="L5" s="210"/>
      <c r="M5" s="209"/>
      <c r="N5" s="203">
        <v>4</v>
      </c>
      <c r="O5" s="210"/>
      <c r="P5" s="209"/>
      <c r="Q5" s="203">
        <v>5</v>
      </c>
      <c r="R5" s="210"/>
      <c r="S5" s="209"/>
      <c r="T5" s="203">
        <v>6</v>
      </c>
      <c r="U5" s="210"/>
      <c r="V5" s="209"/>
      <c r="W5" s="203">
        <v>7</v>
      </c>
      <c r="X5" s="210"/>
      <c r="Y5" s="209"/>
      <c r="Z5" s="203">
        <v>8</v>
      </c>
      <c r="AA5" s="203"/>
      <c r="AB5" s="209"/>
      <c r="AC5" s="203">
        <v>9</v>
      </c>
      <c r="AD5" s="210"/>
      <c r="AE5" s="209"/>
      <c r="AF5" s="203">
        <v>10</v>
      </c>
      <c r="AG5" s="210"/>
      <c r="AH5" s="209"/>
      <c r="AI5" s="203">
        <v>11</v>
      </c>
      <c r="AJ5" s="210"/>
      <c r="AK5" s="209"/>
      <c r="AL5" s="203">
        <v>12</v>
      </c>
      <c r="AM5" s="210"/>
      <c r="AN5" s="209"/>
      <c r="AO5" s="203">
        <v>13</v>
      </c>
      <c r="AP5" s="210"/>
      <c r="AQ5" s="209"/>
      <c r="AR5" s="203">
        <v>14</v>
      </c>
      <c r="AS5" s="210"/>
      <c r="AT5" s="209"/>
      <c r="AU5" s="203">
        <v>15</v>
      </c>
      <c r="AV5" s="210"/>
      <c r="AW5" s="209"/>
      <c r="AX5" s="203">
        <v>16</v>
      </c>
      <c r="AY5" s="210"/>
      <c r="AZ5" s="209"/>
      <c r="BA5" s="203">
        <v>17</v>
      </c>
      <c r="BB5" s="210"/>
      <c r="BC5" s="209"/>
      <c r="BD5" s="203">
        <v>18</v>
      </c>
      <c r="BE5" s="210"/>
      <c r="BF5" s="209"/>
      <c r="BG5" s="203">
        <v>19</v>
      </c>
      <c r="BH5" s="210"/>
      <c r="BI5" s="209"/>
      <c r="BJ5" s="203">
        <v>20</v>
      </c>
      <c r="BK5" s="210"/>
    </row>
    <row r="6" spans="1:63" ht="19.5" thickBot="1" x14ac:dyDescent="0.4">
      <c r="A6" s="221"/>
      <c r="B6" s="218" t="s">
        <v>161</v>
      </c>
      <c r="C6" s="217" t="s">
        <v>6</v>
      </c>
      <c r="D6" s="214" t="s">
        <v>158</v>
      </c>
      <c r="E6" s="215" t="s">
        <v>159</v>
      </c>
      <c r="F6" s="216" t="s">
        <v>160</v>
      </c>
      <c r="G6" s="214" t="s">
        <v>158</v>
      </c>
      <c r="H6" s="215" t="s">
        <v>159</v>
      </c>
      <c r="I6" s="216" t="s">
        <v>160</v>
      </c>
      <c r="J6" s="214" t="s">
        <v>158</v>
      </c>
      <c r="K6" s="215" t="s">
        <v>159</v>
      </c>
      <c r="L6" s="216" t="s">
        <v>160</v>
      </c>
      <c r="M6" s="214" t="s">
        <v>158</v>
      </c>
      <c r="N6" s="215" t="s">
        <v>159</v>
      </c>
      <c r="O6" s="216" t="s">
        <v>160</v>
      </c>
      <c r="P6" s="214" t="s">
        <v>158</v>
      </c>
      <c r="Q6" s="215" t="s">
        <v>159</v>
      </c>
      <c r="R6" s="216" t="s">
        <v>160</v>
      </c>
      <c r="S6" s="214" t="s">
        <v>158</v>
      </c>
      <c r="T6" s="215" t="s">
        <v>159</v>
      </c>
      <c r="U6" s="216" t="s">
        <v>160</v>
      </c>
      <c r="V6" s="214" t="s">
        <v>158</v>
      </c>
      <c r="W6" s="215" t="s">
        <v>159</v>
      </c>
      <c r="X6" s="216" t="s">
        <v>160</v>
      </c>
      <c r="Y6" s="214" t="s">
        <v>158</v>
      </c>
      <c r="Z6" s="215" t="s">
        <v>159</v>
      </c>
      <c r="AA6" s="216" t="s">
        <v>160</v>
      </c>
      <c r="AB6" s="214" t="s">
        <v>158</v>
      </c>
      <c r="AC6" s="215" t="s">
        <v>159</v>
      </c>
      <c r="AD6" s="216" t="s">
        <v>160</v>
      </c>
      <c r="AE6" s="214" t="s">
        <v>158</v>
      </c>
      <c r="AF6" s="215" t="s">
        <v>159</v>
      </c>
      <c r="AG6" s="216" t="s">
        <v>160</v>
      </c>
      <c r="AH6" s="214" t="s">
        <v>158</v>
      </c>
      <c r="AI6" s="215" t="s">
        <v>159</v>
      </c>
      <c r="AJ6" s="216" t="s">
        <v>160</v>
      </c>
      <c r="AK6" s="214" t="s">
        <v>158</v>
      </c>
      <c r="AL6" s="215" t="s">
        <v>159</v>
      </c>
      <c r="AM6" s="216" t="s">
        <v>160</v>
      </c>
      <c r="AN6" s="214" t="s">
        <v>158</v>
      </c>
      <c r="AO6" s="215" t="s">
        <v>159</v>
      </c>
      <c r="AP6" s="216" t="s">
        <v>160</v>
      </c>
      <c r="AQ6" s="214" t="s">
        <v>158</v>
      </c>
      <c r="AR6" s="215" t="s">
        <v>159</v>
      </c>
      <c r="AS6" s="216" t="s">
        <v>160</v>
      </c>
      <c r="AT6" s="214" t="s">
        <v>158</v>
      </c>
      <c r="AU6" s="215" t="s">
        <v>159</v>
      </c>
      <c r="AV6" s="216" t="s">
        <v>160</v>
      </c>
      <c r="AW6" s="214" t="s">
        <v>158</v>
      </c>
      <c r="AX6" s="215" t="s">
        <v>159</v>
      </c>
      <c r="AY6" s="216" t="s">
        <v>160</v>
      </c>
      <c r="AZ6" s="214" t="s">
        <v>158</v>
      </c>
      <c r="BA6" s="215" t="s">
        <v>159</v>
      </c>
      <c r="BB6" s="216" t="s">
        <v>160</v>
      </c>
      <c r="BC6" s="214" t="s">
        <v>158</v>
      </c>
      <c r="BD6" s="215" t="s">
        <v>159</v>
      </c>
      <c r="BE6" s="216" t="s">
        <v>160</v>
      </c>
      <c r="BF6" s="214" t="s">
        <v>158</v>
      </c>
      <c r="BG6" s="215" t="s">
        <v>159</v>
      </c>
      <c r="BH6" s="216" t="s">
        <v>160</v>
      </c>
      <c r="BI6" s="214" t="s">
        <v>158</v>
      </c>
      <c r="BJ6" s="215" t="s">
        <v>159</v>
      </c>
      <c r="BK6" s="216" t="s">
        <v>160</v>
      </c>
    </row>
    <row r="7" spans="1:63" x14ac:dyDescent="0.2">
      <c r="A7" s="220"/>
      <c r="B7" s="219"/>
      <c r="C7" s="202"/>
      <c r="D7" s="262"/>
      <c r="E7" s="263"/>
      <c r="F7" s="264"/>
      <c r="G7" s="262"/>
      <c r="H7" s="263"/>
      <c r="I7" s="264"/>
      <c r="J7" s="269"/>
      <c r="K7" s="270"/>
      <c r="L7" s="264"/>
      <c r="M7" s="262"/>
      <c r="N7" s="263"/>
      <c r="O7" s="264"/>
      <c r="P7" s="262"/>
      <c r="Q7" s="263"/>
      <c r="R7" s="264"/>
      <c r="S7" s="271"/>
      <c r="U7" s="226"/>
      <c r="X7" s="226"/>
      <c r="Y7" s="272"/>
      <c r="Z7" s="227"/>
      <c r="AA7" s="226"/>
      <c r="AD7" s="228"/>
      <c r="AG7" s="228"/>
    </row>
    <row r="8" spans="1:63" x14ac:dyDescent="0.2">
      <c r="A8" s="223" t="s">
        <v>150</v>
      </c>
      <c r="B8" s="219"/>
      <c r="C8" s="202"/>
      <c r="D8" s="262"/>
      <c r="E8" s="263"/>
      <c r="F8" s="264"/>
      <c r="G8" s="262"/>
      <c r="H8" s="263"/>
      <c r="I8" s="264"/>
      <c r="J8" s="269"/>
      <c r="K8" s="270"/>
      <c r="L8" s="264"/>
      <c r="M8" s="262"/>
      <c r="N8" s="263"/>
      <c r="O8" s="264"/>
      <c r="P8" s="262"/>
      <c r="Q8" s="263"/>
      <c r="R8" s="264"/>
      <c r="S8" s="271"/>
      <c r="U8" s="87"/>
      <c r="X8" s="87"/>
      <c r="Y8" s="262"/>
      <c r="Z8" s="134"/>
      <c r="AA8" s="87"/>
      <c r="AD8" s="11"/>
      <c r="AG8" s="11"/>
    </row>
    <row r="9" spans="1:63" x14ac:dyDescent="0.2">
      <c r="A9" s="223" t="s">
        <v>152</v>
      </c>
      <c r="B9" s="219"/>
      <c r="C9" s="202"/>
      <c r="D9" s="262"/>
      <c r="E9" s="263"/>
      <c r="F9" s="264"/>
      <c r="G9" s="262"/>
      <c r="H9" s="263"/>
      <c r="I9" s="264"/>
      <c r="J9" s="269"/>
      <c r="K9" s="270"/>
      <c r="L9" s="264"/>
      <c r="M9" s="262"/>
      <c r="N9" s="263"/>
      <c r="O9" s="264"/>
      <c r="P9" s="262"/>
      <c r="Q9" s="263"/>
      <c r="R9" s="264"/>
      <c r="S9" s="271"/>
      <c r="U9" s="87"/>
      <c r="X9" s="87"/>
      <c r="Y9" s="262"/>
      <c r="Z9" s="134"/>
      <c r="AA9" s="87"/>
      <c r="AD9" s="11"/>
      <c r="AG9" s="11"/>
    </row>
    <row r="10" spans="1:63" x14ac:dyDescent="0.2">
      <c r="A10" s="223" t="s">
        <v>151</v>
      </c>
      <c r="B10" s="219"/>
      <c r="C10" s="202"/>
      <c r="D10" s="262"/>
      <c r="E10" s="263"/>
      <c r="F10" s="264"/>
      <c r="G10" s="205"/>
      <c r="H10" s="134"/>
      <c r="I10" s="87"/>
      <c r="J10" s="224"/>
      <c r="K10" s="166"/>
      <c r="L10" s="87"/>
      <c r="M10" s="205"/>
      <c r="N10" s="134"/>
      <c r="O10" s="87"/>
      <c r="P10" s="262"/>
      <c r="Q10" s="263"/>
      <c r="R10" s="264"/>
      <c r="U10" s="87"/>
      <c r="X10" s="87"/>
      <c r="Y10" s="205"/>
      <c r="Z10" s="134"/>
      <c r="AA10" s="87"/>
      <c r="AD10" s="11"/>
      <c r="AG10" s="11"/>
    </row>
    <row r="11" spans="1:63" x14ac:dyDescent="0.2">
      <c r="A11" s="223" t="s">
        <v>146</v>
      </c>
      <c r="B11" s="219"/>
      <c r="C11" s="202"/>
      <c r="D11" s="262"/>
      <c r="E11" s="263"/>
      <c r="F11" s="264"/>
      <c r="G11" s="262"/>
      <c r="H11" s="263"/>
      <c r="I11" s="264"/>
      <c r="J11" s="269"/>
      <c r="K11" s="270"/>
      <c r="L11" s="264"/>
      <c r="M11" s="262"/>
      <c r="N11" s="263"/>
      <c r="O11" s="264"/>
      <c r="P11" s="262"/>
      <c r="Q11" s="263"/>
      <c r="R11" s="264"/>
      <c r="S11" s="271"/>
      <c r="U11" s="87"/>
      <c r="X11" s="87"/>
      <c r="Y11" s="262"/>
      <c r="Z11" s="134"/>
      <c r="AA11" s="87"/>
      <c r="AD11" s="11"/>
      <c r="AG11" s="11"/>
    </row>
    <row r="12" spans="1:63" x14ac:dyDescent="0.2">
      <c r="A12" s="223" t="s">
        <v>148</v>
      </c>
      <c r="B12" s="219"/>
      <c r="C12" s="202"/>
      <c r="D12" s="262"/>
      <c r="E12" s="263"/>
      <c r="F12" s="264"/>
      <c r="G12" s="262"/>
      <c r="H12" s="263"/>
      <c r="I12" s="264"/>
      <c r="J12" s="269"/>
      <c r="K12" s="270"/>
      <c r="L12" s="264"/>
      <c r="M12" s="262"/>
      <c r="N12" s="263"/>
      <c r="O12" s="264"/>
      <c r="P12" s="262"/>
      <c r="Q12" s="263"/>
      <c r="R12" s="264"/>
      <c r="S12" s="271"/>
      <c r="U12" s="87"/>
      <c r="X12" s="87"/>
      <c r="Y12" s="262"/>
      <c r="Z12" s="134"/>
      <c r="AA12" s="87"/>
      <c r="AD12" s="11"/>
      <c r="AG12" s="11"/>
    </row>
    <row r="13" spans="1:63" x14ac:dyDescent="0.2">
      <c r="A13" s="223" t="s">
        <v>145</v>
      </c>
      <c r="B13" s="219"/>
      <c r="C13" s="202"/>
      <c r="D13" s="262"/>
      <c r="E13" s="263"/>
      <c r="F13" s="264"/>
      <c r="G13" s="262"/>
      <c r="H13" s="263"/>
      <c r="I13" s="264"/>
      <c r="J13" s="269"/>
      <c r="K13" s="270"/>
      <c r="L13" s="264"/>
      <c r="M13" s="262"/>
      <c r="N13" s="263"/>
      <c r="O13" s="264"/>
      <c r="P13" s="262"/>
      <c r="Q13" s="263"/>
      <c r="R13" s="264"/>
      <c r="S13" s="271"/>
      <c r="T13" s="271"/>
      <c r="U13" s="264"/>
      <c r="X13" s="87"/>
      <c r="Y13" s="262"/>
      <c r="Z13" s="134"/>
      <c r="AA13" s="87"/>
      <c r="AD13" s="11"/>
      <c r="AG13" s="11"/>
    </row>
    <row r="14" spans="1:63" x14ac:dyDescent="0.2">
      <c r="A14" s="223" t="s">
        <v>149</v>
      </c>
      <c r="B14" s="219"/>
      <c r="C14" s="202"/>
      <c r="D14" s="262"/>
      <c r="E14" s="263"/>
      <c r="F14" s="264"/>
      <c r="G14" s="205"/>
      <c r="H14" s="134"/>
      <c r="I14" s="87"/>
      <c r="J14" s="224"/>
      <c r="K14" s="166"/>
      <c r="L14" s="87"/>
      <c r="M14" s="205"/>
      <c r="N14" s="134"/>
      <c r="O14" s="87"/>
      <c r="P14" s="262"/>
      <c r="Q14" s="263"/>
      <c r="R14" s="264"/>
      <c r="S14" s="271"/>
      <c r="T14" s="271"/>
      <c r="U14" s="264"/>
      <c r="X14" s="87"/>
      <c r="Y14" s="205"/>
      <c r="Z14" s="134"/>
      <c r="AA14" s="87"/>
      <c r="AD14" s="11"/>
      <c r="AG14" s="11"/>
    </row>
    <row r="15" spans="1:63" x14ac:dyDescent="0.2">
      <c r="A15" s="223" t="s">
        <v>147</v>
      </c>
      <c r="B15" s="219"/>
      <c r="C15" s="202"/>
      <c r="D15" s="262"/>
      <c r="E15" s="263"/>
      <c r="F15" s="264"/>
      <c r="G15" s="262"/>
      <c r="H15" s="263"/>
      <c r="I15" s="264"/>
      <c r="J15" s="269"/>
      <c r="K15" s="270"/>
      <c r="L15" s="264"/>
      <c r="M15" s="262"/>
      <c r="N15" s="263"/>
      <c r="O15" s="264"/>
      <c r="P15" s="262"/>
      <c r="Q15" s="263"/>
      <c r="R15" s="264"/>
      <c r="S15" s="271"/>
      <c r="U15" s="87"/>
      <c r="X15" s="87"/>
      <c r="Y15" s="262"/>
      <c r="Z15" s="134"/>
      <c r="AA15" s="87"/>
      <c r="AD15" s="11"/>
      <c r="AG15" s="11"/>
    </row>
    <row r="16" spans="1:63" x14ac:dyDescent="0.2">
      <c r="A16" s="223"/>
      <c r="B16" s="219"/>
      <c r="C16" s="202"/>
      <c r="D16" s="262"/>
      <c r="E16" s="263"/>
      <c r="F16" s="264"/>
      <c r="G16" s="262"/>
      <c r="H16" s="263"/>
      <c r="I16" s="264"/>
      <c r="J16" s="269"/>
      <c r="K16" s="270"/>
      <c r="L16" s="264"/>
      <c r="M16" s="262"/>
      <c r="N16" s="263"/>
      <c r="O16" s="264"/>
      <c r="P16" s="262"/>
      <c r="Q16" s="263"/>
      <c r="R16" s="264"/>
      <c r="S16" s="271"/>
      <c r="T16" s="271"/>
      <c r="U16" s="264"/>
      <c r="X16" s="87"/>
      <c r="Y16" s="262"/>
      <c r="Z16" s="134"/>
      <c r="AA16" s="87"/>
      <c r="AD16" s="11"/>
      <c r="AG16" s="11"/>
    </row>
    <row r="17" spans="1:33" x14ac:dyDescent="0.2">
      <c r="A17" s="223"/>
      <c r="B17" s="219"/>
      <c r="C17" s="202"/>
      <c r="D17" s="262"/>
      <c r="E17" s="263"/>
      <c r="F17" s="264"/>
      <c r="G17" s="262"/>
      <c r="H17" s="263"/>
      <c r="I17" s="264"/>
      <c r="J17" s="269"/>
      <c r="K17" s="270"/>
      <c r="L17" s="264"/>
      <c r="M17" s="262"/>
      <c r="N17" s="263"/>
      <c r="O17" s="264"/>
      <c r="P17" s="262"/>
      <c r="Q17" s="263"/>
      <c r="R17" s="264"/>
      <c r="S17" s="271"/>
      <c r="T17" s="271"/>
      <c r="U17" s="264"/>
      <c r="X17" s="87"/>
      <c r="Y17" s="262"/>
      <c r="Z17" s="134"/>
      <c r="AA17" s="87"/>
      <c r="AD17" s="11"/>
      <c r="AG17" s="11"/>
    </row>
    <row r="18" spans="1:33" x14ac:dyDescent="0.2">
      <c r="A18" s="220"/>
      <c r="B18" s="219"/>
      <c r="C18" s="202"/>
      <c r="D18" s="262"/>
      <c r="E18" s="263"/>
      <c r="F18" s="264"/>
      <c r="G18" s="205"/>
      <c r="H18" s="134"/>
      <c r="I18" s="87"/>
      <c r="J18" s="224"/>
      <c r="K18" s="166"/>
      <c r="L18" s="87"/>
      <c r="M18" s="205"/>
      <c r="N18" s="134"/>
      <c r="O18" s="87"/>
      <c r="P18" s="205"/>
      <c r="Q18" s="134"/>
      <c r="R18" s="87"/>
      <c r="U18" s="87"/>
      <c r="X18" s="87"/>
      <c r="Y18" s="205"/>
      <c r="Z18" s="134"/>
      <c r="AA18" s="87"/>
      <c r="AD18" s="11"/>
      <c r="AG18" s="11"/>
    </row>
    <row r="19" spans="1:33" x14ac:dyDescent="0.2">
      <c r="A19" s="220"/>
      <c r="B19" s="219"/>
      <c r="C19" s="202"/>
      <c r="D19" s="262"/>
      <c r="E19" s="263"/>
      <c r="F19" s="264"/>
      <c r="G19" s="262"/>
      <c r="H19" s="263"/>
      <c r="I19" s="264"/>
      <c r="J19" s="269"/>
      <c r="K19" s="270"/>
      <c r="L19" s="264"/>
      <c r="M19" s="262"/>
      <c r="N19" s="263"/>
      <c r="O19" s="264"/>
      <c r="P19" s="262"/>
      <c r="Q19" s="263"/>
      <c r="R19" s="264"/>
      <c r="S19" s="271"/>
      <c r="T19" s="271"/>
      <c r="U19" s="264"/>
      <c r="X19" s="87"/>
      <c r="Y19" s="262"/>
      <c r="Z19" s="134"/>
      <c r="AA19" s="87"/>
      <c r="AD19" s="11"/>
      <c r="AG19" s="11"/>
    </row>
    <row r="20" spans="1:33" x14ac:dyDescent="0.2">
      <c r="A20" s="220"/>
      <c r="B20" s="219"/>
      <c r="C20" s="202"/>
      <c r="D20" s="262"/>
      <c r="E20" s="263"/>
      <c r="F20" s="264"/>
      <c r="G20" s="262"/>
      <c r="H20" s="263"/>
      <c r="I20" s="264"/>
      <c r="J20" s="269"/>
      <c r="K20" s="270"/>
      <c r="L20" s="264"/>
      <c r="M20" s="262"/>
      <c r="N20" s="263"/>
      <c r="O20" s="264"/>
      <c r="P20" s="262"/>
      <c r="Q20" s="263"/>
      <c r="R20" s="264"/>
      <c r="S20" s="271"/>
      <c r="T20" s="271"/>
      <c r="U20" s="264"/>
      <c r="X20" s="87"/>
      <c r="Y20" s="262"/>
      <c r="Z20" s="134"/>
      <c r="AA20" s="87"/>
      <c r="AD20" s="11"/>
      <c r="AG20" s="11"/>
    </row>
    <row r="21" spans="1:33" x14ac:dyDescent="0.2">
      <c r="A21" s="220"/>
      <c r="B21" s="219"/>
      <c r="C21" s="202"/>
      <c r="D21" s="262"/>
      <c r="E21" s="263"/>
      <c r="F21" s="264"/>
      <c r="G21" s="262"/>
      <c r="H21" s="263"/>
      <c r="I21" s="264"/>
      <c r="J21" s="269"/>
      <c r="K21" s="270"/>
      <c r="L21" s="264"/>
      <c r="M21" s="262"/>
      <c r="N21" s="263"/>
      <c r="O21" s="264"/>
      <c r="P21" s="262"/>
      <c r="Q21" s="263"/>
      <c r="R21" s="264"/>
      <c r="S21" s="271"/>
      <c r="U21" s="87"/>
      <c r="X21" s="87"/>
      <c r="Y21" s="262"/>
      <c r="Z21" s="134"/>
      <c r="AA21" s="87"/>
      <c r="AD21" s="11"/>
      <c r="AG21" s="11"/>
    </row>
    <row r="22" spans="1:33" x14ac:dyDescent="0.2">
      <c r="A22" s="220"/>
      <c r="B22" s="219"/>
      <c r="C22" s="202"/>
      <c r="D22" s="262"/>
      <c r="E22" s="263"/>
      <c r="F22" s="264"/>
      <c r="G22" s="205"/>
      <c r="H22" s="134"/>
      <c r="I22" s="87"/>
      <c r="J22" s="224"/>
      <c r="K22" s="166"/>
      <c r="L22" s="87"/>
      <c r="M22" s="205"/>
      <c r="N22" s="134"/>
      <c r="O22" s="87"/>
      <c r="P22" s="262"/>
      <c r="Q22" s="263"/>
      <c r="R22" s="264"/>
      <c r="S22" s="271"/>
      <c r="T22" s="271"/>
      <c r="U22" s="264"/>
      <c r="X22" s="87"/>
      <c r="Y22" s="205"/>
      <c r="Z22" s="134"/>
      <c r="AA22" s="87"/>
      <c r="AD22" s="11"/>
      <c r="AG22" s="11"/>
    </row>
    <row r="23" spans="1:33" x14ac:dyDescent="0.2">
      <c r="A23" s="220"/>
      <c r="B23" s="219"/>
      <c r="C23" s="202"/>
      <c r="D23" s="262"/>
      <c r="E23" s="263"/>
      <c r="F23" s="264"/>
      <c r="G23" s="262"/>
      <c r="H23" s="263"/>
      <c r="I23" s="264"/>
      <c r="J23" s="269"/>
      <c r="K23" s="270"/>
      <c r="L23" s="264"/>
      <c r="M23" s="262"/>
      <c r="N23" s="263"/>
      <c r="O23" s="264"/>
      <c r="P23" s="262"/>
      <c r="Q23" s="263"/>
      <c r="R23" s="264"/>
      <c r="S23" s="271"/>
      <c r="T23" s="271"/>
      <c r="U23" s="264"/>
      <c r="X23" s="87"/>
      <c r="Y23" s="262"/>
      <c r="Z23" s="134"/>
      <c r="AA23" s="87"/>
      <c r="AD23" s="11"/>
      <c r="AG23" s="11"/>
    </row>
    <row r="24" spans="1:33" x14ac:dyDescent="0.2">
      <c r="A24" s="220"/>
      <c r="B24" s="219"/>
      <c r="C24" s="202"/>
      <c r="D24" s="262"/>
      <c r="E24" s="263"/>
      <c r="F24" s="264"/>
      <c r="G24" s="262"/>
      <c r="H24" s="263"/>
      <c r="I24" s="264"/>
      <c r="J24" s="269"/>
      <c r="K24" s="270"/>
      <c r="L24" s="264"/>
      <c r="M24" s="262"/>
      <c r="N24" s="263"/>
      <c r="O24" s="264"/>
      <c r="P24" s="262"/>
      <c r="Q24" s="263"/>
      <c r="R24" s="264"/>
      <c r="S24" s="271"/>
      <c r="U24" s="87"/>
      <c r="X24" s="87"/>
      <c r="Y24" s="262"/>
      <c r="Z24" s="134"/>
      <c r="AA24" s="87"/>
      <c r="AD24" s="11"/>
      <c r="AG24" s="11"/>
    </row>
    <row r="25" spans="1:33" x14ac:dyDescent="0.2">
      <c r="A25" s="220"/>
      <c r="B25" s="219"/>
      <c r="C25" s="202"/>
      <c r="D25" s="262"/>
      <c r="E25" s="263"/>
      <c r="F25" s="264"/>
      <c r="G25" s="262"/>
      <c r="H25" s="263"/>
      <c r="I25" s="264"/>
      <c r="J25" s="269"/>
      <c r="K25" s="270"/>
      <c r="L25" s="264"/>
      <c r="M25" s="262"/>
      <c r="N25" s="263"/>
      <c r="O25" s="264"/>
      <c r="P25" s="262"/>
      <c r="Q25" s="263"/>
      <c r="R25" s="264"/>
      <c r="S25" s="271"/>
      <c r="T25" s="271"/>
      <c r="U25" s="264"/>
      <c r="X25" s="87"/>
      <c r="Y25" s="262"/>
      <c r="Z25" s="134"/>
      <c r="AA25" s="87"/>
      <c r="AD25" s="11"/>
      <c r="AG25" s="11"/>
    </row>
    <row r="26" spans="1:33" x14ac:dyDescent="0.2">
      <c r="A26" s="220"/>
      <c r="B26" s="219"/>
      <c r="C26" s="202"/>
      <c r="D26" s="262"/>
      <c r="E26" s="263"/>
      <c r="F26" s="264"/>
      <c r="G26" s="205"/>
      <c r="H26" s="134"/>
      <c r="I26" s="87"/>
      <c r="J26" s="224"/>
      <c r="K26" s="166"/>
      <c r="L26" s="87"/>
      <c r="M26" s="205"/>
      <c r="N26" s="134"/>
      <c r="O26" s="87"/>
      <c r="P26" s="262"/>
      <c r="Q26" s="263"/>
      <c r="R26" s="264"/>
      <c r="S26" s="271"/>
      <c r="T26" s="271"/>
      <c r="U26" s="264"/>
      <c r="X26" s="87"/>
      <c r="Y26" s="205"/>
      <c r="Z26" s="134"/>
      <c r="AA26" s="87"/>
      <c r="AD26" s="11"/>
      <c r="AG26" s="11"/>
    </row>
    <row r="27" spans="1:33" x14ac:dyDescent="0.2">
      <c r="A27" s="220"/>
      <c r="B27" s="219"/>
      <c r="C27" s="202"/>
      <c r="D27" s="262"/>
      <c r="E27" s="263"/>
      <c r="F27" s="264"/>
      <c r="G27" s="262"/>
      <c r="H27" s="263"/>
      <c r="I27" s="264"/>
      <c r="J27" s="269"/>
      <c r="K27" s="270"/>
      <c r="L27" s="264"/>
      <c r="M27" s="262"/>
      <c r="N27" s="263"/>
      <c r="O27" s="264"/>
      <c r="P27" s="262"/>
      <c r="Q27" s="263"/>
      <c r="R27" s="264"/>
      <c r="S27" s="271"/>
      <c r="U27" s="87"/>
      <c r="X27" s="87"/>
      <c r="Y27" s="262"/>
      <c r="Z27" s="134"/>
      <c r="AA27" s="87"/>
      <c r="AD27" s="11"/>
      <c r="AG27" s="11"/>
    </row>
    <row r="28" spans="1:33" x14ac:dyDescent="0.2">
      <c r="A28" s="220"/>
      <c r="B28" s="219"/>
      <c r="C28" s="202"/>
      <c r="D28" s="262"/>
      <c r="E28" s="263"/>
      <c r="F28" s="264"/>
      <c r="G28" s="262"/>
      <c r="H28" s="263"/>
      <c r="I28" s="264"/>
      <c r="J28" s="269"/>
      <c r="K28" s="270"/>
      <c r="L28" s="264"/>
      <c r="M28" s="262"/>
      <c r="N28" s="263"/>
      <c r="O28" s="264"/>
      <c r="P28" s="262"/>
      <c r="Q28" s="263"/>
      <c r="R28" s="264"/>
      <c r="S28" s="271"/>
      <c r="T28" s="271"/>
      <c r="U28" s="264"/>
      <c r="X28" s="87"/>
      <c r="Y28" s="262"/>
      <c r="Z28" s="134"/>
      <c r="AA28" s="87"/>
      <c r="AD28" s="11"/>
      <c r="AG28" s="11"/>
    </row>
    <row r="29" spans="1:33" x14ac:dyDescent="0.2">
      <c r="A29" s="220"/>
      <c r="B29" s="219"/>
      <c r="C29" s="202"/>
      <c r="D29" s="262"/>
      <c r="E29" s="263"/>
      <c r="F29" s="264"/>
      <c r="G29" s="262"/>
      <c r="H29" s="263"/>
      <c r="I29" s="264"/>
      <c r="J29" s="269"/>
      <c r="K29" s="270"/>
      <c r="L29" s="264"/>
      <c r="M29" s="262"/>
      <c r="N29" s="263"/>
      <c r="O29" s="264"/>
      <c r="P29" s="262"/>
      <c r="Q29" s="263"/>
      <c r="R29" s="264"/>
      <c r="S29" s="271"/>
      <c r="T29" s="271"/>
      <c r="U29" s="264"/>
      <c r="X29" s="87"/>
      <c r="Y29" s="262"/>
      <c r="Z29" s="134"/>
      <c r="AA29" s="87"/>
      <c r="AD29" s="11"/>
      <c r="AG29" s="11"/>
    </row>
    <row r="30" spans="1:33" x14ac:dyDescent="0.2">
      <c r="A30" s="220"/>
      <c r="B30" s="219"/>
      <c r="C30" s="202"/>
      <c r="D30" s="262"/>
      <c r="E30" s="263"/>
      <c r="F30" s="264"/>
      <c r="G30" s="205"/>
      <c r="H30" s="134"/>
      <c r="I30" s="87"/>
      <c r="J30" s="224"/>
      <c r="K30" s="166"/>
      <c r="L30" s="87"/>
      <c r="M30" s="205"/>
      <c r="N30" s="134"/>
      <c r="O30" s="87"/>
      <c r="P30" s="205"/>
      <c r="Q30" s="134"/>
      <c r="R30" s="87"/>
      <c r="U30" s="87"/>
      <c r="X30" s="87"/>
      <c r="Y30" s="205"/>
      <c r="Z30" s="134"/>
      <c r="AA30" s="87"/>
      <c r="AD30" s="11"/>
      <c r="AG30" s="11"/>
    </row>
    <row r="31" spans="1:33" x14ac:dyDescent="0.2">
      <c r="A31" s="220"/>
      <c r="B31" s="219"/>
      <c r="C31" s="202"/>
      <c r="D31" s="262"/>
      <c r="E31" s="263"/>
      <c r="F31" s="264"/>
      <c r="G31" s="262"/>
      <c r="H31" s="263"/>
      <c r="I31" s="264"/>
      <c r="J31" s="269"/>
      <c r="K31" s="270"/>
      <c r="L31" s="264"/>
      <c r="M31" s="262"/>
      <c r="N31" s="263"/>
      <c r="O31" s="264"/>
      <c r="P31" s="262"/>
      <c r="Q31" s="263"/>
      <c r="R31" s="264"/>
      <c r="S31" s="271"/>
      <c r="U31" s="87"/>
      <c r="X31" s="87"/>
      <c r="Y31" s="262"/>
      <c r="Z31" s="134"/>
      <c r="AA31" s="87"/>
      <c r="AD31" s="11"/>
      <c r="AG31" s="11"/>
    </row>
    <row r="32" spans="1:33" x14ac:dyDescent="0.2">
      <c r="A32" s="220"/>
      <c r="B32" s="219"/>
      <c r="C32" s="202"/>
      <c r="D32" s="262"/>
      <c r="E32" s="263"/>
      <c r="F32" s="264"/>
      <c r="G32" s="262"/>
      <c r="H32" s="263"/>
      <c r="I32" s="264"/>
      <c r="J32" s="269"/>
      <c r="K32" s="270"/>
      <c r="L32" s="264"/>
      <c r="M32" s="262"/>
      <c r="N32" s="263"/>
      <c r="O32" s="264"/>
      <c r="P32" s="262"/>
      <c r="Q32" s="263"/>
      <c r="R32" s="264"/>
      <c r="S32" s="271"/>
      <c r="U32" s="87"/>
      <c r="X32" s="87"/>
      <c r="Y32" s="262"/>
      <c r="Z32" s="134"/>
      <c r="AA32" s="87"/>
      <c r="AD32" s="11"/>
      <c r="AG32" s="11"/>
    </row>
    <row r="33" spans="1:33" x14ac:dyDescent="0.2">
      <c r="A33" s="220"/>
      <c r="B33" s="219"/>
      <c r="C33" s="202"/>
      <c r="D33" s="262"/>
      <c r="E33" s="263"/>
      <c r="F33" s="264"/>
      <c r="G33" s="262"/>
      <c r="H33" s="263"/>
      <c r="I33" s="264"/>
      <c r="J33" s="269"/>
      <c r="K33" s="270"/>
      <c r="L33" s="264"/>
      <c r="M33" s="262"/>
      <c r="N33" s="263"/>
      <c r="O33" s="264"/>
      <c r="P33" s="262"/>
      <c r="Q33" s="263"/>
      <c r="R33" s="264"/>
      <c r="S33" s="271"/>
      <c r="U33" s="87"/>
      <c r="X33" s="87"/>
      <c r="Y33" s="262"/>
      <c r="Z33" s="134"/>
      <c r="AA33" s="87"/>
      <c r="AD33" s="11"/>
      <c r="AG33" s="11"/>
    </row>
    <row r="34" spans="1:33" x14ac:dyDescent="0.2">
      <c r="A34" s="220"/>
      <c r="B34" s="219"/>
      <c r="C34" s="202"/>
      <c r="D34" s="262"/>
      <c r="E34" s="263"/>
      <c r="F34" s="264"/>
      <c r="G34" s="205"/>
      <c r="H34" s="134"/>
      <c r="I34" s="87"/>
      <c r="J34" s="224"/>
      <c r="K34" s="166"/>
      <c r="L34" s="87"/>
      <c r="M34" s="205"/>
      <c r="N34" s="134"/>
      <c r="O34" s="87"/>
      <c r="P34" s="205"/>
      <c r="Q34" s="134"/>
      <c r="R34" s="87"/>
      <c r="U34" s="87"/>
      <c r="X34" s="87"/>
      <c r="Y34" s="205"/>
      <c r="Z34" s="134"/>
      <c r="AA34" s="87"/>
      <c r="AD34" s="11"/>
      <c r="AG34" s="11"/>
    </row>
    <row r="35" spans="1:33" x14ac:dyDescent="0.2">
      <c r="A35" s="220"/>
      <c r="B35" s="219"/>
      <c r="C35" s="202"/>
      <c r="D35" s="262"/>
      <c r="E35" s="263"/>
      <c r="F35" s="264"/>
      <c r="G35" s="262"/>
      <c r="H35" s="263"/>
      <c r="I35" s="264"/>
      <c r="J35" s="269"/>
      <c r="K35" s="270"/>
      <c r="L35" s="264"/>
      <c r="M35" s="262"/>
      <c r="N35" s="263"/>
      <c r="O35" s="264"/>
      <c r="P35" s="262"/>
      <c r="Q35" s="263"/>
      <c r="R35" s="264"/>
      <c r="S35" s="271"/>
      <c r="U35" s="87"/>
      <c r="X35" s="87"/>
      <c r="Y35" s="262"/>
      <c r="Z35" s="134"/>
      <c r="AA35" s="87"/>
      <c r="AD35" s="11"/>
      <c r="AG35" s="11"/>
    </row>
    <row r="36" spans="1:33" x14ac:dyDescent="0.2">
      <c r="A36" s="220"/>
      <c r="B36" s="219"/>
      <c r="C36" s="202"/>
      <c r="D36" s="262"/>
      <c r="E36" s="263"/>
      <c r="F36" s="264"/>
      <c r="G36" s="262"/>
      <c r="H36" s="263"/>
      <c r="I36" s="264"/>
      <c r="J36" s="269"/>
      <c r="K36" s="270"/>
      <c r="L36" s="264"/>
      <c r="M36" s="262"/>
      <c r="N36" s="263"/>
      <c r="O36" s="264"/>
      <c r="P36" s="262"/>
      <c r="Q36" s="263"/>
      <c r="R36" s="264"/>
      <c r="S36" s="271"/>
      <c r="U36" s="87"/>
      <c r="X36" s="87"/>
      <c r="Y36" s="262"/>
      <c r="Z36" s="134"/>
      <c r="AA36" s="87"/>
      <c r="AD36" s="11"/>
      <c r="AG36" s="11"/>
    </row>
    <row r="37" spans="1:33" x14ac:dyDescent="0.2">
      <c r="A37" s="220"/>
      <c r="B37" s="219"/>
      <c r="C37" s="202"/>
      <c r="D37" s="262"/>
      <c r="E37" s="263"/>
      <c r="F37" s="264"/>
      <c r="G37" s="262"/>
      <c r="H37" s="263"/>
      <c r="I37" s="264"/>
      <c r="J37" s="269"/>
      <c r="K37" s="270"/>
      <c r="L37" s="264"/>
      <c r="M37" s="262"/>
      <c r="N37" s="263"/>
      <c r="O37" s="264"/>
      <c r="P37" s="262"/>
      <c r="Q37" s="263"/>
      <c r="R37" s="264"/>
      <c r="S37" s="271"/>
      <c r="U37" s="87"/>
      <c r="X37" s="87"/>
      <c r="Y37" s="262"/>
      <c r="Z37" s="134"/>
      <c r="AA37" s="87"/>
      <c r="AD37" s="11"/>
      <c r="AG37" s="11"/>
    </row>
    <row r="38" spans="1:33" x14ac:dyDescent="0.2">
      <c r="A38" s="220"/>
      <c r="B38" s="219"/>
      <c r="C38" s="202"/>
      <c r="D38" s="262"/>
      <c r="E38" s="263"/>
      <c r="F38" s="264"/>
      <c r="G38" s="205"/>
      <c r="H38" s="134"/>
      <c r="I38" s="87"/>
      <c r="J38" s="224"/>
      <c r="K38" s="166"/>
      <c r="L38" s="87"/>
      <c r="M38" s="205"/>
      <c r="N38" s="134"/>
      <c r="O38" s="87"/>
      <c r="P38" s="205"/>
      <c r="Q38" s="134"/>
      <c r="R38" s="87"/>
      <c r="U38" s="87"/>
      <c r="X38" s="87"/>
      <c r="Y38" s="205"/>
      <c r="Z38" s="134"/>
      <c r="AA38" s="87"/>
      <c r="AD38" s="11"/>
      <c r="AG38" s="11"/>
    </row>
    <row r="39" spans="1:33" x14ac:dyDescent="0.2">
      <c r="A39" s="220"/>
      <c r="B39" s="219"/>
      <c r="C39" s="202"/>
      <c r="D39" s="262"/>
      <c r="E39" s="263"/>
      <c r="F39" s="264"/>
      <c r="G39" s="205"/>
      <c r="H39" s="134"/>
      <c r="I39" s="87"/>
      <c r="J39" s="224"/>
      <c r="K39" s="166"/>
      <c r="L39" s="87"/>
      <c r="M39" s="205"/>
      <c r="N39" s="134"/>
      <c r="O39" s="87"/>
      <c r="P39" s="205"/>
      <c r="Q39" s="134"/>
      <c r="R39" s="87"/>
      <c r="U39" s="87"/>
      <c r="X39" s="87"/>
      <c r="Y39" s="205"/>
      <c r="Z39" s="134"/>
      <c r="AA39" s="87"/>
      <c r="AD39" s="11"/>
      <c r="AG39" s="11"/>
    </row>
    <row r="40" spans="1:33" x14ac:dyDescent="0.2">
      <c r="A40" s="220"/>
      <c r="B40" s="219"/>
      <c r="C40" s="202"/>
      <c r="D40" s="262"/>
      <c r="E40" s="263"/>
      <c r="F40" s="264"/>
      <c r="G40" s="205"/>
      <c r="H40" s="134"/>
      <c r="I40" s="87"/>
      <c r="J40" s="224"/>
      <c r="K40" s="166"/>
      <c r="L40" s="87"/>
      <c r="M40" s="205"/>
      <c r="N40" s="134"/>
      <c r="O40" s="87"/>
      <c r="P40" s="205"/>
      <c r="Q40" s="134"/>
      <c r="R40" s="87"/>
      <c r="U40" s="87"/>
      <c r="X40" s="87"/>
      <c r="Y40" s="205"/>
      <c r="Z40" s="134"/>
      <c r="AA40" s="87"/>
      <c r="AD40" s="11"/>
      <c r="AG40" s="11"/>
    </row>
    <row r="41" spans="1:33" x14ac:dyDescent="0.2">
      <c r="A41" s="220"/>
      <c r="B41" s="219"/>
      <c r="C41" s="202"/>
      <c r="D41" s="205"/>
      <c r="E41" s="134"/>
      <c r="F41" s="87"/>
      <c r="G41" s="205"/>
      <c r="H41" s="134"/>
      <c r="I41" s="87"/>
      <c r="J41" s="224"/>
      <c r="K41" s="166"/>
      <c r="L41" s="87"/>
      <c r="M41" s="205"/>
      <c r="N41" s="134"/>
      <c r="O41" s="87"/>
      <c r="P41" s="205"/>
      <c r="Q41" s="134"/>
      <c r="R41" s="87"/>
      <c r="U41" s="87"/>
      <c r="X41" s="87"/>
      <c r="Y41" s="205"/>
      <c r="Z41" s="134"/>
      <c r="AA41" s="87"/>
      <c r="AD41" s="11"/>
      <c r="AG41" s="11"/>
    </row>
    <row r="42" spans="1:33" x14ac:dyDescent="0.2">
      <c r="A42" s="220"/>
      <c r="B42" s="219"/>
      <c r="C42" s="202"/>
      <c r="D42" s="205"/>
      <c r="E42" s="134"/>
      <c r="F42" s="87"/>
      <c r="G42" s="205"/>
      <c r="H42" s="134"/>
      <c r="I42" s="87"/>
      <c r="J42" s="224"/>
      <c r="K42" s="166"/>
      <c r="L42" s="87"/>
      <c r="M42" s="205"/>
      <c r="N42" s="134"/>
      <c r="O42" s="87"/>
      <c r="P42" s="205"/>
      <c r="Q42" s="134"/>
      <c r="R42" s="87"/>
      <c r="U42" s="87"/>
      <c r="X42" s="87"/>
      <c r="Y42" s="205"/>
      <c r="Z42" s="134"/>
      <c r="AA42" s="87"/>
      <c r="AD42" s="11"/>
      <c r="AG42" s="11"/>
    </row>
    <row r="43" spans="1:33" x14ac:dyDescent="0.2">
      <c r="A43" s="220"/>
      <c r="B43" s="219"/>
      <c r="C43" s="202"/>
      <c r="D43" s="205"/>
      <c r="E43" s="134"/>
      <c r="F43" s="87"/>
      <c r="G43" s="205"/>
      <c r="H43" s="134"/>
      <c r="I43" s="87"/>
      <c r="J43" s="224"/>
      <c r="K43" s="166"/>
      <c r="L43" s="87"/>
      <c r="M43" s="205"/>
      <c r="N43" s="134"/>
      <c r="O43" s="87"/>
      <c r="P43" s="205"/>
      <c r="Q43" s="134"/>
      <c r="R43" s="87"/>
      <c r="U43" s="87"/>
      <c r="X43" s="87"/>
      <c r="Y43" s="205"/>
      <c r="Z43" s="134"/>
      <c r="AA43" s="87"/>
      <c r="AD43" s="11"/>
      <c r="AG43" s="11"/>
    </row>
    <row r="44" spans="1:33" x14ac:dyDescent="0.2">
      <c r="A44" s="220"/>
      <c r="B44" s="219"/>
      <c r="C44" s="202"/>
      <c r="D44" s="205"/>
      <c r="E44" s="134"/>
      <c r="F44" s="87"/>
      <c r="G44" s="205"/>
      <c r="H44" s="134"/>
      <c r="I44" s="87"/>
      <c r="J44" s="224"/>
      <c r="K44" s="166"/>
      <c r="L44" s="87"/>
      <c r="M44" s="205"/>
      <c r="N44" s="134"/>
      <c r="O44" s="87"/>
      <c r="P44" s="205"/>
      <c r="Q44" s="134"/>
      <c r="R44" s="87"/>
      <c r="U44" s="87"/>
      <c r="X44" s="87"/>
      <c r="Y44" s="205"/>
      <c r="Z44" s="134"/>
      <c r="AA44" s="87"/>
      <c r="AD44" s="11"/>
      <c r="AG44" s="11"/>
    </row>
    <row r="45" spans="1:33" x14ac:dyDescent="0.2">
      <c r="A45" s="220"/>
      <c r="B45" s="219"/>
      <c r="C45" s="202"/>
      <c r="D45" s="205"/>
      <c r="E45" s="134"/>
      <c r="F45" s="87"/>
      <c r="G45" s="205"/>
      <c r="H45" s="134"/>
      <c r="I45" s="87"/>
      <c r="J45" s="224"/>
      <c r="K45" s="166"/>
      <c r="L45" s="87"/>
      <c r="M45" s="205"/>
      <c r="N45" s="134"/>
      <c r="O45" s="87"/>
      <c r="P45" s="205"/>
      <c r="Q45" s="134"/>
      <c r="R45" s="87"/>
      <c r="U45" s="87"/>
      <c r="X45" s="87"/>
      <c r="Y45" s="205"/>
      <c r="Z45" s="134"/>
      <c r="AA45" s="87"/>
      <c r="AD45" s="11"/>
      <c r="AG45" s="11"/>
    </row>
    <row r="46" spans="1:33" x14ac:dyDescent="0.2">
      <c r="A46" s="220"/>
      <c r="B46" s="219"/>
      <c r="C46" s="202"/>
      <c r="D46" s="205"/>
      <c r="E46" s="134"/>
      <c r="F46" s="87"/>
      <c r="G46" s="205"/>
      <c r="H46" s="134"/>
      <c r="I46" s="87"/>
      <c r="J46" s="224"/>
      <c r="K46" s="166"/>
      <c r="L46" s="87"/>
      <c r="M46" s="205"/>
      <c r="N46" s="134"/>
      <c r="O46" s="87"/>
      <c r="P46" s="205"/>
      <c r="Q46" s="134"/>
      <c r="R46" s="87"/>
      <c r="U46" s="87"/>
      <c r="X46" s="87"/>
      <c r="Y46" s="205"/>
      <c r="Z46" s="134"/>
      <c r="AA46" s="87"/>
      <c r="AD46" s="11"/>
      <c r="AG46" s="11"/>
    </row>
    <row r="47" spans="1:33" x14ac:dyDescent="0.2">
      <c r="A47" s="220"/>
      <c r="B47" s="219"/>
      <c r="C47" s="202"/>
      <c r="D47" s="205"/>
      <c r="E47" s="134"/>
      <c r="F47" s="87"/>
      <c r="G47" s="205"/>
      <c r="H47" s="134"/>
      <c r="I47" s="87"/>
      <c r="J47" s="224"/>
      <c r="K47" s="166"/>
      <c r="L47" s="87"/>
      <c r="M47" s="205"/>
      <c r="N47" s="134"/>
      <c r="O47" s="87"/>
      <c r="P47" s="205"/>
      <c r="Q47" s="134"/>
      <c r="R47" s="87"/>
      <c r="U47" s="87"/>
      <c r="X47" s="87"/>
      <c r="Y47" s="205"/>
      <c r="Z47" s="134"/>
      <c r="AA47" s="87"/>
      <c r="AD47" s="11"/>
      <c r="AG47" s="11"/>
    </row>
    <row r="48" spans="1:33" x14ac:dyDescent="0.2">
      <c r="A48" s="220"/>
      <c r="B48" s="219"/>
      <c r="C48" s="202"/>
      <c r="D48" s="205"/>
      <c r="E48" s="134"/>
      <c r="F48" s="87"/>
      <c r="G48" s="205"/>
      <c r="H48" s="134"/>
      <c r="I48" s="87"/>
      <c r="J48" s="224"/>
      <c r="K48" s="166"/>
      <c r="L48" s="87"/>
      <c r="M48" s="205"/>
      <c r="N48" s="134"/>
      <c r="O48" s="87"/>
      <c r="P48" s="205"/>
      <c r="Q48" s="134"/>
      <c r="R48" s="87"/>
      <c r="U48" s="87"/>
      <c r="X48" s="87"/>
      <c r="Y48" s="205"/>
      <c r="Z48" s="134"/>
      <c r="AA48" s="87"/>
      <c r="AD48" s="11"/>
      <c r="AG48" s="11"/>
    </row>
    <row r="49" spans="1:33" x14ac:dyDescent="0.2">
      <c r="A49" s="220"/>
      <c r="B49" s="219"/>
      <c r="C49" s="202"/>
      <c r="D49" s="205"/>
      <c r="E49" s="134"/>
      <c r="F49" s="87"/>
      <c r="G49" s="205"/>
      <c r="H49" s="134"/>
      <c r="I49" s="87"/>
      <c r="J49" s="224"/>
      <c r="K49" s="166"/>
      <c r="L49" s="87"/>
      <c r="M49" s="205"/>
      <c r="N49" s="134"/>
      <c r="O49" s="87"/>
      <c r="P49" s="205"/>
      <c r="Q49" s="134"/>
      <c r="R49" s="87"/>
      <c r="U49" s="87"/>
      <c r="X49" s="87"/>
      <c r="Y49" s="205"/>
      <c r="Z49" s="134"/>
      <c r="AA49" s="87"/>
      <c r="AD49" s="11"/>
      <c r="AG49" s="11"/>
    </row>
    <row r="50" spans="1:33" x14ac:dyDescent="0.2">
      <c r="A50" s="220"/>
      <c r="B50" s="219"/>
      <c r="C50" s="202"/>
      <c r="D50" s="205"/>
      <c r="E50" s="134"/>
      <c r="F50" s="87"/>
      <c r="G50" s="205"/>
      <c r="H50" s="134"/>
      <c r="I50" s="87"/>
      <c r="J50" s="224"/>
      <c r="K50" s="166"/>
      <c r="L50" s="87"/>
      <c r="M50" s="205"/>
      <c r="N50" s="134"/>
      <c r="O50" s="87"/>
      <c r="P50" s="205"/>
      <c r="Q50" s="134"/>
      <c r="R50" s="87"/>
      <c r="U50" s="87"/>
      <c r="X50" s="87"/>
      <c r="Y50" s="205"/>
      <c r="Z50" s="134"/>
      <c r="AA50" s="87"/>
      <c r="AD50" s="11"/>
      <c r="AG50" s="11"/>
    </row>
    <row r="51" spans="1:33" x14ac:dyDescent="0.2">
      <c r="A51" s="220"/>
      <c r="B51" s="219"/>
      <c r="C51" s="202"/>
      <c r="D51" s="205"/>
      <c r="E51" s="134"/>
      <c r="F51" s="87"/>
      <c r="G51" s="205"/>
      <c r="H51" s="134"/>
      <c r="I51" s="87"/>
      <c r="J51" s="224"/>
      <c r="K51" s="166"/>
      <c r="L51" s="87"/>
      <c r="M51" s="205"/>
      <c r="N51" s="134"/>
      <c r="O51" s="87"/>
      <c r="P51" s="205"/>
      <c r="Q51" s="134"/>
      <c r="R51" s="87"/>
      <c r="U51" s="87"/>
      <c r="X51" s="87"/>
      <c r="Y51" s="205"/>
      <c r="Z51" s="134"/>
      <c r="AA51" s="87"/>
      <c r="AD51" s="11"/>
      <c r="AG51" s="11"/>
    </row>
    <row r="52" spans="1:33" x14ac:dyDescent="0.2">
      <c r="A52" s="220"/>
      <c r="B52" s="219"/>
      <c r="C52" s="202"/>
      <c r="D52" s="205"/>
      <c r="E52" s="134"/>
      <c r="F52" s="87"/>
      <c r="G52" s="205"/>
      <c r="H52" s="134"/>
      <c r="I52" s="87"/>
      <c r="J52" s="224"/>
      <c r="K52" s="166"/>
      <c r="L52" s="87"/>
      <c r="M52" s="205"/>
      <c r="N52" s="134"/>
      <c r="O52" s="87"/>
      <c r="P52" s="205"/>
      <c r="Q52" s="134"/>
      <c r="R52" s="87"/>
      <c r="U52" s="87"/>
      <c r="X52" s="87"/>
      <c r="Y52" s="205"/>
      <c r="Z52" s="134"/>
      <c r="AA52" s="87"/>
      <c r="AD52" s="11"/>
      <c r="AG52" s="11"/>
    </row>
    <row r="53" spans="1:33" x14ac:dyDescent="0.2">
      <c r="A53" s="220"/>
      <c r="B53" s="219"/>
      <c r="C53" s="202"/>
      <c r="D53" s="205"/>
      <c r="E53" s="134"/>
      <c r="F53" s="87"/>
      <c r="G53" s="205"/>
      <c r="H53" s="134"/>
      <c r="I53" s="87"/>
      <c r="J53" s="224"/>
      <c r="K53" s="166"/>
      <c r="L53" s="87"/>
      <c r="M53" s="205"/>
      <c r="N53" s="134"/>
      <c r="O53" s="87"/>
      <c r="P53" s="205"/>
      <c r="Q53" s="134"/>
      <c r="R53" s="87"/>
      <c r="U53" s="87"/>
      <c r="X53" s="87"/>
      <c r="Y53" s="205"/>
      <c r="Z53" s="134"/>
      <c r="AA53" s="87"/>
      <c r="AD53" s="11"/>
      <c r="AG53" s="11"/>
    </row>
    <row r="54" spans="1:33" x14ac:dyDescent="0.2">
      <c r="A54" s="220"/>
      <c r="B54" s="219"/>
      <c r="C54" s="202"/>
      <c r="D54" s="205"/>
      <c r="E54" s="134"/>
      <c r="F54" s="87"/>
      <c r="G54" s="205"/>
      <c r="H54" s="134"/>
      <c r="I54" s="87"/>
      <c r="J54" s="224"/>
      <c r="K54" s="166"/>
      <c r="L54" s="87"/>
      <c r="M54" s="205"/>
      <c r="N54" s="134"/>
      <c r="O54" s="87"/>
      <c r="P54" s="205"/>
      <c r="Q54" s="134"/>
      <c r="R54" s="87"/>
      <c r="U54" s="87"/>
      <c r="X54" s="87"/>
      <c r="Y54" s="205"/>
      <c r="Z54" s="134"/>
      <c r="AA54" s="87"/>
      <c r="AD54" s="11"/>
      <c r="AG54" s="11"/>
    </row>
    <row r="55" spans="1:33" x14ac:dyDescent="0.2">
      <c r="A55" s="220"/>
      <c r="B55" s="219"/>
      <c r="C55" s="202"/>
      <c r="D55" s="205"/>
      <c r="E55" s="134"/>
      <c r="F55" s="87"/>
      <c r="G55" s="205"/>
      <c r="H55" s="134"/>
      <c r="I55" s="87"/>
      <c r="J55" s="224"/>
      <c r="K55" s="166"/>
      <c r="L55" s="87"/>
      <c r="M55" s="205"/>
      <c r="N55" s="134"/>
      <c r="O55" s="87"/>
      <c r="P55" s="205"/>
      <c r="Q55" s="134"/>
      <c r="R55" s="87"/>
      <c r="U55" s="87"/>
      <c r="X55" s="87"/>
      <c r="Y55" s="205"/>
      <c r="Z55" s="134"/>
      <c r="AA55" s="87"/>
      <c r="AD55" s="11"/>
      <c r="AG55" s="11"/>
    </row>
    <row r="56" spans="1:33" x14ac:dyDescent="0.2">
      <c r="A56" s="220"/>
      <c r="B56" s="219"/>
      <c r="C56" s="202"/>
      <c r="D56" s="205"/>
      <c r="E56" s="134"/>
      <c r="F56" s="87"/>
      <c r="G56" s="205"/>
      <c r="H56" s="134"/>
      <c r="I56" s="87"/>
      <c r="J56" s="224"/>
      <c r="K56" s="166"/>
      <c r="L56" s="87"/>
      <c r="M56" s="205"/>
      <c r="N56" s="134"/>
      <c r="O56" s="87"/>
      <c r="P56" s="205"/>
      <c r="Q56" s="134"/>
      <c r="R56" s="87"/>
      <c r="U56" s="87"/>
      <c r="X56" s="87"/>
      <c r="Y56" s="205"/>
      <c r="Z56" s="134"/>
      <c r="AA56" s="87"/>
      <c r="AD56" s="11"/>
      <c r="AG56" s="11"/>
    </row>
    <row r="57" spans="1:33" x14ac:dyDescent="0.2">
      <c r="A57" s="220"/>
      <c r="B57" s="219"/>
      <c r="C57" s="202"/>
      <c r="D57" s="205"/>
      <c r="E57" s="134"/>
      <c r="F57" s="87"/>
      <c r="G57" s="205"/>
      <c r="H57" s="134"/>
      <c r="I57" s="87"/>
      <c r="J57" s="224"/>
      <c r="K57" s="166"/>
      <c r="L57" s="87"/>
      <c r="M57" s="205"/>
      <c r="N57" s="134"/>
      <c r="O57" s="87"/>
      <c r="P57" s="205"/>
      <c r="Q57" s="134"/>
      <c r="R57" s="87"/>
      <c r="U57" s="87"/>
      <c r="X57" s="87"/>
      <c r="Y57" s="205"/>
      <c r="Z57" s="134"/>
      <c r="AA57" s="87"/>
      <c r="AD57" s="11"/>
      <c r="AG57" s="11"/>
    </row>
    <row r="58" spans="1:33" x14ac:dyDescent="0.2">
      <c r="A58" s="220"/>
      <c r="B58" s="219"/>
      <c r="C58" s="202"/>
      <c r="D58" s="205"/>
      <c r="E58" s="134"/>
      <c r="F58" s="87"/>
      <c r="G58" s="205"/>
      <c r="H58" s="134"/>
      <c r="I58" s="87"/>
      <c r="J58" s="224"/>
      <c r="K58" s="166"/>
      <c r="L58" s="87"/>
      <c r="M58" s="205"/>
      <c r="N58" s="134"/>
      <c r="O58" s="87"/>
      <c r="P58" s="205"/>
      <c r="Q58" s="134"/>
      <c r="R58" s="87"/>
      <c r="U58" s="87"/>
      <c r="X58" s="87"/>
      <c r="Y58" s="205"/>
      <c r="Z58" s="134"/>
      <c r="AA58" s="87"/>
      <c r="AD58" s="11"/>
      <c r="AG58" s="11"/>
    </row>
    <row r="59" spans="1:33" x14ac:dyDescent="0.2">
      <c r="A59" s="220"/>
      <c r="B59" s="219"/>
      <c r="C59" s="202"/>
      <c r="D59" s="205"/>
      <c r="E59" s="134"/>
      <c r="F59" s="87"/>
      <c r="G59" s="205"/>
      <c r="H59" s="134"/>
      <c r="I59" s="87"/>
      <c r="J59" s="224"/>
      <c r="K59" s="166"/>
      <c r="L59" s="87"/>
      <c r="M59" s="205"/>
      <c r="N59" s="134"/>
      <c r="O59" s="87"/>
      <c r="P59" s="205"/>
      <c r="Q59" s="134"/>
      <c r="R59" s="87"/>
      <c r="U59" s="87"/>
      <c r="X59" s="87"/>
      <c r="Y59" s="205"/>
      <c r="Z59" s="134"/>
      <c r="AA59" s="87"/>
      <c r="AD59" s="11"/>
      <c r="AG59" s="11"/>
    </row>
    <row r="60" spans="1:33" x14ac:dyDescent="0.2">
      <c r="A60" s="220"/>
      <c r="B60" s="219"/>
      <c r="C60" s="202"/>
      <c r="D60" s="205"/>
      <c r="E60" s="134"/>
      <c r="F60" s="87"/>
      <c r="G60" s="205"/>
      <c r="H60" s="134"/>
      <c r="I60" s="87"/>
      <c r="J60" s="224"/>
      <c r="K60" s="166"/>
      <c r="L60" s="87"/>
      <c r="M60" s="205"/>
      <c r="N60" s="134"/>
      <c r="O60" s="87"/>
      <c r="P60" s="205"/>
      <c r="Q60" s="134"/>
      <c r="R60" s="87"/>
      <c r="U60" s="87"/>
      <c r="X60" s="87"/>
      <c r="Y60" s="205"/>
      <c r="Z60" s="134"/>
      <c r="AA60" s="87"/>
      <c r="AD60" s="11"/>
      <c r="AG60" s="11"/>
    </row>
    <row r="61" spans="1:33" x14ac:dyDescent="0.2">
      <c r="A61" s="220"/>
      <c r="B61" s="219"/>
      <c r="C61" s="202"/>
      <c r="D61" s="205"/>
      <c r="E61" s="134"/>
      <c r="F61" s="87"/>
      <c r="G61" s="205"/>
      <c r="H61" s="134"/>
      <c r="I61" s="87"/>
      <c r="J61" s="224"/>
      <c r="K61" s="166"/>
      <c r="L61" s="87"/>
      <c r="M61" s="205"/>
      <c r="N61" s="134"/>
      <c r="O61" s="87"/>
      <c r="P61" s="205"/>
      <c r="Q61" s="134"/>
      <c r="R61" s="87"/>
      <c r="U61" s="87"/>
      <c r="X61" s="87"/>
      <c r="Y61" s="205"/>
      <c r="Z61" s="134"/>
      <c r="AA61" s="87"/>
      <c r="AD61" s="11"/>
      <c r="AG61" s="11"/>
    </row>
    <row r="62" spans="1:33" x14ac:dyDescent="0.2">
      <c r="A62" s="220"/>
      <c r="B62" s="219"/>
      <c r="C62" s="202"/>
      <c r="D62" s="205"/>
      <c r="E62" s="134"/>
      <c r="F62" s="87"/>
      <c r="G62" s="205"/>
      <c r="H62" s="134"/>
      <c r="I62" s="87"/>
      <c r="J62" s="224"/>
      <c r="K62" s="166"/>
      <c r="L62" s="87"/>
      <c r="M62" s="205"/>
      <c r="N62" s="134"/>
      <c r="O62" s="87"/>
      <c r="P62" s="205"/>
      <c r="Q62" s="134"/>
      <c r="R62" s="87"/>
      <c r="U62" s="87"/>
      <c r="X62" s="87"/>
      <c r="Y62" s="205"/>
      <c r="Z62" s="134"/>
      <c r="AA62" s="87"/>
      <c r="AD62" s="11"/>
      <c r="AG62" s="11"/>
    </row>
    <row r="63" spans="1:33" x14ac:dyDescent="0.2">
      <c r="A63" s="220"/>
      <c r="B63" s="219"/>
      <c r="C63" s="202"/>
      <c r="D63" s="205"/>
      <c r="E63" s="134"/>
      <c r="F63" s="87"/>
      <c r="G63" s="205"/>
      <c r="H63" s="134"/>
      <c r="I63" s="87"/>
      <c r="J63" s="224"/>
      <c r="K63" s="166"/>
      <c r="L63" s="87"/>
      <c r="M63" s="205"/>
      <c r="N63" s="134"/>
      <c r="O63" s="87"/>
      <c r="P63" s="205"/>
      <c r="Q63" s="134"/>
      <c r="R63" s="87"/>
      <c r="U63" s="87"/>
      <c r="X63" s="87"/>
      <c r="Y63" s="205"/>
      <c r="Z63" s="134"/>
      <c r="AA63" s="87"/>
      <c r="AD63" s="11"/>
      <c r="AG63" s="11"/>
    </row>
    <row r="64" spans="1:33" x14ac:dyDescent="0.2">
      <c r="A64" s="220"/>
      <c r="B64" s="219"/>
      <c r="C64" s="202"/>
      <c r="D64" s="205"/>
      <c r="E64" s="134"/>
      <c r="F64" s="87"/>
      <c r="G64" s="205"/>
      <c r="H64" s="134"/>
      <c r="I64" s="87"/>
      <c r="J64" s="224"/>
      <c r="K64" s="166"/>
      <c r="L64" s="87"/>
      <c r="M64" s="205"/>
      <c r="N64" s="134"/>
      <c r="O64" s="87"/>
      <c r="P64" s="205"/>
      <c r="Q64" s="134"/>
      <c r="R64" s="87"/>
      <c r="U64" s="87"/>
      <c r="X64" s="87"/>
      <c r="Y64" s="205"/>
      <c r="Z64" s="134"/>
      <c r="AA64" s="87"/>
      <c r="AD64" s="11"/>
      <c r="AG64" s="11"/>
    </row>
    <row r="65" spans="1:33" x14ac:dyDescent="0.2">
      <c r="A65" s="220"/>
      <c r="B65" s="219"/>
      <c r="C65" s="202"/>
      <c r="D65" s="205"/>
      <c r="E65" s="134"/>
      <c r="F65" s="87"/>
      <c r="G65" s="205"/>
      <c r="H65" s="134"/>
      <c r="I65" s="87"/>
      <c r="J65" s="224"/>
      <c r="K65" s="166"/>
      <c r="L65" s="87"/>
      <c r="M65" s="205"/>
      <c r="N65" s="134"/>
      <c r="O65" s="87"/>
      <c r="P65" s="205"/>
      <c r="Q65" s="134"/>
      <c r="R65" s="87"/>
      <c r="U65" s="87"/>
      <c r="X65" s="87"/>
      <c r="Y65" s="205"/>
      <c r="Z65" s="134"/>
      <c r="AA65" s="87"/>
      <c r="AD65" s="11"/>
      <c r="AG65" s="11"/>
    </row>
    <row r="66" spans="1:33" x14ac:dyDescent="0.2">
      <c r="A66" s="220"/>
      <c r="B66" s="219"/>
      <c r="C66" s="202"/>
      <c r="D66" s="205"/>
      <c r="E66" s="134"/>
      <c r="F66" s="87"/>
      <c r="G66" s="205"/>
      <c r="H66" s="134"/>
      <c r="I66" s="87"/>
      <c r="J66" s="224"/>
      <c r="K66" s="166"/>
      <c r="L66" s="87"/>
      <c r="M66" s="205"/>
      <c r="N66" s="134"/>
      <c r="O66" s="87"/>
      <c r="P66" s="205"/>
      <c r="Q66" s="134"/>
      <c r="R66" s="87"/>
      <c r="U66" s="87"/>
      <c r="X66" s="87"/>
      <c r="Y66" s="205"/>
      <c r="Z66" s="134"/>
      <c r="AA66" s="87"/>
      <c r="AD66" s="11"/>
      <c r="AG66" s="11"/>
    </row>
    <row r="67" spans="1:33" x14ac:dyDescent="0.2">
      <c r="A67" s="220"/>
      <c r="B67" s="219"/>
      <c r="C67" s="202"/>
      <c r="D67" s="205"/>
      <c r="E67" s="134"/>
      <c r="F67" s="87"/>
      <c r="G67" s="205"/>
      <c r="H67" s="134"/>
      <c r="I67" s="87"/>
      <c r="J67" s="224"/>
      <c r="K67" s="166"/>
      <c r="L67" s="87"/>
      <c r="M67" s="205"/>
      <c r="N67" s="134"/>
      <c r="O67" s="87"/>
      <c r="P67" s="205"/>
      <c r="Q67" s="134"/>
      <c r="R67" s="87"/>
      <c r="U67" s="87"/>
      <c r="X67" s="87"/>
      <c r="Y67" s="205"/>
      <c r="Z67" s="134"/>
      <c r="AA67" s="87"/>
      <c r="AD67" s="11"/>
      <c r="AG67" s="11"/>
    </row>
    <row r="68" spans="1:33" x14ac:dyDescent="0.2">
      <c r="A68" s="220"/>
      <c r="B68" s="219"/>
      <c r="C68" s="202"/>
      <c r="D68" s="205"/>
      <c r="E68" s="134"/>
      <c r="F68" s="87"/>
      <c r="G68" s="205"/>
      <c r="H68" s="134"/>
      <c r="I68" s="87"/>
      <c r="J68" s="224"/>
      <c r="K68" s="166"/>
      <c r="L68" s="87"/>
      <c r="M68" s="205"/>
      <c r="N68" s="134"/>
      <c r="O68" s="87"/>
      <c r="P68" s="205"/>
      <c r="Q68" s="134"/>
      <c r="R68" s="87"/>
      <c r="U68" s="87"/>
      <c r="X68" s="87"/>
      <c r="Y68" s="205"/>
      <c r="Z68" s="134"/>
      <c r="AA68" s="87"/>
      <c r="AD68" s="11"/>
      <c r="AG68" s="11"/>
    </row>
    <row r="69" spans="1:33" x14ac:dyDescent="0.2">
      <c r="A69" s="220"/>
      <c r="B69" s="219"/>
      <c r="C69" s="202"/>
      <c r="D69" s="205"/>
      <c r="E69" s="134"/>
      <c r="F69" s="87"/>
      <c r="G69" s="205"/>
      <c r="H69" s="134"/>
      <c r="I69" s="87"/>
      <c r="J69" s="224"/>
      <c r="K69" s="166"/>
      <c r="L69" s="87"/>
      <c r="M69" s="205"/>
      <c r="N69" s="134"/>
      <c r="O69" s="87"/>
      <c r="P69" s="205"/>
      <c r="Q69" s="134"/>
      <c r="R69" s="87"/>
      <c r="U69" s="87"/>
      <c r="X69" s="87"/>
      <c r="Y69" s="205"/>
      <c r="Z69" s="134"/>
      <c r="AA69" s="87"/>
      <c r="AD69" s="11"/>
      <c r="AG69" s="11"/>
    </row>
    <row r="70" spans="1:33" x14ac:dyDescent="0.2">
      <c r="A70" s="220"/>
      <c r="B70" s="219"/>
      <c r="C70" s="202"/>
      <c r="D70" s="205"/>
      <c r="E70" s="134"/>
      <c r="F70" s="87"/>
      <c r="G70" s="205"/>
      <c r="H70" s="134"/>
      <c r="I70" s="87"/>
      <c r="J70" s="224"/>
      <c r="K70" s="166"/>
      <c r="L70" s="87"/>
      <c r="M70" s="205"/>
      <c r="N70" s="134"/>
      <c r="O70" s="87"/>
      <c r="P70" s="205"/>
      <c r="Q70" s="134"/>
      <c r="R70" s="87"/>
      <c r="U70" s="87"/>
      <c r="X70" s="87"/>
      <c r="Y70" s="205"/>
      <c r="Z70" s="134"/>
      <c r="AA70" s="87"/>
      <c r="AD70" s="11"/>
      <c r="AG70" s="11"/>
    </row>
    <row r="71" spans="1:33" x14ac:dyDescent="0.2">
      <c r="A71" s="220"/>
      <c r="B71" s="219"/>
      <c r="C71" s="202"/>
      <c r="D71" s="205"/>
      <c r="E71" s="134"/>
      <c r="F71" s="87"/>
      <c r="G71" s="205"/>
      <c r="H71" s="134"/>
      <c r="I71" s="87"/>
      <c r="J71" s="224"/>
      <c r="K71" s="166"/>
      <c r="L71" s="87"/>
      <c r="M71" s="205"/>
      <c r="N71" s="134"/>
      <c r="O71" s="87"/>
      <c r="P71" s="205"/>
      <c r="Q71" s="134"/>
      <c r="R71" s="87"/>
      <c r="U71" s="87"/>
      <c r="X71" s="87"/>
      <c r="Y71" s="205"/>
      <c r="Z71" s="134"/>
      <c r="AA71" s="87"/>
      <c r="AD71" s="11"/>
      <c r="AG71" s="11"/>
    </row>
    <row r="72" spans="1:33" x14ac:dyDescent="0.2">
      <c r="A72" s="220"/>
      <c r="B72" s="219"/>
      <c r="C72" s="202"/>
      <c r="D72" s="205"/>
      <c r="E72" s="134"/>
      <c r="F72" s="87"/>
      <c r="G72" s="205"/>
      <c r="H72" s="134"/>
      <c r="I72" s="87"/>
      <c r="J72" s="224"/>
      <c r="K72" s="166"/>
      <c r="L72" s="87"/>
      <c r="M72" s="205"/>
      <c r="N72" s="134"/>
      <c r="O72" s="87"/>
      <c r="P72" s="205"/>
      <c r="Q72" s="134"/>
      <c r="R72" s="87"/>
      <c r="U72" s="87"/>
      <c r="X72" s="87"/>
      <c r="Y72" s="205"/>
      <c r="Z72" s="134"/>
      <c r="AA72" s="87"/>
      <c r="AD72" s="11"/>
      <c r="AG72" s="11"/>
    </row>
    <row r="73" spans="1:33" x14ac:dyDescent="0.2">
      <c r="A73" s="220"/>
      <c r="B73" s="219"/>
      <c r="C73" s="202"/>
      <c r="D73" s="205"/>
      <c r="E73" s="134"/>
      <c r="F73" s="87"/>
      <c r="G73" s="205"/>
      <c r="H73" s="134"/>
      <c r="I73" s="87"/>
      <c r="J73" s="224"/>
      <c r="K73" s="166"/>
      <c r="L73" s="87"/>
      <c r="M73" s="205"/>
      <c r="N73" s="134"/>
      <c r="O73" s="87"/>
      <c r="P73" s="205"/>
      <c r="Q73" s="134"/>
      <c r="R73" s="87"/>
      <c r="U73" s="87"/>
      <c r="X73" s="87"/>
      <c r="Y73" s="205"/>
      <c r="Z73" s="134"/>
      <c r="AA73" s="87"/>
      <c r="AD73" s="11"/>
      <c r="AG73" s="11"/>
    </row>
    <row r="74" spans="1:33" x14ac:dyDescent="0.2">
      <c r="A74" s="220"/>
      <c r="B74" s="219"/>
      <c r="C74" s="202"/>
      <c r="D74" s="205"/>
      <c r="E74" s="134"/>
      <c r="F74" s="87"/>
      <c r="G74" s="205"/>
      <c r="H74" s="134"/>
      <c r="I74" s="87"/>
      <c r="J74" s="224"/>
      <c r="K74" s="166"/>
      <c r="L74" s="87"/>
      <c r="M74" s="205"/>
      <c r="N74" s="134"/>
      <c r="O74" s="87"/>
      <c r="P74" s="205"/>
      <c r="Q74" s="134"/>
      <c r="R74" s="87"/>
      <c r="U74" s="87"/>
      <c r="X74" s="87"/>
      <c r="Y74" s="205"/>
      <c r="Z74" s="134"/>
      <c r="AA74" s="87"/>
      <c r="AD74" s="11"/>
      <c r="AG74" s="11"/>
    </row>
    <row r="75" spans="1:33" x14ac:dyDescent="0.2">
      <c r="A75" s="220"/>
      <c r="B75" s="219"/>
      <c r="C75" s="202"/>
      <c r="D75" s="205"/>
      <c r="E75" s="134"/>
      <c r="F75" s="87"/>
      <c r="G75" s="205"/>
      <c r="H75" s="134"/>
      <c r="I75" s="87"/>
      <c r="J75" s="224"/>
      <c r="K75" s="166"/>
      <c r="L75" s="87"/>
      <c r="M75" s="205"/>
      <c r="N75" s="134"/>
      <c r="O75" s="87"/>
      <c r="P75" s="205"/>
      <c r="Q75" s="134"/>
      <c r="R75" s="87"/>
      <c r="U75" s="87"/>
      <c r="X75" s="87"/>
      <c r="Y75" s="205"/>
      <c r="Z75" s="134"/>
      <c r="AA75" s="87"/>
      <c r="AD75" s="11"/>
      <c r="AG75" s="11"/>
    </row>
    <row r="76" spans="1:33" x14ac:dyDescent="0.2">
      <c r="A76" s="220"/>
      <c r="B76" s="219"/>
      <c r="C76" s="202"/>
      <c r="D76" s="205"/>
      <c r="E76" s="134"/>
      <c r="F76" s="87"/>
      <c r="G76" s="205"/>
      <c r="H76" s="134"/>
      <c r="I76" s="87"/>
      <c r="J76" s="224"/>
      <c r="K76" s="166"/>
      <c r="L76" s="87"/>
      <c r="M76" s="205"/>
      <c r="N76" s="134"/>
      <c r="O76" s="87"/>
      <c r="P76" s="205"/>
      <c r="Q76" s="134"/>
      <c r="R76" s="87"/>
      <c r="U76" s="87"/>
      <c r="X76" s="87"/>
      <c r="Y76" s="205"/>
      <c r="Z76" s="134"/>
      <c r="AA76" s="87"/>
      <c r="AD76" s="11"/>
      <c r="AG76" s="11"/>
    </row>
    <row r="77" spans="1:33" x14ac:dyDescent="0.2">
      <c r="A77" s="220"/>
      <c r="B77" s="219"/>
      <c r="C77" s="202"/>
      <c r="D77" s="205"/>
      <c r="E77" s="134"/>
      <c r="F77" s="87"/>
      <c r="G77" s="205"/>
      <c r="H77" s="134"/>
      <c r="I77" s="87"/>
      <c r="J77" s="224"/>
      <c r="K77" s="166"/>
      <c r="L77" s="87"/>
      <c r="M77" s="205"/>
      <c r="N77" s="134"/>
      <c r="O77" s="87"/>
      <c r="P77" s="205"/>
      <c r="Q77" s="134"/>
      <c r="R77" s="87"/>
      <c r="U77" s="87"/>
      <c r="X77" s="87"/>
      <c r="Y77" s="205"/>
      <c r="Z77" s="134"/>
      <c r="AA77" s="87"/>
      <c r="AD77" s="11"/>
      <c r="AG77" s="11"/>
    </row>
    <row r="78" spans="1:33" x14ac:dyDescent="0.2">
      <c r="A78" s="220"/>
      <c r="B78" s="219"/>
      <c r="C78" s="202"/>
      <c r="D78" s="205"/>
      <c r="E78" s="134"/>
      <c r="F78" s="87"/>
      <c r="G78" s="205"/>
      <c r="H78" s="134"/>
      <c r="I78" s="87"/>
      <c r="J78" s="224"/>
      <c r="K78" s="166"/>
      <c r="L78" s="87"/>
      <c r="M78" s="205"/>
      <c r="N78" s="134"/>
      <c r="O78" s="87"/>
      <c r="P78" s="205"/>
      <c r="Q78" s="134"/>
      <c r="R78" s="87"/>
      <c r="U78" s="87"/>
      <c r="X78" s="87"/>
      <c r="Y78" s="205"/>
      <c r="Z78" s="134"/>
      <c r="AA78" s="87"/>
      <c r="AD78" s="11"/>
      <c r="AG78" s="11"/>
    </row>
    <row r="79" spans="1:33" x14ac:dyDescent="0.2">
      <c r="A79" s="220"/>
      <c r="B79" s="219"/>
      <c r="C79" s="202"/>
      <c r="D79" s="205"/>
      <c r="E79" s="134"/>
      <c r="F79" s="87"/>
      <c r="G79" s="205"/>
      <c r="H79" s="134"/>
      <c r="I79" s="87"/>
      <c r="J79" s="224"/>
      <c r="K79" s="166"/>
      <c r="L79" s="87"/>
      <c r="M79" s="205"/>
      <c r="N79" s="134"/>
      <c r="O79" s="87"/>
      <c r="P79" s="205"/>
      <c r="Q79" s="134"/>
      <c r="R79" s="87"/>
      <c r="U79" s="87"/>
      <c r="X79" s="87"/>
      <c r="Y79" s="205"/>
      <c r="Z79" s="134"/>
      <c r="AA79" s="87"/>
      <c r="AD79" s="11"/>
      <c r="AG79" s="11"/>
    </row>
    <row r="80" spans="1:33" x14ac:dyDescent="0.2">
      <c r="A80" s="220"/>
      <c r="B80" s="219"/>
      <c r="C80" s="202"/>
      <c r="D80" s="205"/>
      <c r="E80" s="134"/>
      <c r="F80" s="87"/>
      <c r="G80" s="205"/>
      <c r="H80" s="134"/>
      <c r="I80" s="87"/>
      <c r="J80" s="224"/>
      <c r="K80" s="166"/>
      <c r="L80" s="87"/>
      <c r="M80" s="205"/>
      <c r="N80" s="134"/>
      <c r="O80" s="87"/>
      <c r="P80" s="205"/>
      <c r="Q80" s="134"/>
      <c r="R80" s="87"/>
      <c r="U80" s="87"/>
      <c r="X80" s="87"/>
      <c r="Y80" s="205"/>
      <c r="Z80" s="134"/>
      <c r="AA80" s="87"/>
      <c r="AD80" s="11"/>
      <c r="AG80" s="11"/>
    </row>
    <row r="81" spans="1:33" x14ac:dyDescent="0.2">
      <c r="A81" s="220"/>
      <c r="B81" s="219"/>
      <c r="C81" s="202"/>
      <c r="D81" s="205"/>
      <c r="E81" s="134"/>
      <c r="F81" s="87"/>
      <c r="G81" s="205"/>
      <c r="H81" s="134"/>
      <c r="I81" s="87"/>
      <c r="J81" s="224"/>
      <c r="K81" s="166"/>
      <c r="L81" s="87"/>
      <c r="M81" s="205"/>
      <c r="N81" s="134"/>
      <c r="O81" s="87"/>
      <c r="P81" s="205"/>
      <c r="Q81" s="134"/>
      <c r="R81" s="87"/>
      <c r="U81" s="87"/>
      <c r="X81" s="87"/>
      <c r="Y81" s="205"/>
      <c r="Z81" s="134"/>
      <c r="AA81" s="87"/>
      <c r="AD81" s="11"/>
      <c r="AG81" s="11"/>
    </row>
    <row r="82" spans="1:33" x14ac:dyDescent="0.2">
      <c r="A82" s="220"/>
      <c r="B82" s="219"/>
      <c r="C82" s="202"/>
      <c r="D82" s="205"/>
      <c r="E82" s="134"/>
      <c r="F82" s="87"/>
      <c r="G82" s="205"/>
      <c r="H82" s="134"/>
      <c r="I82" s="87"/>
      <c r="J82" s="224"/>
      <c r="K82" s="166"/>
      <c r="L82" s="87"/>
      <c r="M82" s="205"/>
      <c r="N82" s="134"/>
      <c r="O82" s="87"/>
      <c r="P82" s="205"/>
      <c r="Q82" s="134"/>
      <c r="R82" s="87"/>
      <c r="U82" s="87"/>
      <c r="X82" s="87"/>
      <c r="Y82" s="205"/>
      <c r="Z82" s="134"/>
      <c r="AA82" s="87"/>
      <c r="AD82" s="11"/>
      <c r="AG82" s="11"/>
    </row>
    <row r="83" spans="1:33" x14ac:dyDescent="0.2">
      <c r="A83" s="220"/>
      <c r="B83" s="219"/>
      <c r="C83" s="202"/>
      <c r="D83" s="205"/>
      <c r="E83" s="134"/>
      <c r="F83" s="87"/>
      <c r="G83" s="205"/>
      <c r="H83" s="134"/>
      <c r="I83" s="87"/>
      <c r="J83" s="224"/>
      <c r="K83" s="166"/>
      <c r="L83" s="87"/>
      <c r="M83" s="205"/>
      <c r="N83" s="134"/>
      <c r="O83" s="87"/>
      <c r="P83" s="205"/>
      <c r="Q83" s="134"/>
      <c r="R83" s="87"/>
      <c r="U83" s="87"/>
      <c r="X83" s="87"/>
      <c r="Y83" s="205"/>
      <c r="Z83" s="134"/>
      <c r="AA83" s="87"/>
      <c r="AD83" s="11"/>
      <c r="AG83" s="11"/>
    </row>
    <row r="84" spans="1:33" x14ac:dyDescent="0.2">
      <c r="A84" s="220"/>
      <c r="B84" s="219"/>
      <c r="C84" s="202"/>
      <c r="D84" s="205"/>
      <c r="E84" s="134"/>
      <c r="F84" s="87"/>
      <c r="G84" s="205"/>
      <c r="H84" s="134"/>
      <c r="I84" s="87"/>
      <c r="J84" s="224"/>
      <c r="K84" s="166"/>
      <c r="L84" s="87"/>
      <c r="M84" s="205"/>
      <c r="N84" s="134"/>
      <c r="O84" s="87"/>
      <c r="P84" s="205"/>
      <c r="Q84" s="134"/>
      <c r="R84" s="87"/>
      <c r="U84" s="87"/>
      <c r="X84" s="87"/>
      <c r="Y84" s="205"/>
      <c r="Z84" s="134"/>
      <c r="AA84" s="87"/>
      <c r="AD84" s="11"/>
      <c r="AG84" s="11"/>
    </row>
    <row r="85" spans="1:33" x14ac:dyDescent="0.2">
      <c r="A85" s="220"/>
      <c r="B85" s="219"/>
      <c r="C85" s="202"/>
      <c r="D85" s="205"/>
      <c r="E85" s="134"/>
      <c r="F85" s="87"/>
      <c r="G85" s="205"/>
      <c r="H85" s="134"/>
      <c r="I85" s="87"/>
      <c r="J85" s="224"/>
      <c r="K85" s="166"/>
      <c r="L85" s="87"/>
      <c r="M85" s="205"/>
      <c r="N85" s="134"/>
      <c r="O85" s="87"/>
      <c r="P85" s="205"/>
      <c r="Q85" s="134"/>
      <c r="R85" s="87"/>
      <c r="U85" s="87"/>
      <c r="X85" s="87"/>
      <c r="Y85" s="205"/>
      <c r="Z85" s="134"/>
      <c r="AA85" s="87"/>
      <c r="AD85" s="11"/>
      <c r="AG85" s="11"/>
    </row>
    <row r="86" spans="1:33" x14ac:dyDescent="0.2">
      <c r="A86" s="220"/>
      <c r="B86" s="219"/>
      <c r="C86" s="202"/>
      <c r="D86" s="205"/>
      <c r="E86" s="134"/>
      <c r="F86" s="87"/>
      <c r="G86" s="205"/>
      <c r="H86" s="134"/>
      <c r="I86" s="87"/>
      <c r="J86" s="224"/>
      <c r="K86" s="166"/>
      <c r="L86" s="87"/>
      <c r="M86" s="205"/>
      <c r="N86" s="134"/>
      <c r="O86" s="87"/>
      <c r="P86" s="205"/>
      <c r="Q86" s="134"/>
      <c r="R86" s="87"/>
      <c r="U86" s="87"/>
      <c r="X86" s="87"/>
      <c r="Y86" s="205"/>
      <c r="Z86" s="134"/>
      <c r="AA86" s="87"/>
      <c r="AD86" s="11"/>
      <c r="AG86" s="11"/>
    </row>
    <row r="87" spans="1:33" x14ac:dyDescent="0.2">
      <c r="A87" s="220"/>
      <c r="B87" s="219"/>
      <c r="C87" s="202"/>
      <c r="D87" s="205"/>
      <c r="E87" s="134"/>
      <c r="F87" s="87"/>
      <c r="G87" s="205"/>
      <c r="H87" s="134"/>
      <c r="I87" s="87"/>
      <c r="J87" s="224"/>
      <c r="K87" s="166"/>
      <c r="L87" s="87"/>
      <c r="M87" s="205"/>
      <c r="N87" s="134"/>
      <c r="O87" s="87"/>
      <c r="P87" s="205"/>
      <c r="Q87" s="134"/>
      <c r="R87" s="87"/>
      <c r="U87" s="87"/>
      <c r="X87" s="87"/>
      <c r="Y87" s="205"/>
      <c r="Z87" s="134"/>
      <c r="AA87" s="87"/>
      <c r="AD87" s="11"/>
      <c r="AG87" s="11"/>
    </row>
    <row r="88" spans="1:33" x14ac:dyDescent="0.2">
      <c r="A88" s="220"/>
      <c r="B88" s="219"/>
      <c r="C88" s="202"/>
      <c r="D88" s="205"/>
      <c r="E88" s="134"/>
      <c r="F88" s="87"/>
      <c r="G88" s="205"/>
      <c r="H88" s="134"/>
      <c r="I88" s="87"/>
      <c r="J88" s="224"/>
      <c r="K88" s="166"/>
      <c r="L88" s="87"/>
      <c r="M88" s="205"/>
      <c r="N88" s="134"/>
      <c r="O88" s="87"/>
      <c r="P88" s="205"/>
      <c r="Q88" s="134"/>
      <c r="R88" s="87"/>
      <c r="U88" s="87"/>
      <c r="X88" s="87"/>
      <c r="Y88" s="205"/>
      <c r="Z88" s="134"/>
      <c r="AA88" s="87"/>
      <c r="AD88" s="11"/>
      <c r="AG88" s="11"/>
    </row>
    <row r="89" spans="1:33" x14ac:dyDescent="0.2">
      <c r="A89" s="220"/>
      <c r="B89" s="219"/>
      <c r="C89" s="202"/>
      <c r="D89" s="205"/>
      <c r="E89" s="134"/>
      <c r="F89" s="87"/>
      <c r="G89" s="205"/>
      <c r="H89" s="134"/>
      <c r="I89" s="87"/>
      <c r="J89" s="224"/>
      <c r="K89" s="166"/>
      <c r="L89" s="87"/>
      <c r="M89" s="205"/>
      <c r="N89" s="134"/>
      <c r="O89" s="87"/>
      <c r="P89" s="205"/>
      <c r="Q89" s="134"/>
      <c r="R89" s="87"/>
      <c r="U89" s="87"/>
      <c r="X89" s="87"/>
      <c r="Y89" s="205"/>
      <c r="Z89" s="134"/>
      <c r="AA89" s="87"/>
      <c r="AD89" s="11"/>
      <c r="AG89" s="11"/>
    </row>
    <row r="90" spans="1:33" x14ac:dyDescent="0.2">
      <c r="A90" s="220"/>
      <c r="B90" s="219"/>
      <c r="C90" s="202"/>
      <c r="D90" s="205"/>
      <c r="E90" s="134"/>
      <c r="F90" s="87"/>
      <c r="G90" s="205"/>
      <c r="H90" s="134"/>
      <c r="I90" s="87"/>
      <c r="J90" s="224"/>
      <c r="K90" s="166"/>
      <c r="L90" s="87"/>
      <c r="M90" s="205"/>
      <c r="N90" s="134"/>
      <c r="O90" s="87"/>
      <c r="P90" s="205"/>
      <c r="Q90" s="134"/>
      <c r="R90" s="87"/>
      <c r="U90" s="87"/>
      <c r="X90" s="87"/>
      <c r="Y90" s="205"/>
      <c r="Z90" s="134"/>
      <c r="AA90" s="87"/>
      <c r="AD90" s="11"/>
      <c r="AG90" s="11"/>
    </row>
    <row r="91" spans="1:33" x14ac:dyDescent="0.2">
      <c r="A91" s="220"/>
      <c r="B91" s="219"/>
      <c r="C91" s="202"/>
      <c r="D91" s="205"/>
      <c r="E91" s="134"/>
      <c r="F91" s="87"/>
      <c r="G91" s="205"/>
      <c r="H91" s="134"/>
      <c r="I91" s="87"/>
      <c r="J91" s="224"/>
      <c r="K91" s="166"/>
      <c r="L91" s="87"/>
      <c r="M91" s="205"/>
      <c r="N91" s="134"/>
      <c r="O91" s="87"/>
      <c r="P91" s="205"/>
      <c r="Q91" s="134"/>
      <c r="R91" s="87"/>
      <c r="U91" s="87"/>
      <c r="X91" s="87"/>
      <c r="Y91" s="205"/>
      <c r="Z91" s="134"/>
      <c r="AA91" s="87"/>
      <c r="AD91" s="11"/>
      <c r="AG91" s="11"/>
    </row>
    <row r="92" spans="1:33" x14ac:dyDescent="0.2">
      <c r="A92" s="220"/>
      <c r="B92" s="219"/>
      <c r="C92" s="202"/>
      <c r="D92" s="205"/>
      <c r="E92" s="134"/>
      <c r="F92" s="87"/>
      <c r="G92" s="205"/>
      <c r="H92" s="134"/>
      <c r="I92" s="87"/>
      <c r="J92" s="224"/>
      <c r="K92" s="166"/>
      <c r="L92" s="87"/>
      <c r="M92" s="205"/>
      <c r="N92" s="134"/>
      <c r="O92" s="87"/>
      <c r="P92" s="205"/>
      <c r="Q92" s="134"/>
      <c r="R92" s="87"/>
      <c r="U92" s="87"/>
      <c r="X92" s="87"/>
      <c r="Y92" s="205"/>
      <c r="Z92" s="134"/>
      <c r="AA92" s="87"/>
      <c r="AD92" s="11"/>
      <c r="AG92" s="11"/>
    </row>
    <row r="93" spans="1:33" x14ac:dyDescent="0.2">
      <c r="A93" s="220"/>
      <c r="B93" s="219"/>
      <c r="C93" s="202"/>
      <c r="D93" s="205"/>
      <c r="E93" s="134"/>
      <c r="F93" s="87"/>
      <c r="G93" s="205"/>
      <c r="H93" s="134"/>
      <c r="I93" s="87"/>
      <c r="J93" s="224"/>
      <c r="K93" s="166"/>
      <c r="L93" s="87"/>
      <c r="M93" s="205"/>
      <c r="N93" s="134"/>
      <c r="O93" s="87"/>
      <c r="P93" s="205"/>
      <c r="Q93" s="134"/>
      <c r="R93" s="87"/>
      <c r="U93" s="87"/>
      <c r="X93" s="87"/>
      <c r="Y93" s="205"/>
      <c r="Z93" s="134"/>
      <c r="AA93" s="87"/>
      <c r="AD93" s="11"/>
      <c r="AG93" s="11"/>
    </row>
    <row r="94" spans="1:33" x14ac:dyDescent="0.2">
      <c r="A94" s="220"/>
      <c r="B94" s="219"/>
      <c r="C94" s="202"/>
      <c r="D94" s="205"/>
      <c r="E94" s="134"/>
      <c r="F94" s="87"/>
      <c r="G94" s="205"/>
      <c r="H94" s="134"/>
      <c r="I94" s="87"/>
      <c r="J94" s="224"/>
      <c r="K94" s="166"/>
      <c r="L94" s="87"/>
      <c r="M94" s="205"/>
      <c r="N94" s="134"/>
      <c r="O94" s="87"/>
      <c r="P94" s="205"/>
      <c r="Q94" s="134"/>
      <c r="R94" s="87"/>
      <c r="U94" s="87"/>
      <c r="X94" s="87"/>
      <c r="Y94" s="205"/>
      <c r="Z94" s="134"/>
      <c r="AA94" s="87"/>
      <c r="AD94" s="11"/>
      <c r="AG94" s="11"/>
    </row>
    <row r="95" spans="1:33" x14ac:dyDescent="0.2">
      <c r="A95" s="220"/>
      <c r="B95" s="219"/>
      <c r="C95" s="202"/>
      <c r="D95" s="205"/>
      <c r="E95" s="134"/>
      <c r="F95" s="87"/>
      <c r="G95" s="205"/>
      <c r="H95" s="134"/>
      <c r="I95" s="87"/>
      <c r="J95" s="224"/>
      <c r="K95" s="166"/>
      <c r="L95" s="87"/>
      <c r="M95" s="205"/>
      <c r="N95" s="134"/>
      <c r="O95" s="87"/>
      <c r="P95" s="205"/>
      <c r="Q95" s="134"/>
      <c r="R95" s="87"/>
      <c r="U95" s="87"/>
      <c r="X95" s="87"/>
      <c r="Y95" s="205"/>
      <c r="Z95" s="134"/>
      <c r="AA95" s="87"/>
      <c r="AD95" s="11"/>
      <c r="AG95" s="11"/>
    </row>
    <row r="96" spans="1:33" x14ac:dyDescent="0.2">
      <c r="A96" s="220"/>
      <c r="B96" s="219"/>
      <c r="C96" s="202"/>
      <c r="D96" s="205"/>
      <c r="E96" s="134"/>
      <c r="F96" s="87"/>
      <c r="G96" s="205"/>
      <c r="H96" s="134"/>
      <c r="I96" s="87"/>
      <c r="J96" s="224"/>
      <c r="K96" s="166"/>
      <c r="L96" s="87"/>
      <c r="M96" s="205"/>
      <c r="N96" s="134"/>
      <c r="O96" s="87"/>
      <c r="P96" s="205"/>
      <c r="Q96" s="134"/>
      <c r="R96" s="87"/>
      <c r="U96" s="87"/>
      <c r="X96" s="87"/>
      <c r="Y96" s="205"/>
      <c r="Z96" s="134"/>
      <c r="AA96" s="87"/>
      <c r="AD96" s="11"/>
      <c r="AG96" s="11"/>
    </row>
    <row r="97" spans="1:33" x14ac:dyDescent="0.2">
      <c r="A97" s="220"/>
      <c r="B97" s="219"/>
      <c r="C97" s="202"/>
      <c r="D97" s="205"/>
      <c r="E97" s="134"/>
      <c r="F97" s="87"/>
      <c r="G97" s="205"/>
      <c r="H97" s="134"/>
      <c r="I97" s="87"/>
      <c r="J97" s="224"/>
      <c r="K97" s="166"/>
      <c r="L97" s="87"/>
      <c r="M97" s="205"/>
      <c r="N97" s="134"/>
      <c r="O97" s="87"/>
      <c r="P97" s="205"/>
      <c r="Q97" s="134"/>
      <c r="R97" s="87"/>
      <c r="U97" s="87"/>
      <c r="X97" s="87"/>
      <c r="Y97" s="205"/>
      <c r="Z97" s="134"/>
      <c r="AA97" s="87"/>
      <c r="AD97" s="11"/>
      <c r="AG97" s="11"/>
    </row>
    <row r="98" spans="1:33" x14ac:dyDescent="0.2">
      <c r="A98" s="220"/>
      <c r="B98" s="219"/>
      <c r="C98" s="202"/>
      <c r="D98" s="205"/>
      <c r="E98" s="134"/>
      <c r="F98" s="87"/>
      <c r="G98" s="205"/>
      <c r="H98" s="134"/>
      <c r="I98" s="87"/>
      <c r="J98" s="224"/>
      <c r="K98" s="166"/>
      <c r="L98" s="87"/>
      <c r="M98" s="205"/>
      <c r="N98" s="134"/>
      <c r="O98" s="87"/>
      <c r="P98" s="205"/>
      <c r="Q98" s="134"/>
      <c r="R98" s="87"/>
      <c r="U98" s="87"/>
      <c r="X98" s="87"/>
      <c r="Y98" s="205"/>
      <c r="Z98" s="134"/>
      <c r="AA98" s="87"/>
      <c r="AD98" s="11"/>
      <c r="AG98" s="11"/>
    </row>
    <row r="99" spans="1:33" x14ac:dyDescent="0.2">
      <c r="A99" s="220"/>
      <c r="B99" s="219"/>
      <c r="C99" s="202"/>
      <c r="D99" s="205"/>
      <c r="E99" s="134"/>
      <c r="F99" s="87"/>
      <c r="G99" s="205"/>
      <c r="H99" s="134"/>
      <c r="I99" s="87"/>
      <c r="J99" s="224"/>
      <c r="K99" s="166"/>
      <c r="L99" s="87"/>
      <c r="M99" s="205"/>
      <c r="N99" s="134"/>
      <c r="O99" s="87"/>
      <c r="P99" s="205"/>
      <c r="Q99" s="134"/>
      <c r="R99" s="87"/>
      <c r="U99" s="87"/>
      <c r="X99" s="87"/>
      <c r="Y99" s="205"/>
      <c r="Z99" s="134"/>
      <c r="AA99" s="87"/>
      <c r="AD99" s="11"/>
      <c r="AG99" s="11"/>
    </row>
    <row r="100" spans="1:33" x14ac:dyDescent="0.2">
      <c r="A100" s="220"/>
      <c r="B100" s="219"/>
      <c r="C100" s="202"/>
      <c r="D100" s="205"/>
      <c r="E100" s="134"/>
      <c r="F100" s="87"/>
      <c r="G100" s="205"/>
      <c r="H100" s="134"/>
      <c r="I100" s="87"/>
      <c r="J100" s="224"/>
      <c r="K100" s="166"/>
      <c r="L100" s="87"/>
      <c r="M100" s="205"/>
      <c r="N100" s="134"/>
      <c r="O100" s="87"/>
      <c r="P100" s="205"/>
      <c r="Q100" s="134"/>
      <c r="R100" s="87"/>
      <c r="U100" s="87"/>
      <c r="X100" s="87"/>
      <c r="Y100" s="205"/>
      <c r="Z100" s="134"/>
      <c r="AA100" s="87"/>
      <c r="AD100" s="11"/>
      <c r="AG100" s="11"/>
    </row>
    <row r="101" spans="1:33" x14ac:dyDescent="0.2">
      <c r="A101" s="220"/>
      <c r="B101" s="219"/>
      <c r="C101" s="202"/>
      <c r="D101" s="205"/>
      <c r="E101" s="134"/>
      <c r="F101" s="87"/>
      <c r="G101" s="205"/>
      <c r="H101" s="134"/>
      <c r="I101" s="87"/>
      <c r="J101" s="224"/>
      <c r="K101" s="166"/>
      <c r="L101" s="87"/>
      <c r="M101" s="205"/>
      <c r="N101" s="134"/>
      <c r="O101" s="87"/>
      <c r="P101" s="205"/>
      <c r="Q101" s="134"/>
      <c r="R101" s="87"/>
      <c r="U101" s="87"/>
      <c r="X101" s="87"/>
      <c r="Y101" s="205"/>
      <c r="Z101" s="134"/>
      <c r="AA101" s="87"/>
      <c r="AD101" s="11"/>
      <c r="AG101" s="11"/>
    </row>
    <row r="102" spans="1:33" x14ac:dyDescent="0.2">
      <c r="A102" s="220"/>
      <c r="B102" s="219"/>
      <c r="C102" s="202"/>
      <c r="D102" s="205"/>
      <c r="E102" s="134"/>
      <c r="F102" s="87"/>
      <c r="G102" s="205"/>
      <c r="H102" s="134"/>
      <c r="I102" s="87"/>
      <c r="J102" s="224"/>
      <c r="K102" s="166"/>
      <c r="L102" s="87"/>
      <c r="M102" s="205"/>
      <c r="N102" s="134"/>
      <c r="O102" s="87"/>
      <c r="P102" s="205"/>
      <c r="Q102" s="134"/>
      <c r="R102" s="87"/>
      <c r="U102" s="87"/>
      <c r="X102" s="87"/>
      <c r="Y102" s="205"/>
      <c r="Z102" s="134"/>
      <c r="AA102" s="87"/>
      <c r="AD102" s="11"/>
      <c r="AG102" s="11"/>
    </row>
    <row r="103" spans="1:33" x14ac:dyDescent="0.2">
      <c r="A103" s="220"/>
      <c r="B103" s="219"/>
      <c r="C103" s="202"/>
      <c r="D103" s="205"/>
      <c r="E103" s="134"/>
      <c r="F103" s="87"/>
      <c r="G103" s="205"/>
      <c r="H103" s="134"/>
      <c r="I103" s="87"/>
      <c r="J103" s="224"/>
      <c r="K103" s="166"/>
      <c r="L103" s="87"/>
      <c r="M103" s="205"/>
      <c r="N103" s="134"/>
      <c r="O103" s="87"/>
      <c r="P103" s="205"/>
      <c r="Q103" s="134"/>
      <c r="R103" s="87"/>
      <c r="U103" s="87"/>
      <c r="X103" s="87"/>
      <c r="Y103" s="205"/>
      <c r="Z103" s="134"/>
      <c r="AA103" s="87"/>
      <c r="AD103" s="11"/>
      <c r="AG103" s="11"/>
    </row>
    <row r="104" spans="1:33" x14ac:dyDescent="0.2">
      <c r="A104" s="220"/>
      <c r="B104" s="219"/>
      <c r="C104" s="202"/>
      <c r="D104" s="205"/>
      <c r="E104" s="134"/>
      <c r="F104" s="87"/>
      <c r="G104" s="205"/>
      <c r="H104" s="134"/>
      <c r="I104" s="87"/>
      <c r="J104" s="224"/>
      <c r="K104" s="166"/>
      <c r="L104" s="87"/>
      <c r="M104" s="205"/>
      <c r="N104" s="134"/>
      <c r="O104" s="87"/>
      <c r="P104" s="205"/>
      <c r="Q104" s="134"/>
      <c r="R104" s="87"/>
      <c r="U104" s="87"/>
      <c r="X104" s="87"/>
      <c r="Y104" s="205"/>
      <c r="Z104" s="134"/>
      <c r="AA104" s="87"/>
      <c r="AD104" s="11"/>
      <c r="AG104" s="11"/>
    </row>
    <row r="105" spans="1:33" x14ac:dyDescent="0.2">
      <c r="A105" s="220"/>
      <c r="B105" s="219"/>
      <c r="C105" s="202"/>
      <c r="D105" s="205"/>
      <c r="E105" s="134"/>
      <c r="F105" s="87"/>
      <c r="G105" s="205"/>
      <c r="H105" s="134"/>
      <c r="I105" s="87"/>
      <c r="J105" s="224"/>
      <c r="K105" s="166"/>
      <c r="L105" s="87"/>
      <c r="M105" s="205"/>
      <c r="N105" s="134"/>
      <c r="O105" s="87"/>
      <c r="P105" s="205"/>
      <c r="Q105" s="134"/>
      <c r="R105" s="87"/>
      <c r="U105" s="87"/>
      <c r="X105" s="87"/>
      <c r="Y105" s="205"/>
      <c r="Z105" s="134"/>
      <c r="AA105" s="87"/>
      <c r="AD105" s="11"/>
      <c r="AG105" s="11"/>
    </row>
    <row r="106" spans="1:33" x14ac:dyDescent="0.2">
      <c r="A106" s="220"/>
      <c r="B106" s="219"/>
      <c r="C106" s="202"/>
      <c r="D106" s="205"/>
      <c r="E106" s="134"/>
      <c r="F106" s="87"/>
      <c r="G106" s="205"/>
      <c r="H106" s="134"/>
      <c r="I106" s="87"/>
      <c r="J106" s="224"/>
      <c r="K106" s="166"/>
      <c r="L106" s="87"/>
      <c r="M106" s="205"/>
      <c r="N106" s="134"/>
      <c r="O106" s="87"/>
      <c r="P106" s="205"/>
      <c r="Q106" s="134"/>
      <c r="R106" s="87"/>
      <c r="U106" s="87"/>
      <c r="X106" s="87"/>
      <c r="Y106" s="205"/>
      <c r="Z106" s="134"/>
      <c r="AA106" s="87"/>
      <c r="AD106" s="11"/>
      <c r="AG106" s="11"/>
    </row>
    <row r="107" spans="1:33" x14ac:dyDescent="0.2">
      <c r="A107" s="220"/>
      <c r="B107" s="219"/>
      <c r="C107" s="202"/>
      <c r="D107" s="205"/>
      <c r="E107" s="134"/>
      <c r="F107" s="87"/>
      <c r="G107" s="205"/>
      <c r="H107" s="134"/>
      <c r="I107" s="87"/>
      <c r="J107" s="224"/>
      <c r="K107" s="166"/>
      <c r="L107" s="87"/>
      <c r="M107" s="205"/>
      <c r="N107" s="134"/>
      <c r="O107" s="87"/>
      <c r="P107" s="205"/>
      <c r="Q107" s="134"/>
      <c r="R107" s="87"/>
      <c r="U107" s="87"/>
      <c r="X107" s="87"/>
      <c r="Y107" s="205"/>
      <c r="Z107" s="134"/>
      <c r="AA107" s="87"/>
      <c r="AD107" s="11"/>
      <c r="AG107" s="11"/>
    </row>
    <row r="108" spans="1:33" x14ac:dyDescent="0.2">
      <c r="A108" s="220"/>
      <c r="B108" s="219"/>
      <c r="C108" s="202"/>
      <c r="D108" s="205"/>
      <c r="E108" s="134"/>
      <c r="F108" s="87"/>
      <c r="G108" s="205"/>
      <c r="H108" s="134"/>
      <c r="I108" s="87"/>
      <c r="J108" s="224"/>
      <c r="K108" s="166"/>
      <c r="L108" s="87"/>
      <c r="M108" s="205"/>
      <c r="N108" s="134"/>
      <c r="O108" s="87"/>
      <c r="P108" s="205"/>
      <c r="Q108" s="134"/>
      <c r="R108" s="87"/>
      <c r="U108" s="87"/>
      <c r="X108" s="87"/>
      <c r="Y108" s="205"/>
      <c r="Z108" s="134"/>
      <c r="AA108" s="87"/>
      <c r="AD108" s="11"/>
      <c r="AG108" s="11"/>
    </row>
    <row r="109" spans="1:33" x14ac:dyDescent="0.2">
      <c r="A109" s="220"/>
      <c r="B109" s="219"/>
      <c r="C109" s="202"/>
      <c r="D109" s="205"/>
      <c r="E109" s="134"/>
      <c r="F109" s="87"/>
      <c r="G109" s="205"/>
      <c r="H109" s="134"/>
      <c r="I109" s="87"/>
      <c r="J109" s="224"/>
      <c r="K109" s="166"/>
      <c r="L109" s="87"/>
      <c r="M109" s="205"/>
      <c r="N109" s="134"/>
      <c r="O109" s="87"/>
      <c r="P109" s="205"/>
      <c r="Q109" s="134"/>
      <c r="R109" s="87"/>
      <c r="U109" s="87"/>
      <c r="X109" s="87"/>
      <c r="Y109" s="205"/>
      <c r="Z109" s="134"/>
      <c r="AA109" s="87"/>
      <c r="AD109" s="11"/>
      <c r="AG109" s="11"/>
    </row>
    <row r="110" spans="1:33" x14ac:dyDescent="0.2">
      <c r="A110" s="220"/>
      <c r="B110" s="219"/>
      <c r="C110" s="202"/>
      <c r="D110" s="205"/>
      <c r="E110" s="134"/>
      <c r="F110" s="87"/>
      <c r="G110" s="205"/>
      <c r="H110" s="134"/>
      <c r="I110" s="87"/>
      <c r="J110" s="224"/>
      <c r="K110" s="166"/>
      <c r="L110" s="87"/>
      <c r="M110" s="205"/>
      <c r="N110" s="134"/>
      <c r="O110" s="87"/>
      <c r="P110" s="205"/>
      <c r="Q110" s="134"/>
      <c r="R110" s="87"/>
      <c r="U110" s="87"/>
      <c r="X110" s="87"/>
      <c r="Y110" s="205"/>
      <c r="Z110" s="134"/>
      <c r="AA110" s="87"/>
      <c r="AD110" s="11"/>
      <c r="AG110" s="11"/>
    </row>
    <row r="111" spans="1:33" x14ac:dyDescent="0.2">
      <c r="A111" s="220"/>
      <c r="B111" s="219"/>
      <c r="C111" s="202"/>
      <c r="D111" s="205"/>
      <c r="E111" s="134"/>
      <c r="F111" s="87"/>
      <c r="G111" s="205"/>
      <c r="H111" s="134"/>
      <c r="I111" s="87"/>
      <c r="J111" s="224"/>
      <c r="K111" s="166"/>
      <c r="L111" s="87"/>
      <c r="M111" s="205"/>
      <c r="N111" s="134"/>
      <c r="O111" s="87"/>
      <c r="P111" s="205"/>
      <c r="Q111" s="134"/>
      <c r="R111" s="87"/>
      <c r="U111" s="87"/>
      <c r="X111" s="87"/>
      <c r="Y111" s="205"/>
      <c r="Z111" s="134"/>
      <c r="AA111" s="87"/>
      <c r="AD111" s="11"/>
      <c r="AG111" s="11"/>
    </row>
    <row r="112" spans="1:33" x14ac:dyDescent="0.2">
      <c r="A112" s="220"/>
      <c r="B112" s="219"/>
      <c r="C112" s="202"/>
      <c r="D112" s="205"/>
      <c r="E112" s="134"/>
      <c r="F112" s="87"/>
      <c r="G112" s="205"/>
      <c r="H112" s="134"/>
      <c r="I112" s="87"/>
      <c r="J112" s="224"/>
      <c r="K112" s="166"/>
      <c r="L112" s="87"/>
      <c r="M112" s="205"/>
      <c r="N112" s="134"/>
      <c r="O112" s="87"/>
      <c r="P112" s="205"/>
      <c r="Q112" s="134"/>
      <c r="R112" s="87"/>
      <c r="U112" s="87"/>
      <c r="X112" s="87"/>
      <c r="Y112" s="205"/>
      <c r="Z112" s="134"/>
      <c r="AA112" s="87"/>
      <c r="AD112" s="11"/>
      <c r="AG112" s="11"/>
    </row>
    <row r="113" spans="1:33" x14ac:dyDescent="0.2">
      <c r="A113" s="220"/>
      <c r="B113" s="219"/>
      <c r="C113" s="202"/>
      <c r="D113" s="205"/>
      <c r="E113" s="134"/>
      <c r="F113" s="87"/>
      <c r="G113" s="205"/>
      <c r="H113" s="134"/>
      <c r="I113" s="87"/>
      <c r="J113" s="224"/>
      <c r="K113" s="166"/>
      <c r="L113" s="87"/>
      <c r="M113" s="205"/>
      <c r="N113" s="134"/>
      <c r="O113" s="87"/>
      <c r="P113" s="205"/>
      <c r="Q113" s="134"/>
      <c r="R113" s="87"/>
      <c r="U113" s="87"/>
      <c r="X113" s="87"/>
      <c r="Y113" s="205"/>
      <c r="Z113" s="134"/>
      <c r="AA113" s="87"/>
      <c r="AD113" s="11"/>
      <c r="AG113" s="11"/>
    </row>
    <row r="114" spans="1:33" x14ac:dyDescent="0.2">
      <c r="A114" s="220"/>
      <c r="B114" s="219"/>
      <c r="C114" s="202"/>
      <c r="D114" s="205"/>
      <c r="E114" s="134"/>
      <c r="F114" s="87"/>
      <c r="G114" s="205"/>
      <c r="H114" s="134"/>
      <c r="I114" s="87"/>
      <c r="J114" s="224"/>
      <c r="K114" s="166"/>
      <c r="L114" s="87"/>
      <c r="M114" s="205"/>
      <c r="N114" s="134"/>
      <c r="O114" s="87"/>
      <c r="P114" s="205"/>
      <c r="Q114" s="134"/>
      <c r="R114" s="87"/>
      <c r="U114" s="87"/>
      <c r="X114" s="87"/>
      <c r="Y114" s="205"/>
      <c r="Z114" s="134"/>
      <c r="AA114" s="87"/>
      <c r="AD114" s="11"/>
      <c r="AG114" s="11"/>
    </row>
    <row r="115" spans="1:33" x14ac:dyDescent="0.2">
      <c r="A115" s="220"/>
      <c r="B115" s="219"/>
      <c r="C115" s="202"/>
      <c r="D115" s="205"/>
      <c r="E115" s="134"/>
      <c r="F115" s="87"/>
      <c r="G115" s="205"/>
      <c r="H115" s="134"/>
      <c r="I115" s="87"/>
      <c r="J115" s="224"/>
      <c r="K115" s="166"/>
      <c r="L115" s="87"/>
      <c r="M115" s="205"/>
      <c r="N115" s="134"/>
      <c r="O115" s="87"/>
      <c r="P115" s="205"/>
      <c r="Q115" s="134"/>
      <c r="R115" s="87"/>
      <c r="U115" s="87"/>
      <c r="X115" s="87"/>
      <c r="Y115" s="205"/>
      <c r="Z115" s="134"/>
      <c r="AA115" s="87"/>
      <c r="AD115" s="11"/>
      <c r="AG115" s="11"/>
    </row>
    <row r="116" spans="1:33" x14ac:dyDescent="0.2">
      <c r="A116" s="220"/>
      <c r="B116" s="219"/>
      <c r="C116" s="202"/>
      <c r="D116" s="205"/>
      <c r="E116" s="134"/>
      <c r="F116" s="87"/>
      <c r="G116" s="205"/>
      <c r="H116" s="134"/>
      <c r="I116" s="87"/>
      <c r="J116" s="224"/>
      <c r="K116" s="166"/>
      <c r="L116" s="87"/>
      <c r="M116" s="205"/>
      <c r="N116" s="134"/>
      <c r="O116" s="87"/>
      <c r="P116" s="205"/>
      <c r="Q116" s="134"/>
      <c r="R116" s="87"/>
      <c r="U116" s="87"/>
      <c r="X116" s="87"/>
      <c r="Y116" s="205"/>
      <c r="Z116" s="134"/>
      <c r="AA116" s="87"/>
      <c r="AD116" s="11"/>
      <c r="AG116" s="11"/>
    </row>
    <row r="117" spans="1:33" x14ac:dyDescent="0.2">
      <c r="A117" s="220"/>
      <c r="B117" s="219"/>
      <c r="C117" s="202"/>
      <c r="D117" s="205"/>
      <c r="E117" s="134"/>
      <c r="F117" s="87"/>
      <c r="G117" s="205"/>
      <c r="H117" s="134"/>
      <c r="I117" s="87"/>
      <c r="J117" s="224"/>
      <c r="K117" s="166"/>
      <c r="L117" s="87"/>
      <c r="M117" s="205"/>
      <c r="N117" s="134"/>
      <c r="O117" s="87"/>
      <c r="P117" s="205"/>
      <c r="Q117" s="134"/>
      <c r="R117" s="87"/>
      <c r="U117" s="87"/>
      <c r="X117" s="87"/>
      <c r="Y117" s="205"/>
      <c r="Z117" s="134"/>
      <c r="AA117" s="87"/>
      <c r="AD117" s="11"/>
      <c r="AG117" s="11"/>
    </row>
    <row r="118" spans="1:33" x14ac:dyDescent="0.2">
      <c r="A118" s="220"/>
      <c r="B118" s="219"/>
      <c r="C118" s="202"/>
      <c r="D118" s="205"/>
      <c r="E118" s="134"/>
      <c r="F118" s="87"/>
      <c r="G118" s="205"/>
      <c r="H118" s="134"/>
      <c r="I118" s="87"/>
      <c r="J118" s="224"/>
      <c r="K118" s="166"/>
      <c r="L118" s="87"/>
      <c r="M118" s="205"/>
      <c r="N118" s="134"/>
      <c r="O118" s="87"/>
      <c r="P118" s="205"/>
      <c r="Q118" s="134"/>
      <c r="R118" s="87"/>
      <c r="U118" s="87"/>
      <c r="X118" s="87"/>
      <c r="Y118" s="205"/>
      <c r="Z118" s="134"/>
      <c r="AA118" s="87"/>
      <c r="AD118" s="11"/>
      <c r="AG118" s="11"/>
    </row>
    <row r="119" spans="1:33" x14ac:dyDescent="0.2">
      <c r="A119" s="220"/>
      <c r="B119" s="219"/>
      <c r="C119" s="202"/>
      <c r="D119" s="205"/>
      <c r="E119" s="134"/>
      <c r="F119" s="87"/>
      <c r="G119" s="205"/>
      <c r="H119" s="134"/>
      <c r="I119" s="87"/>
      <c r="J119" s="224"/>
      <c r="K119" s="166"/>
      <c r="L119" s="87"/>
      <c r="M119" s="205"/>
      <c r="N119" s="134"/>
      <c r="O119" s="87"/>
      <c r="P119" s="205"/>
      <c r="Q119" s="134"/>
      <c r="R119" s="87"/>
      <c r="U119" s="87"/>
      <c r="X119" s="87"/>
      <c r="Y119" s="205"/>
      <c r="Z119" s="134"/>
      <c r="AA119" s="87"/>
      <c r="AD119" s="11"/>
      <c r="AG119" s="11"/>
    </row>
    <row r="120" spans="1:33" x14ac:dyDescent="0.2">
      <c r="A120" s="220"/>
      <c r="B120" s="219"/>
      <c r="C120" s="202"/>
      <c r="D120" s="205"/>
      <c r="E120" s="134"/>
      <c r="F120" s="87"/>
      <c r="G120" s="205"/>
      <c r="H120" s="134"/>
      <c r="I120" s="87"/>
      <c r="J120" s="224"/>
      <c r="K120" s="166"/>
      <c r="L120" s="87"/>
      <c r="M120" s="205"/>
      <c r="N120" s="134"/>
      <c r="O120" s="87"/>
      <c r="P120" s="205"/>
      <c r="Q120" s="134"/>
      <c r="R120" s="87"/>
      <c r="U120" s="87"/>
      <c r="X120" s="87"/>
      <c r="Y120" s="205"/>
      <c r="Z120" s="134"/>
      <c r="AA120" s="87"/>
      <c r="AD120" s="11"/>
      <c r="AG120" s="11"/>
    </row>
    <row r="121" spans="1:33" x14ac:dyDescent="0.2">
      <c r="A121" s="220"/>
      <c r="B121" s="219"/>
      <c r="C121" s="202"/>
      <c r="D121" s="205"/>
      <c r="E121" s="134"/>
      <c r="F121" s="87"/>
      <c r="G121" s="205"/>
      <c r="H121" s="134"/>
      <c r="I121" s="87"/>
      <c r="J121" s="224"/>
      <c r="K121" s="166"/>
      <c r="L121" s="87"/>
      <c r="M121" s="205"/>
      <c r="N121" s="134"/>
      <c r="O121" s="87"/>
      <c r="P121" s="205"/>
      <c r="Q121" s="134"/>
      <c r="R121" s="87"/>
      <c r="U121" s="87"/>
      <c r="X121" s="87"/>
      <c r="Y121" s="205"/>
      <c r="Z121" s="134"/>
      <c r="AA121" s="87"/>
      <c r="AD121" s="11"/>
      <c r="AG121" s="11"/>
    </row>
    <row r="122" spans="1:33" x14ac:dyDescent="0.2">
      <c r="A122" s="220"/>
      <c r="B122" s="219"/>
      <c r="C122" s="202"/>
      <c r="D122" s="205"/>
      <c r="E122" s="134"/>
      <c r="F122" s="87"/>
      <c r="G122" s="205"/>
      <c r="H122" s="134"/>
      <c r="I122" s="87"/>
      <c r="J122" s="224"/>
      <c r="K122" s="166"/>
      <c r="L122" s="87"/>
      <c r="M122" s="205"/>
      <c r="N122" s="134"/>
      <c r="O122" s="87"/>
      <c r="P122" s="205"/>
      <c r="Q122" s="134"/>
      <c r="R122" s="87"/>
      <c r="U122" s="87"/>
      <c r="X122" s="87"/>
      <c r="Y122" s="205"/>
      <c r="Z122" s="134"/>
      <c r="AA122" s="87"/>
      <c r="AD122" s="11"/>
      <c r="AG122" s="11"/>
    </row>
    <row r="123" spans="1:33" x14ac:dyDescent="0.2">
      <c r="A123" s="220"/>
      <c r="B123" s="219"/>
      <c r="C123" s="202"/>
      <c r="D123" s="205"/>
      <c r="E123" s="134"/>
      <c r="F123" s="87"/>
      <c r="G123" s="205"/>
      <c r="H123" s="134"/>
      <c r="I123" s="87"/>
      <c r="J123" s="224"/>
      <c r="K123" s="166"/>
      <c r="L123" s="87"/>
      <c r="M123" s="205"/>
      <c r="N123" s="134"/>
      <c r="O123" s="87"/>
      <c r="P123" s="205"/>
      <c r="Q123" s="134"/>
      <c r="R123" s="87"/>
      <c r="U123" s="87"/>
      <c r="X123" s="87"/>
      <c r="Y123" s="205"/>
      <c r="Z123" s="134"/>
      <c r="AA123" s="87"/>
      <c r="AD123" s="11"/>
      <c r="AG123" s="11"/>
    </row>
    <row r="124" spans="1:33" x14ac:dyDescent="0.2">
      <c r="A124" s="220"/>
      <c r="B124" s="219"/>
      <c r="C124" s="202"/>
      <c r="D124" s="205"/>
      <c r="E124" s="134"/>
      <c r="F124" s="87"/>
      <c r="G124" s="205"/>
      <c r="H124" s="134"/>
      <c r="I124" s="87"/>
      <c r="J124" s="224"/>
      <c r="K124" s="166"/>
      <c r="L124" s="87"/>
      <c r="M124" s="205"/>
      <c r="N124" s="134"/>
      <c r="O124" s="87"/>
      <c r="P124" s="205"/>
      <c r="Q124" s="134"/>
      <c r="R124" s="87"/>
      <c r="U124" s="87"/>
      <c r="X124" s="87"/>
      <c r="Y124" s="205"/>
      <c r="Z124" s="134"/>
      <c r="AA124" s="87"/>
      <c r="AD124" s="11"/>
      <c r="AG124" s="11"/>
    </row>
    <row r="125" spans="1:33" x14ac:dyDescent="0.2">
      <c r="A125" s="220"/>
      <c r="B125" s="219"/>
      <c r="C125" s="202"/>
      <c r="D125" s="205"/>
      <c r="E125" s="134"/>
      <c r="F125" s="87"/>
      <c r="G125" s="205"/>
      <c r="H125" s="134"/>
      <c r="I125" s="87"/>
      <c r="J125" s="224"/>
      <c r="K125" s="166"/>
      <c r="L125" s="87"/>
      <c r="M125" s="205"/>
      <c r="N125" s="134"/>
      <c r="O125" s="87"/>
      <c r="P125" s="205"/>
      <c r="Q125" s="134"/>
      <c r="R125" s="87"/>
      <c r="U125" s="87"/>
      <c r="X125" s="87"/>
      <c r="Y125" s="205"/>
      <c r="Z125" s="134"/>
      <c r="AA125" s="87"/>
      <c r="AD125" s="11"/>
      <c r="AG125" s="11"/>
    </row>
    <row r="126" spans="1:33" x14ac:dyDescent="0.2">
      <c r="A126" s="220"/>
      <c r="B126" s="219"/>
      <c r="C126" s="202"/>
      <c r="D126" s="205"/>
      <c r="E126" s="134"/>
      <c r="F126" s="87"/>
      <c r="G126" s="205"/>
      <c r="H126" s="134"/>
      <c r="I126" s="87"/>
      <c r="J126" s="224"/>
      <c r="K126" s="166"/>
      <c r="L126" s="87"/>
      <c r="M126" s="205"/>
      <c r="N126" s="134"/>
      <c r="O126" s="87"/>
      <c r="P126" s="205"/>
      <c r="Q126" s="134"/>
      <c r="R126" s="87"/>
      <c r="U126" s="87"/>
      <c r="X126" s="87"/>
      <c r="Y126" s="205"/>
      <c r="Z126" s="134"/>
      <c r="AA126" s="87"/>
      <c r="AD126" s="11"/>
      <c r="AG126" s="11"/>
    </row>
    <row r="127" spans="1:33" x14ac:dyDescent="0.2">
      <c r="A127" s="220"/>
      <c r="B127" s="219"/>
      <c r="C127" s="202"/>
      <c r="D127" s="205"/>
      <c r="E127" s="134"/>
      <c r="F127" s="87"/>
      <c r="G127" s="205"/>
      <c r="H127" s="134"/>
      <c r="I127" s="87"/>
      <c r="J127" s="224"/>
      <c r="K127" s="166"/>
      <c r="L127" s="87"/>
      <c r="M127" s="205"/>
      <c r="N127" s="134"/>
      <c r="O127" s="87"/>
      <c r="P127" s="205"/>
      <c r="Q127" s="134"/>
      <c r="R127" s="87"/>
      <c r="U127" s="87"/>
      <c r="X127" s="87"/>
      <c r="Y127" s="205"/>
      <c r="Z127" s="134"/>
      <c r="AA127" s="87"/>
      <c r="AD127" s="11"/>
      <c r="AG127" s="11"/>
    </row>
    <row r="128" spans="1:33" x14ac:dyDescent="0.2">
      <c r="A128" s="220"/>
      <c r="B128" s="219"/>
      <c r="C128" s="202"/>
      <c r="D128" s="205"/>
      <c r="E128" s="134"/>
      <c r="F128" s="87"/>
      <c r="G128" s="205"/>
      <c r="H128" s="134"/>
      <c r="I128" s="87"/>
      <c r="J128" s="224"/>
      <c r="K128" s="166"/>
      <c r="L128" s="87"/>
      <c r="M128" s="205"/>
      <c r="N128" s="134"/>
      <c r="O128" s="87"/>
      <c r="P128" s="205"/>
      <c r="Q128" s="134"/>
      <c r="R128" s="87"/>
      <c r="U128" s="87"/>
      <c r="X128" s="87"/>
      <c r="Y128" s="205"/>
      <c r="Z128" s="134"/>
      <c r="AA128" s="87"/>
      <c r="AD128" s="11"/>
      <c r="AG128" s="11"/>
    </row>
    <row r="129" spans="1:33" x14ac:dyDescent="0.2">
      <c r="A129" s="220"/>
      <c r="B129" s="219"/>
      <c r="C129" s="202"/>
      <c r="D129" s="205"/>
      <c r="E129" s="134"/>
      <c r="F129" s="87"/>
      <c r="G129" s="205"/>
      <c r="H129" s="134"/>
      <c r="I129" s="87"/>
      <c r="J129" s="224"/>
      <c r="K129" s="166"/>
      <c r="L129" s="87"/>
      <c r="M129" s="205"/>
      <c r="N129" s="134"/>
      <c r="O129" s="87"/>
      <c r="P129" s="205"/>
      <c r="Q129" s="134"/>
      <c r="R129" s="87"/>
      <c r="U129" s="87"/>
      <c r="X129" s="87"/>
      <c r="Y129" s="205"/>
      <c r="Z129" s="134"/>
      <c r="AA129" s="87"/>
      <c r="AD129" s="11"/>
      <c r="AG129" s="11"/>
    </row>
    <row r="130" spans="1:33" x14ac:dyDescent="0.2">
      <c r="A130" s="220"/>
      <c r="B130" s="219"/>
      <c r="C130" s="202"/>
      <c r="D130" s="205"/>
      <c r="E130" s="134"/>
      <c r="F130" s="87"/>
      <c r="G130" s="205"/>
      <c r="H130" s="134"/>
      <c r="I130" s="87"/>
      <c r="J130" s="224"/>
      <c r="K130" s="166"/>
      <c r="L130" s="87"/>
      <c r="M130" s="205"/>
      <c r="N130" s="134"/>
      <c r="O130" s="87"/>
      <c r="P130" s="205"/>
      <c r="Q130" s="134"/>
      <c r="R130" s="87"/>
      <c r="U130" s="87"/>
      <c r="X130" s="87"/>
      <c r="Y130" s="205"/>
      <c r="Z130" s="134"/>
      <c r="AA130" s="87"/>
      <c r="AD130" s="11"/>
      <c r="AG130" s="11"/>
    </row>
    <row r="131" spans="1:33" x14ac:dyDescent="0.2">
      <c r="A131" s="220"/>
      <c r="B131" s="219"/>
      <c r="C131" s="202"/>
      <c r="D131" s="205"/>
      <c r="E131" s="134"/>
      <c r="F131" s="87"/>
      <c r="G131" s="205"/>
      <c r="H131" s="134"/>
      <c r="I131" s="87"/>
      <c r="J131" s="224"/>
      <c r="K131" s="166"/>
      <c r="L131" s="87"/>
      <c r="M131" s="205"/>
      <c r="N131" s="134"/>
      <c r="O131" s="87"/>
      <c r="P131" s="205"/>
      <c r="Q131" s="134"/>
      <c r="R131" s="87"/>
      <c r="U131" s="87"/>
      <c r="X131" s="87"/>
      <c r="Y131" s="205"/>
      <c r="Z131" s="134"/>
      <c r="AA131" s="87"/>
      <c r="AD131" s="11"/>
      <c r="AG131" s="11"/>
    </row>
    <row r="132" spans="1:33" x14ac:dyDescent="0.2">
      <c r="A132" s="220"/>
      <c r="B132" s="219"/>
      <c r="C132" s="202"/>
      <c r="D132" s="205"/>
      <c r="E132" s="134"/>
      <c r="F132" s="87"/>
      <c r="G132" s="205"/>
      <c r="H132" s="134"/>
      <c r="I132" s="87"/>
      <c r="J132" s="224"/>
      <c r="K132" s="166"/>
      <c r="L132" s="87"/>
      <c r="M132" s="205"/>
      <c r="N132" s="134"/>
      <c r="O132" s="87"/>
      <c r="P132" s="205"/>
      <c r="Q132" s="134"/>
      <c r="R132" s="87"/>
      <c r="U132" s="87"/>
      <c r="X132" s="87"/>
      <c r="Y132" s="205"/>
      <c r="Z132" s="134"/>
      <c r="AA132" s="87"/>
      <c r="AD132" s="11"/>
      <c r="AG132" s="11"/>
    </row>
    <row r="133" spans="1:33" x14ac:dyDescent="0.2">
      <c r="A133" s="220"/>
      <c r="B133" s="219"/>
      <c r="C133" s="202"/>
      <c r="D133" s="205"/>
      <c r="E133" s="134"/>
      <c r="F133" s="87"/>
      <c r="G133" s="205"/>
      <c r="H133" s="134"/>
      <c r="I133" s="87"/>
      <c r="J133" s="224"/>
      <c r="K133" s="166"/>
      <c r="L133" s="87"/>
      <c r="M133" s="205"/>
      <c r="N133" s="134"/>
      <c r="O133" s="87"/>
      <c r="P133" s="205"/>
      <c r="Q133" s="134"/>
      <c r="R133" s="87"/>
      <c r="U133" s="87"/>
      <c r="X133" s="87"/>
      <c r="Y133" s="205"/>
      <c r="Z133" s="134"/>
      <c r="AA133" s="87"/>
      <c r="AD133" s="11"/>
      <c r="AG133" s="11"/>
    </row>
    <row r="134" spans="1:33" x14ac:dyDescent="0.2">
      <c r="A134" s="220"/>
      <c r="B134" s="219"/>
      <c r="C134" s="202"/>
      <c r="D134" s="205"/>
      <c r="E134" s="134"/>
      <c r="F134" s="87"/>
      <c r="G134" s="205"/>
      <c r="H134" s="134"/>
      <c r="I134" s="87"/>
      <c r="J134" s="224"/>
      <c r="K134" s="166"/>
      <c r="L134" s="87"/>
      <c r="M134" s="205"/>
      <c r="N134" s="134"/>
      <c r="O134" s="87"/>
      <c r="P134" s="205"/>
      <c r="Q134" s="134"/>
      <c r="R134" s="87"/>
      <c r="U134" s="87"/>
      <c r="X134" s="87"/>
      <c r="Y134" s="205"/>
      <c r="Z134" s="134"/>
      <c r="AA134" s="87"/>
      <c r="AD134" s="11"/>
      <c r="AG134" s="11"/>
    </row>
    <row r="135" spans="1:33" x14ac:dyDescent="0.2">
      <c r="A135" s="220"/>
      <c r="B135" s="219"/>
      <c r="C135" s="202"/>
      <c r="D135" s="205"/>
      <c r="E135" s="134"/>
      <c r="F135" s="87"/>
      <c r="G135" s="205"/>
      <c r="H135" s="134"/>
      <c r="I135" s="87"/>
      <c r="J135" s="224"/>
      <c r="K135" s="166"/>
      <c r="L135" s="87"/>
      <c r="M135" s="205"/>
      <c r="N135" s="134"/>
      <c r="O135" s="87"/>
      <c r="P135" s="205"/>
      <c r="Q135" s="134"/>
      <c r="R135" s="87"/>
      <c r="U135" s="87"/>
      <c r="X135" s="87"/>
      <c r="Y135" s="205"/>
      <c r="Z135" s="134"/>
      <c r="AA135" s="87"/>
      <c r="AD135" s="11"/>
      <c r="AG135" s="11"/>
    </row>
    <row r="136" spans="1:33" x14ac:dyDescent="0.2">
      <c r="A136" s="220"/>
      <c r="B136" s="219"/>
      <c r="C136" s="202"/>
      <c r="D136" s="205"/>
      <c r="E136" s="134"/>
      <c r="F136" s="87"/>
      <c r="G136" s="205"/>
      <c r="H136" s="134"/>
      <c r="I136" s="87"/>
      <c r="J136" s="224"/>
      <c r="K136" s="166"/>
      <c r="L136" s="87"/>
      <c r="M136" s="205"/>
      <c r="N136" s="134"/>
      <c r="O136" s="87"/>
      <c r="P136" s="205"/>
      <c r="Q136" s="134"/>
      <c r="R136" s="87"/>
      <c r="U136" s="87"/>
      <c r="X136" s="87"/>
      <c r="Y136" s="205"/>
      <c r="Z136" s="134"/>
      <c r="AA136" s="87"/>
      <c r="AD136" s="11"/>
      <c r="AG136" s="11"/>
    </row>
    <row r="137" spans="1:33" x14ac:dyDescent="0.2">
      <c r="A137" s="220"/>
      <c r="B137" s="219"/>
      <c r="C137" s="202"/>
      <c r="D137" s="205"/>
      <c r="E137" s="134"/>
      <c r="F137" s="87"/>
      <c r="G137" s="205"/>
      <c r="H137" s="134"/>
      <c r="I137" s="87"/>
      <c r="J137" s="224"/>
      <c r="K137" s="166"/>
      <c r="L137" s="87"/>
      <c r="M137" s="205"/>
      <c r="N137" s="134"/>
      <c r="O137" s="87"/>
      <c r="P137" s="205"/>
      <c r="Q137" s="134"/>
      <c r="R137" s="87"/>
      <c r="U137" s="87"/>
      <c r="X137" s="87"/>
      <c r="Y137" s="205"/>
      <c r="Z137" s="134"/>
      <c r="AA137" s="87"/>
      <c r="AD137" s="11"/>
      <c r="AG137" s="11"/>
    </row>
    <row r="138" spans="1:33" x14ac:dyDescent="0.2">
      <c r="A138" s="220"/>
      <c r="B138" s="219"/>
      <c r="C138" s="202"/>
      <c r="D138" s="205"/>
      <c r="E138" s="134"/>
      <c r="F138" s="87"/>
      <c r="G138" s="205"/>
      <c r="H138" s="134"/>
      <c r="I138" s="87"/>
      <c r="J138" s="224"/>
      <c r="K138" s="166"/>
      <c r="L138" s="87"/>
      <c r="M138" s="205"/>
      <c r="N138" s="134"/>
      <c r="O138" s="87"/>
      <c r="P138" s="205"/>
      <c r="Q138" s="134"/>
      <c r="R138" s="87"/>
      <c r="U138" s="87"/>
      <c r="X138" s="87"/>
      <c r="Y138" s="205"/>
      <c r="Z138" s="134"/>
      <c r="AA138" s="87"/>
      <c r="AD138" s="11"/>
      <c r="AG138" s="11"/>
    </row>
    <row r="139" spans="1:33" x14ac:dyDescent="0.2">
      <c r="A139" s="220"/>
      <c r="B139" s="219"/>
      <c r="C139" s="202"/>
      <c r="D139" s="205"/>
      <c r="E139" s="134"/>
      <c r="F139" s="87"/>
      <c r="G139" s="205"/>
      <c r="H139" s="134"/>
      <c r="I139" s="87"/>
      <c r="J139" s="224"/>
      <c r="K139" s="166"/>
      <c r="L139" s="87"/>
      <c r="M139" s="205"/>
      <c r="N139" s="134"/>
      <c r="O139" s="87"/>
      <c r="P139" s="205"/>
      <c r="Q139" s="134"/>
      <c r="R139" s="87"/>
      <c r="U139" s="87"/>
      <c r="X139" s="87"/>
      <c r="Y139" s="205"/>
      <c r="Z139" s="134"/>
      <c r="AA139" s="87"/>
      <c r="AD139" s="11"/>
      <c r="AG139" s="11"/>
    </row>
    <row r="140" spans="1:33" x14ac:dyDescent="0.2">
      <c r="A140" s="220"/>
      <c r="B140" s="219"/>
      <c r="C140" s="202"/>
      <c r="D140" s="205"/>
      <c r="E140" s="134"/>
      <c r="F140" s="87"/>
      <c r="G140" s="205"/>
      <c r="H140" s="134"/>
      <c r="I140" s="87"/>
      <c r="J140" s="224"/>
      <c r="K140" s="166"/>
      <c r="L140" s="87"/>
      <c r="M140" s="205"/>
      <c r="N140" s="134"/>
      <c r="O140" s="87"/>
      <c r="P140" s="205"/>
      <c r="Q140" s="134"/>
      <c r="R140" s="87"/>
      <c r="U140" s="87"/>
      <c r="X140" s="87"/>
      <c r="Y140" s="205"/>
      <c r="Z140" s="134"/>
      <c r="AA140" s="87"/>
      <c r="AD140" s="11"/>
      <c r="AG140" s="11"/>
    </row>
    <row r="141" spans="1:33" x14ac:dyDescent="0.2">
      <c r="A141" s="220"/>
      <c r="B141" s="219"/>
      <c r="C141" s="202"/>
      <c r="D141" s="205"/>
      <c r="E141" s="134"/>
      <c r="F141" s="87"/>
      <c r="G141" s="205"/>
      <c r="H141" s="134"/>
      <c r="I141" s="87"/>
      <c r="J141" s="224"/>
      <c r="K141" s="166"/>
      <c r="L141" s="87"/>
      <c r="M141" s="205"/>
      <c r="N141" s="134"/>
      <c r="O141" s="87"/>
      <c r="P141" s="205"/>
      <c r="Q141" s="134"/>
      <c r="R141" s="87"/>
      <c r="U141" s="87"/>
      <c r="X141" s="87"/>
      <c r="Y141" s="205"/>
      <c r="Z141" s="134"/>
      <c r="AA141" s="87"/>
      <c r="AD141" s="11"/>
      <c r="AG141" s="11"/>
    </row>
    <row r="142" spans="1:33" x14ac:dyDescent="0.2">
      <c r="A142" s="220"/>
      <c r="B142" s="219"/>
      <c r="C142" s="202"/>
      <c r="D142" s="205"/>
      <c r="E142" s="134"/>
      <c r="F142" s="87"/>
      <c r="G142" s="205"/>
      <c r="H142" s="134"/>
      <c r="I142" s="87"/>
      <c r="J142" s="224"/>
      <c r="K142" s="166"/>
      <c r="L142" s="87"/>
      <c r="M142" s="205"/>
      <c r="N142" s="134"/>
      <c r="O142" s="87"/>
      <c r="P142" s="205"/>
      <c r="Q142" s="134"/>
      <c r="R142" s="87"/>
      <c r="U142" s="87"/>
      <c r="X142" s="87"/>
      <c r="Y142" s="205"/>
      <c r="Z142" s="134"/>
      <c r="AA142" s="87"/>
      <c r="AD142" s="11"/>
      <c r="AG142" s="11"/>
    </row>
    <row r="143" spans="1:33" x14ac:dyDescent="0.2">
      <c r="A143" s="220"/>
      <c r="B143" s="219"/>
      <c r="C143" s="202"/>
      <c r="D143" s="205"/>
      <c r="E143" s="134"/>
      <c r="F143" s="87"/>
      <c r="G143" s="205"/>
      <c r="H143" s="134"/>
      <c r="I143" s="87"/>
      <c r="J143" s="224"/>
      <c r="K143" s="166"/>
      <c r="L143" s="87"/>
      <c r="M143" s="205"/>
      <c r="N143" s="134"/>
      <c r="O143" s="87"/>
      <c r="P143" s="205"/>
      <c r="Q143" s="134"/>
      <c r="R143" s="87"/>
      <c r="U143" s="87"/>
      <c r="X143" s="87"/>
      <c r="Y143" s="205"/>
      <c r="Z143" s="134"/>
      <c r="AA143" s="87"/>
      <c r="AD143" s="11"/>
      <c r="AG143" s="11"/>
    </row>
    <row r="144" spans="1:33" x14ac:dyDescent="0.2">
      <c r="A144" s="220"/>
      <c r="B144" s="219"/>
      <c r="C144" s="202"/>
      <c r="D144" s="205"/>
      <c r="E144" s="134"/>
      <c r="F144" s="87"/>
      <c r="G144" s="205"/>
      <c r="H144" s="134"/>
      <c r="I144" s="87"/>
      <c r="J144" s="224"/>
      <c r="K144" s="166"/>
      <c r="L144" s="87"/>
      <c r="M144" s="205"/>
      <c r="N144" s="134"/>
      <c r="O144" s="87"/>
      <c r="P144" s="205"/>
      <c r="Q144" s="134"/>
      <c r="R144" s="87"/>
      <c r="U144" s="87"/>
      <c r="X144" s="87"/>
      <c r="Y144" s="205"/>
      <c r="Z144" s="134"/>
      <c r="AA144" s="87"/>
      <c r="AD144" s="11"/>
      <c r="AG144" s="11"/>
    </row>
    <row r="145" spans="1:33" x14ac:dyDescent="0.2">
      <c r="A145" s="220"/>
      <c r="B145" s="219"/>
      <c r="C145" s="202"/>
      <c r="D145" s="205"/>
      <c r="E145" s="134"/>
      <c r="F145" s="87"/>
      <c r="G145" s="205"/>
      <c r="H145" s="134"/>
      <c r="I145" s="87"/>
      <c r="J145" s="224"/>
      <c r="K145" s="166"/>
      <c r="L145" s="87"/>
      <c r="M145" s="205"/>
      <c r="N145" s="134"/>
      <c r="O145" s="87"/>
      <c r="P145" s="205"/>
      <c r="Q145" s="134"/>
      <c r="R145" s="87"/>
      <c r="U145" s="87"/>
      <c r="X145" s="87"/>
      <c r="Y145" s="205"/>
      <c r="Z145" s="134"/>
      <c r="AA145" s="87"/>
      <c r="AD145" s="11"/>
      <c r="AG145" s="11"/>
    </row>
    <row r="146" spans="1:33" x14ac:dyDescent="0.2">
      <c r="A146" s="220"/>
      <c r="B146" s="219"/>
      <c r="C146" s="202"/>
      <c r="D146" s="205"/>
      <c r="E146" s="134"/>
      <c r="F146" s="87"/>
      <c r="G146" s="205"/>
      <c r="H146" s="134"/>
      <c r="I146" s="87"/>
      <c r="J146" s="224"/>
      <c r="K146" s="166"/>
      <c r="L146" s="87"/>
      <c r="M146" s="205"/>
      <c r="N146" s="134"/>
      <c r="O146" s="87"/>
      <c r="P146" s="205"/>
      <c r="Q146" s="134"/>
      <c r="R146" s="87"/>
      <c r="U146" s="87"/>
      <c r="X146" s="87"/>
      <c r="Y146" s="205"/>
      <c r="Z146" s="134"/>
      <c r="AA146" s="87"/>
      <c r="AD146" s="11"/>
      <c r="AG146" s="11"/>
    </row>
    <row r="147" spans="1:33" x14ac:dyDescent="0.2">
      <c r="A147" s="220"/>
      <c r="B147" s="219"/>
      <c r="C147" s="202"/>
      <c r="D147" s="205"/>
      <c r="E147" s="134"/>
      <c r="F147" s="87"/>
      <c r="G147" s="205"/>
      <c r="H147" s="134"/>
      <c r="I147" s="87"/>
      <c r="J147" s="224"/>
      <c r="K147" s="166"/>
      <c r="L147" s="87"/>
      <c r="M147" s="205"/>
      <c r="N147" s="134"/>
      <c r="O147" s="87"/>
      <c r="P147" s="205"/>
      <c r="Q147" s="134"/>
      <c r="R147" s="87"/>
      <c r="U147" s="87"/>
      <c r="X147" s="87"/>
      <c r="Y147" s="205"/>
      <c r="Z147" s="134"/>
      <c r="AA147" s="87"/>
      <c r="AD147" s="11"/>
      <c r="AG147" s="11"/>
    </row>
    <row r="148" spans="1:33" x14ac:dyDescent="0.2">
      <c r="A148" s="220"/>
      <c r="B148" s="219"/>
      <c r="C148" s="202"/>
      <c r="D148" s="205"/>
      <c r="E148" s="134"/>
      <c r="F148" s="87"/>
      <c r="G148" s="205"/>
      <c r="H148" s="134"/>
      <c r="I148" s="87"/>
      <c r="J148" s="224"/>
      <c r="K148" s="166"/>
      <c r="L148" s="87"/>
      <c r="M148" s="205"/>
      <c r="N148" s="134"/>
      <c r="O148" s="87"/>
      <c r="P148" s="205"/>
      <c r="Q148" s="134"/>
      <c r="R148" s="87"/>
      <c r="U148" s="87"/>
      <c r="X148" s="87"/>
      <c r="Y148" s="205"/>
      <c r="Z148" s="134"/>
      <c r="AA148" s="87"/>
      <c r="AD148" s="11"/>
      <c r="AG148" s="11"/>
    </row>
    <row r="149" spans="1:33" x14ac:dyDescent="0.2">
      <c r="A149" s="220"/>
      <c r="B149" s="219"/>
      <c r="C149" s="202"/>
      <c r="D149" s="205"/>
      <c r="E149" s="134"/>
      <c r="F149" s="87"/>
      <c r="G149" s="205"/>
      <c r="H149" s="134"/>
      <c r="I149" s="87"/>
      <c r="J149" s="224"/>
      <c r="K149" s="166"/>
      <c r="L149" s="87"/>
      <c r="M149" s="205"/>
      <c r="N149" s="134"/>
      <c r="O149" s="87"/>
      <c r="P149" s="205"/>
      <c r="Q149" s="134"/>
      <c r="R149" s="87"/>
      <c r="U149" s="87"/>
      <c r="X149" s="87"/>
      <c r="Y149" s="205"/>
      <c r="Z149" s="134"/>
      <c r="AA149" s="87"/>
      <c r="AD149" s="11"/>
      <c r="AG149" s="11"/>
    </row>
    <row r="150" spans="1:33" x14ac:dyDescent="0.2">
      <c r="A150" s="220"/>
      <c r="B150" s="219"/>
      <c r="C150" s="202"/>
      <c r="D150" s="205"/>
      <c r="E150" s="134"/>
      <c r="F150" s="87"/>
      <c r="G150" s="205"/>
      <c r="H150" s="134"/>
      <c r="I150" s="87"/>
      <c r="J150" s="224"/>
      <c r="K150" s="166"/>
      <c r="L150" s="87"/>
      <c r="M150" s="205"/>
      <c r="N150" s="134"/>
      <c r="O150" s="87"/>
      <c r="P150" s="205"/>
      <c r="Q150" s="134"/>
      <c r="R150" s="87"/>
      <c r="U150" s="87"/>
      <c r="X150" s="87"/>
      <c r="Y150" s="205"/>
      <c r="Z150" s="134"/>
      <c r="AA150" s="87"/>
      <c r="AD150" s="11"/>
      <c r="AG150" s="11"/>
    </row>
    <row r="151" spans="1:33" x14ac:dyDescent="0.2">
      <c r="A151" s="220"/>
      <c r="B151" s="219"/>
      <c r="C151" s="202"/>
      <c r="D151" s="205"/>
      <c r="E151" s="134"/>
      <c r="F151" s="87"/>
      <c r="G151" s="205"/>
      <c r="H151" s="134"/>
      <c r="I151" s="87"/>
      <c r="J151" s="224"/>
      <c r="K151" s="166"/>
      <c r="L151" s="87"/>
      <c r="M151" s="205"/>
      <c r="N151" s="134"/>
      <c r="O151" s="87"/>
      <c r="P151" s="205"/>
      <c r="Q151" s="134"/>
      <c r="R151" s="87"/>
      <c r="U151" s="87"/>
      <c r="X151" s="87"/>
      <c r="Y151" s="205"/>
      <c r="Z151" s="134"/>
      <c r="AA151" s="87"/>
      <c r="AD151" s="11"/>
      <c r="AG151" s="11"/>
    </row>
    <row r="152" spans="1:33" x14ac:dyDescent="0.2">
      <c r="A152" s="220"/>
      <c r="B152" s="219"/>
      <c r="C152" s="202"/>
      <c r="D152" s="205"/>
      <c r="E152" s="134"/>
      <c r="F152" s="87"/>
      <c r="G152" s="205"/>
      <c r="H152" s="134"/>
      <c r="I152" s="87"/>
      <c r="J152" s="224"/>
      <c r="K152" s="166"/>
      <c r="L152" s="87"/>
      <c r="M152" s="205"/>
      <c r="N152" s="134"/>
      <c r="O152" s="87"/>
      <c r="P152" s="205"/>
      <c r="Q152" s="134"/>
      <c r="R152" s="87"/>
      <c r="U152" s="87"/>
      <c r="X152" s="87"/>
      <c r="Y152" s="205"/>
      <c r="Z152" s="134"/>
      <c r="AA152" s="87"/>
      <c r="AD152" s="11"/>
      <c r="AG152" s="11"/>
    </row>
    <row r="153" spans="1:33" x14ac:dyDescent="0.2">
      <c r="A153" s="220"/>
      <c r="B153" s="219"/>
      <c r="C153" s="202"/>
      <c r="D153" s="205"/>
      <c r="E153" s="134"/>
      <c r="F153" s="87"/>
      <c r="G153" s="205"/>
      <c r="H153" s="134"/>
      <c r="I153" s="87"/>
      <c r="J153" s="224"/>
      <c r="K153" s="166"/>
      <c r="L153" s="87"/>
      <c r="M153" s="205"/>
      <c r="N153" s="134"/>
      <c r="O153" s="87"/>
      <c r="P153" s="205"/>
      <c r="Q153" s="134"/>
      <c r="R153" s="87"/>
      <c r="U153" s="87"/>
      <c r="X153" s="87"/>
      <c r="Y153" s="205"/>
      <c r="Z153" s="134"/>
      <c r="AA153" s="87"/>
      <c r="AD153" s="11"/>
      <c r="AG153" s="11"/>
    </row>
    <row r="154" spans="1:33" x14ac:dyDescent="0.2">
      <c r="A154" s="220"/>
      <c r="B154" s="219"/>
      <c r="C154" s="202"/>
      <c r="D154" s="205"/>
      <c r="E154" s="134"/>
      <c r="F154" s="87"/>
      <c r="G154" s="205"/>
      <c r="H154" s="134"/>
      <c r="I154" s="87"/>
      <c r="J154" s="224"/>
      <c r="K154" s="166"/>
      <c r="L154" s="87"/>
      <c r="M154" s="205"/>
      <c r="N154" s="134"/>
      <c r="O154" s="87"/>
      <c r="P154" s="205"/>
      <c r="Q154" s="134"/>
      <c r="R154" s="87"/>
      <c r="U154" s="87"/>
      <c r="X154" s="87"/>
      <c r="Y154" s="205"/>
      <c r="Z154" s="134"/>
      <c r="AA154" s="87"/>
      <c r="AD154" s="11"/>
      <c r="AG154" s="11"/>
    </row>
    <row r="155" spans="1:33" x14ac:dyDescent="0.2">
      <c r="A155" s="220"/>
      <c r="B155" s="219"/>
      <c r="C155" s="202"/>
      <c r="D155" s="205"/>
      <c r="E155" s="134"/>
      <c r="F155" s="87"/>
      <c r="G155" s="205"/>
      <c r="H155" s="134"/>
      <c r="I155" s="87"/>
      <c r="J155" s="224"/>
      <c r="K155" s="166"/>
      <c r="L155" s="87"/>
      <c r="M155" s="205"/>
      <c r="N155" s="134"/>
      <c r="O155" s="87"/>
      <c r="P155" s="205"/>
      <c r="Q155" s="134"/>
      <c r="R155" s="87"/>
      <c r="U155" s="87"/>
      <c r="X155" s="87"/>
      <c r="Y155" s="205"/>
      <c r="Z155" s="134"/>
      <c r="AA155" s="87"/>
      <c r="AD155" s="11"/>
      <c r="AG155" s="11"/>
    </row>
    <row r="156" spans="1:33" x14ac:dyDescent="0.2">
      <c r="A156" s="220"/>
      <c r="B156" s="219"/>
      <c r="C156" s="202"/>
      <c r="D156" s="205"/>
      <c r="E156" s="134"/>
      <c r="F156" s="87"/>
      <c r="G156" s="205"/>
      <c r="H156" s="134"/>
      <c r="I156" s="87"/>
      <c r="J156" s="224"/>
      <c r="K156" s="166"/>
      <c r="L156" s="87"/>
      <c r="M156" s="205"/>
      <c r="N156" s="134"/>
      <c r="O156" s="87"/>
      <c r="P156" s="205"/>
      <c r="Q156" s="134"/>
      <c r="R156" s="87"/>
      <c r="U156" s="87"/>
      <c r="X156" s="87"/>
      <c r="Y156" s="205"/>
      <c r="Z156" s="134"/>
      <c r="AA156" s="87"/>
      <c r="AD156" s="11"/>
      <c r="AG156" s="11"/>
    </row>
    <row r="157" spans="1:33" x14ac:dyDescent="0.2">
      <c r="A157" s="220"/>
      <c r="B157" s="219"/>
      <c r="C157" s="202"/>
      <c r="D157" s="205"/>
      <c r="E157" s="134"/>
      <c r="F157" s="87"/>
      <c r="G157" s="205"/>
      <c r="H157" s="134"/>
      <c r="I157" s="87"/>
      <c r="J157" s="224"/>
      <c r="K157" s="166"/>
      <c r="L157" s="87"/>
      <c r="M157" s="205"/>
      <c r="N157" s="134"/>
      <c r="O157" s="87"/>
      <c r="P157" s="205"/>
      <c r="Q157" s="134"/>
      <c r="R157" s="87"/>
      <c r="U157" s="87"/>
      <c r="X157" s="87"/>
      <c r="Y157" s="205"/>
      <c r="Z157" s="134"/>
      <c r="AA157" s="87"/>
      <c r="AD157" s="11"/>
      <c r="AG157" s="11"/>
    </row>
    <row r="158" spans="1:33" x14ac:dyDescent="0.2">
      <c r="A158" s="220"/>
      <c r="B158" s="219"/>
      <c r="C158" s="202"/>
      <c r="D158" s="205"/>
      <c r="E158" s="134"/>
      <c r="F158" s="87"/>
      <c r="G158" s="205"/>
      <c r="H158" s="134"/>
      <c r="I158" s="87"/>
      <c r="J158" s="224"/>
      <c r="K158" s="166"/>
      <c r="L158" s="87"/>
      <c r="M158" s="205"/>
      <c r="N158" s="134"/>
      <c r="O158" s="87"/>
      <c r="P158" s="205"/>
      <c r="Q158" s="134"/>
      <c r="R158" s="87"/>
      <c r="U158" s="87"/>
      <c r="X158" s="87"/>
      <c r="Y158" s="205"/>
      <c r="Z158" s="134"/>
      <c r="AA158" s="87"/>
      <c r="AD158" s="11"/>
      <c r="AG158" s="11"/>
    </row>
    <row r="159" spans="1:33" x14ac:dyDescent="0.2">
      <c r="A159" s="220"/>
      <c r="B159" s="219"/>
      <c r="C159" s="202"/>
      <c r="D159" s="205"/>
      <c r="E159" s="134"/>
      <c r="F159" s="87"/>
      <c r="G159" s="205"/>
      <c r="H159" s="134"/>
      <c r="I159" s="87"/>
      <c r="J159" s="224"/>
      <c r="K159" s="166"/>
      <c r="L159" s="87"/>
      <c r="M159" s="205"/>
      <c r="N159" s="134"/>
      <c r="O159" s="87"/>
      <c r="P159" s="205"/>
      <c r="Q159" s="134"/>
      <c r="R159" s="87"/>
      <c r="U159" s="87"/>
      <c r="X159" s="87"/>
      <c r="Y159" s="205"/>
      <c r="Z159" s="134"/>
      <c r="AA159" s="87"/>
      <c r="AD159" s="11"/>
      <c r="AG159" s="11"/>
    </row>
    <row r="160" spans="1:33" x14ac:dyDescent="0.2">
      <c r="A160" s="220"/>
      <c r="B160" s="219"/>
      <c r="C160" s="202"/>
      <c r="D160" s="205"/>
      <c r="E160" s="134"/>
      <c r="F160" s="87"/>
      <c r="G160" s="205"/>
      <c r="H160" s="134"/>
      <c r="I160" s="87"/>
      <c r="J160" s="224"/>
      <c r="K160" s="166"/>
      <c r="L160" s="87"/>
      <c r="M160" s="205"/>
      <c r="N160" s="134"/>
      <c r="O160" s="87"/>
      <c r="P160" s="205"/>
      <c r="Q160" s="134"/>
      <c r="R160" s="87"/>
      <c r="U160" s="87"/>
      <c r="X160" s="87"/>
      <c r="Y160" s="205"/>
      <c r="Z160" s="134"/>
      <c r="AA160" s="87"/>
      <c r="AD160" s="11"/>
      <c r="AG160" s="11"/>
    </row>
    <row r="161" spans="1:33" x14ac:dyDescent="0.2">
      <c r="A161" s="220"/>
      <c r="B161" s="219"/>
      <c r="C161" s="202"/>
      <c r="D161" s="205"/>
      <c r="E161" s="134"/>
      <c r="F161" s="87"/>
      <c r="G161" s="205"/>
      <c r="H161" s="134"/>
      <c r="I161" s="87"/>
      <c r="J161" s="224"/>
      <c r="K161" s="166"/>
      <c r="L161" s="87"/>
      <c r="M161" s="205"/>
      <c r="N161" s="134"/>
      <c r="O161" s="87"/>
      <c r="P161" s="205"/>
      <c r="Q161" s="134"/>
      <c r="R161" s="87"/>
      <c r="U161" s="87"/>
      <c r="X161" s="87"/>
      <c r="Y161" s="205"/>
      <c r="Z161" s="134"/>
      <c r="AA161" s="87"/>
      <c r="AD161" s="11"/>
      <c r="AG161" s="11"/>
    </row>
    <row r="162" spans="1:33" x14ac:dyDescent="0.2">
      <c r="A162" s="220"/>
      <c r="B162" s="219"/>
      <c r="C162" s="202"/>
      <c r="D162" s="205"/>
      <c r="E162" s="134"/>
      <c r="F162" s="87"/>
      <c r="G162" s="205"/>
      <c r="H162" s="134"/>
      <c r="I162" s="87"/>
      <c r="J162" s="224"/>
      <c r="K162" s="166"/>
      <c r="L162" s="87"/>
      <c r="M162" s="205"/>
      <c r="N162" s="134"/>
      <c r="O162" s="87"/>
      <c r="P162" s="205"/>
      <c r="Q162" s="134"/>
      <c r="R162" s="87"/>
      <c r="U162" s="87"/>
      <c r="X162" s="87"/>
      <c r="Y162" s="205"/>
      <c r="Z162" s="134"/>
      <c r="AA162" s="87"/>
      <c r="AD162" s="11"/>
      <c r="AG162" s="11"/>
    </row>
    <row r="163" spans="1:33" x14ac:dyDescent="0.2">
      <c r="A163" s="220"/>
      <c r="B163" s="219"/>
      <c r="C163" s="202"/>
      <c r="D163" s="205"/>
      <c r="E163" s="134"/>
      <c r="F163" s="87"/>
      <c r="G163" s="205"/>
      <c r="H163" s="134"/>
      <c r="I163" s="87"/>
      <c r="J163" s="224"/>
      <c r="K163" s="166"/>
      <c r="L163" s="87"/>
      <c r="M163" s="205"/>
      <c r="N163" s="134"/>
      <c r="O163" s="87"/>
      <c r="P163" s="205"/>
      <c r="Q163" s="134"/>
      <c r="R163" s="87"/>
      <c r="U163" s="87"/>
      <c r="X163" s="87"/>
      <c r="Y163" s="205"/>
      <c r="Z163" s="134"/>
      <c r="AA163" s="87"/>
      <c r="AD163" s="11"/>
      <c r="AG163" s="11"/>
    </row>
    <row r="164" spans="1:33" x14ac:dyDescent="0.2">
      <c r="A164" s="220"/>
      <c r="B164" s="219"/>
      <c r="C164" s="202"/>
      <c r="D164" s="205"/>
      <c r="E164" s="134"/>
      <c r="F164" s="87"/>
      <c r="G164" s="205"/>
      <c r="H164" s="134"/>
      <c r="I164" s="87"/>
      <c r="J164" s="224"/>
      <c r="K164" s="166"/>
      <c r="L164" s="87"/>
      <c r="M164" s="205"/>
      <c r="N164" s="134"/>
      <c r="O164" s="87"/>
      <c r="P164" s="205"/>
      <c r="Q164" s="134"/>
      <c r="R164" s="87"/>
      <c r="U164" s="87"/>
      <c r="X164" s="87"/>
      <c r="Y164" s="205"/>
      <c r="Z164" s="134"/>
      <c r="AA164" s="87"/>
      <c r="AD164" s="11"/>
      <c r="AG164" s="11"/>
    </row>
    <row r="165" spans="1:33" x14ac:dyDescent="0.2">
      <c r="A165" s="220"/>
      <c r="B165" s="219"/>
      <c r="C165" s="202"/>
      <c r="D165" s="205"/>
      <c r="E165" s="134"/>
      <c r="F165" s="87"/>
      <c r="G165" s="205"/>
      <c r="H165" s="134"/>
      <c r="I165" s="87"/>
      <c r="J165" s="224"/>
      <c r="K165" s="166"/>
      <c r="L165" s="87"/>
      <c r="M165" s="205"/>
      <c r="N165" s="134"/>
      <c r="O165" s="87"/>
      <c r="P165" s="205"/>
      <c r="Q165" s="134"/>
      <c r="R165" s="87"/>
      <c r="U165" s="87"/>
      <c r="X165" s="87"/>
      <c r="Y165" s="205"/>
      <c r="Z165" s="134"/>
      <c r="AA165" s="87"/>
      <c r="AD165" s="11"/>
      <c r="AG165" s="11"/>
    </row>
    <row r="166" spans="1:33" x14ac:dyDescent="0.2">
      <c r="A166" s="220"/>
      <c r="B166" s="219"/>
      <c r="C166" s="202"/>
      <c r="D166" s="205"/>
      <c r="E166" s="134"/>
      <c r="F166" s="87"/>
      <c r="G166" s="205"/>
      <c r="H166" s="134"/>
      <c r="I166" s="87"/>
      <c r="J166" s="224"/>
      <c r="K166" s="166"/>
      <c r="L166" s="87"/>
      <c r="M166" s="205"/>
      <c r="N166" s="134"/>
      <c r="O166" s="87"/>
      <c r="P166" s="205"/>
      <c r="Q166" s="134"/>
      <c r="R166" s="87"/>
      <c r="U166" s="87"/>
      <c r="X166" s="87"/>
      <c r="Y166" s="205"/>
      <c r="Z166" s="134"/>
      <c r="AA166" s="87"/>
      <c r="AD166" s="11"/>
      <c r="AG166" s="11"/>
    </row>
    <row r="167" spans="1:33" x14ac:dyDescent="0.2">
      <c r="A167" s="220"/>
      <c r="B167" s="219"/>
      <c r="C167" s="202"/>
      <c r="D167" s="205"/>
      <c r="E167" s="134"/>
      <c r="F167" s="87"/>
      <c r="G167" s="205"/>
      <c r="H167" s="134"/>
      <c r="I167" s="87"/>
      <c r="J167" s="224"/>
      <c r="K167" s="166"/>
      <c r="L167" s="87"/>
      <c r="M167" s="205"/>
      <c r="N167" s="134"/>
      <c r="O167" s="87"/>
      <c r="P167" s="205"/>
      <c r="Q167" s="134"/>
      <c r="R167" s="87"/>
      <c r="U167" s="87"/>
      <c r="X167" s="87"/>
      <c r="Y167" s="205"/>
      <c r="Z167" s="134"/>
      <c r="AA167" s="87"/>
      <c r="AD167" s="11"/>
      <c r="AG167" s="11"/>
    </row>
    <row r="168" spans="1:33" x14ac:dyDescent="0.2">
      <c r="A168" s="220"/>
      <c r="B168" s="219"/>
      <c r="C168" s="202"/>
      <c r="D168" s="205"/>
      <c r="E168" s="134"/>
      <c r="F168" s="87"/>
      <c r="G168" s="205"/>
      <c r="H168" s="134"/>
      <c r="I168" s="87"/>
      <c r="J168" s="224"/>
      <c r="K168" s="166"/>
      <c r="L168" s="87"/>
      <c r="M168" s="205"/>
      <c r="N168" s="134"/>
      <c r="O168" s="87"/>
      <c r="P168" s="205"/>
      <c r="Q168" s="134"/>
      <c r="R168" s="87"/>
      <c r="U168" s="87"/>
      <c r="X168" s="87"/>
      <c r="Y168" s="205"/>
      <c r="Z168" s="134"/>
      <c r="AA168" s="87"/>
      <c r="AD168" s="11"/>
      <c r="AG168" s="11"/>
    </row>
    <row r="169" spans="1:33" x14ac:dyDescent="0.2">
      <c r="A169" s="220"/>
      <c r="B169" s="219"/>
      <c r="C169" s="202"/>
      <c r="D169" s="205"/>
      <c r="E169" s="134"/>
      <c r="F169" s="87"/>
      <c r="G169" s="205"/>
      <c r="H169" s="134"/>
      <c r="I169" s="87"/>
      <c r="J169" s="224"/>
      <c r="K169" s="166"/>
      <c r="L169" s="87"/>
      <c r="M169" s="205"/>
      <c r="N169" s="134"/>
      <c r="O169" s="87"/>
      <c r="P169" s="205"/>
      <c r="Q169" s="134"/>
      <c r="R169" s="87"/>
      <c r="U169" s="87"/>
      <c r="X169" s="87"/>
      <c r="Y169" s="205"/>
      <c r="Z169" s="134"/>
      <c r="AA169" s="87"/>
      <c r="AD169" s="11"/>
      <c r="AG169" s="11"/>
    </row>
    <row r="170" spans="1:33" x14ac:dyDescent="0.2">
      <c r="A170" s="220"/>
      <c r="B170" s="219"/>
      <c r="C170" s="202"/>
      <c r="D170" s="205"/>
      <c r="E170" s="134"/>
      <c r="F170" s="87"/>
      <c r="G170" s="205"/>
      <c r="H170" s="134"/>
      <c r="I170" s="87"/>
      <c r="J170" s="224"/>
      <c r="K170" s="166"/>
      <c r="L170" s="87"/>
      <c r="M170" s="205"/>
      <c r="N170" s="134"/>
      <c r="O170" s="87"/>
      <c r="P170" s="205"/>
      <c r="Q170" s="134"/>
      <c r="R170" s="87"/>
      <c r="U170" s="87"/>
      <c r="X170" s="87"/>
      <c r="Y170" s="205"/>
      <c r="Z170" s="134"/>
      <c r="AA170" s="87"/>
      <c r="AD170" s="11"/>
      <c r="AG170" s="11"/>
    </row>
    <row r="171" spans="1:33" x14ac:dyDescent="0.2">
      <c r="A171" s="220"/>
      <c r="B171" s="219"/>
      <c r="C171" s="202"/>
      <c r="D171" s="205"/>
      <c r="E171" s="134"/>
      <c r="F171" s="87"/>
      <c r="G171" s="205"/>
      <c r="H171" s="134"/>
      <c r="I171" s="87"/>
      <c r="J171" s="224"/>
      <c r="K171" s="166"/>
      <c r="L171" s="87"/>
      <c r="M171" s="205"/>
      <c r="N171" s="134"/>
      <c r="O171" s="87"/>
      <c r="P171" s="205"/>
      <c r="Q171" s="134"/>
      <c r="R171" s="87"/>
      <c r="U171" s="87"/>
      <c r="X171" s="87"/>
      <c r="Y171" s="205"/>
      <c r="Z171" s="134"/>
      <c r="AA171" s="87"/>
      <c r="AD171" s="11"/>
      <c r="AG171" s="11"/>
    </row>
    <row r="172" spans="1:33" x14ac:dyDescent="0.2">
      <c r="A172" s="220"/>
      <c r="B172" s="219"/>
      <c r="C172" s="202"/>
      <c r="D172" s="205"/>
      <c r="E172" s="134"/>
      <c r="F172" s="87"/>
      <c r="G172" s="205"/>
      <c r="H172" s="134"/>
      <c r="I172" s="87"/>
      <c r="J172" s="224"/>
      <c r="K172" s="166"/>
      <c r="L172" s="87"/>
      <c r="M172" s="205"/>
      <c r="N172" s="134"/>
      <c r="O172" s="87"/>
      <c r="P172" s="205"/>
      <c r="Q172" s="134"/>
      <c r="R172" s="87"/>
      <c r="U172" s="87"/>
      <c r="X172" s="87"/>
      <c r="Y172" s="205"/>
      <c r="Z172" s="134"/>
      <c r="AA172" s="87"/>
      <c r="AD172" s="11"/>
      <c r="AG172" s="11"/>
    </row>
    <row r="173" spans="1:33" x14ac:dyDescent="0.2">
      <c r="A173" s="220"/>
      <c r="B173" s="219"/>
      <c r="C173" s="202"/>
      <c r="D173" s="205"/>
      <c r="E173" s="134"/>
      <c r="F173" s="87"/>
      <c r="G173" s="205"/>
      <c r="H173" s="134"/>
      <c r="I173" s="87"/>
      <c r="J173" s="224"/>
      <c r="K173" s="166"/>
      <c r="L173" s="87"/>
      <c r="M173" s="205"/>
      <c r="N173" s="134"/>
      <c r="O173" s="87"/>
      <c r="P173" s="205"/>
      <c r="Q173" s="134"/>
      <c r="R173" s="87"/>
      <c r="U173" s="87"/>
      <c r="X173" s="87"/>
      <c r="Y173" s="205"/>
      <c r="Z173" s="134"/>
      <c r="AA173" s="87"/>
      <c r="AD173" s="11"/>
      <c r="AG173" s="11"/>
    </row>
    <row r="174" spans="1:33" x14ac:dyDescent="0.2">
      <c r="A174" s="220"/>
      <c r="B174" s="219"/>
      <c r="C174" s="202"/>
      <c r="D174" s="205"/>
      <c r="E174" s="134"/>
      <c r="F174" s="87"/>
      <c r="G174" s="205"/>
      <c r="H174" s="134"/>
      <c r="I174" s="87"/>
      <c r="J174" s="224"/>
      <c r="K174" s="166"/>
      <c r="L174" s="87"/>
      <c r="M174" s="205"/>
      <c r="N174" s="134"/>
      <c r="O174" s="87"/>
      <c r="P174" s="205"/>
      <c r="Q174" s="134"/>
      <c r="R174" s="87"/>
      <c r="U174" s="87"/>
      <c r="X174" s="87"/>
      <c r="Y174" s="205"/>
      <c r="Z174" s="134"/>
      <c r="AA174" s="87"/>
      <c r="AD174" s="11"/>
      <c r="AG174" s="11"/>
    </row>
    <row r="175" spans="1:33" x14ac:dyDescent="0.2">
      <c r="A175" s="220"/>
      <c r="B175" s="219"/>
      <c r="C175" s="202"/>
      <c r="D175" s="205"/>
      <c r="E175" s="134"/>
      <c r="F175" s="87"/>
      <c r="G175" s="205"/>
      <c r="H175" s="134"/>
      <c r="I175" s="87"/>
      <c r="J175" s="224"/>
      <c r="K175" s="166"/>
      <c r="L175" s="87"/>
      <c r="M175" s="205"/>
      <c r="N175" s="134"/>
      <c r="O175" s="87"/>
      <c r="P175" s="205"/>
      <c r="Q175" s="134"/>
      <c r="R175" s="87"/>
      <c r="U175" s="87"/>
      <c r="X175" s="87"/>
      <c r="Y175" s="205"/>
      <c r="Z175" s="134"/>
      <c r="AA175" s="87"/>
      <c r="AD175" s="11"/>
      <c r="AG175" s="11"/>
    </row>
    <row r="176" spans="1:33" x14ac:dyDescent="0.2">
      <c r="A176" s="220"/>
      <c r="B176" s="219"/>
      <c r="C176" s="202"/>
      <c r="D176" s="205"/>
      <c r="E176" s="134"/>
      <c r="F176" s="87"/>
      <c r="G176" s="205"/>
      <c r="H176" s="134"/>
      <c r="I176" s="87"/>
      <c r="J176" s="224"/>
      <c r="K176" s="166"/>
      <c r="L176" s="87"/>
      <c r="M176" s="205"/>
      <c r="N176" s="134"/>
      <c r="O176" s="87"/>
      <c r="P176" s="205"/>
      <c r="Q176" s="134"/>
      <c r="R176" s="87"/>
      <c r="U176" s="87"/>
      <c r="X176" s="87"/>
      <c r="Y176" s="205"/>
      <c r="Z176" s="134"/>
      <c r="AA176" s="87"/>
      <c r="AD176" s="11"/>
      <c r="AG176" s="11"/>
    </row>
    <row r="177" spans="1:33" x14ac:dyDescent="0.2">
      <c r="A177" s="220"/>
      <c r="B177" s="219"/>
      <c r="C177" s="202"/>
      <c r="D177" s="205"/>
      <c r="E177" s="134"/>
      <c r="F177" s="87"/>
      <c r="G177" s="205"/>
      <c r="H177" s="134"/>
      <c r="I177" s="87"/>
      <c r="J177" s="224"/>
      <c r="K177" s="166"/>
      <c r="L177" s="87"/>
      <c r="M177" s="205"/>
      <c r="N177" s="134"/>
      <c r="O177" s="87"/>
      <c r="P177" s="205"/>
      <c r="Q177" s="134"/>
      <c r="R177" s="87"/>
      <c r="U177" s="87"/>
      <c r="X177" s="87"/>
      <c r="Y177" s="205"/>
      <c r="Z177" s="134"/>
      <c r="AA177" s="87"/>
      <c r="AD177" s="11"/>
      <c r="AG177" s="11"/>
    </row>
    <row r="178" spans="1:33" x14ac:dyDescent="0.2">
      <c r="A178" s="220"/>
      <c r="B178" s="219"/>
      <c r="C178" s="202"/>
      <c r="D178" s="205"/>
      <c r="E178" s="134"/>
      <c r="F178" s="87"/>
      <c r="G178" s="205"/>
      <c r="H178" s="134"/>
      <c r="I178" s="87"/>
      <c r="J178" s="224"/>
      <c r="K178" s="166"/>
      <c r="L178" s="87"/>
      <c r="M178" s="205"/>
      <c r="N178" s="134"/>
      <c r="O178" s="87"/>
      <c r="P178" s="205"/>
      <c r="Q178" s="134"/>
      <c r="R178" s="87"/>
      <c r="U178" s="87"/>
      <c r="X178" s="87"/>
      <c r="Y178" s="205"/>
      <c r="Z178" s="134"/>
      <c r="AA178" s="87"/>
      <c r="AD178" s="11"/>
      <c r="AG178" s="11"/>
    </row>
    <row r="179" spans="1:33" x14ac:dyDescent="0.2">
      <c r="A179" s="220"/>
      <c r="B179" s="219"/>
      <c r="C179" s="202"/>
      <c r="D179" s="205"/>
      <c r="E179" s="134"/>
      <c r="F179" s="87"/>
      <c r="G179" s="205"/>
      <c r="H179" s="134"/>
      <c r="I179" s="87"/>
      <c r="J179" s="224"/>
      <c r="K179" s="166"/>
      <c r="L179" s="87"/>
      <c r="M179" s="205"/>
      <c r="N179" s="134"/>
      <c r="O179" s="87"/>
      <c r="P179" s="205"/>
      <c r="Q179" s="134"/>
      <c r="R179" s="87"/>
      <c r="U179" s="87"/>
      <c r="X179" s="87"/>
      <c r="Y179" s="205"/>
      <c r="Z179" s="134"/>
      <c r="AA179" s="87"/>
      <c r="AD179" s="11"/>
      <c r="AG179" s="11"/>
    </row>
    <row r="180" spans="1:33" x14ac:dyDescent="0.2">
      <c r="A180" s="220"/>
      <c r="B180" s="219"/>
      <c r="C180" s="202"/>
      <c r="D180" s="205"/>
      <c r="E180" s="134"/>
      <c r="F180" s="87"/>
      <c r="G180" s="205"/>
      <c r="H180" s="134"/>
      <c r="I180" s="87"/>
      <c r="J180" s="224"/>
      <c r="K180" s="166"/>
      <c r="L180" s="87"/>
      <c r="M180" s="205"/>
      <c r="N180" s="134"/>
      <c r="O180" s="87"/>
      <c r="P180" s="205"/>
      <c r="Q180" s="134"/>
      <c r="R180" s="87"/>
      <c r="U180" s="87"/>
      <c r="X180" s="87"/>
      <c r="Y180" s="205"/>
      <c r="Z180" s="134"/>
      <c r="AA180" s="87"/>
      <c r="AD180" s="11"/>
      <c r="AG180" s="11"/>
    </row>
    <row r="181" spans="1:33" x14ac:dyDescent="0.2">
      <c r="A181" s="220"/>
      <c r="B181" s="219"/>
      <c r="C181" s="202"/>
      <c r="D181" s="205"/>
      <c r="E181" s="134"/>
      <c r="F181" s="87"/>
      <c r="G181" s="205"/>
      <c r="H181" s="134"/>
      <c r="I181" s="87"/>
      <c r="J181" s="224"/>
      <c r="K181" s="166"/>
      <c r="L181" s="87"/>
      <c r="M181" s="205"/>
      <c r="N181" s="134"/>
      <c r="O181" s="87"/>
      <c r="P181" s="205"/>
      <c r="Q181" s="134"/>
      <c r="R181" s="87"/>
      <c r="U181" s="87"/>
      <c r="X181" s="87"/>
      <c r="Y181" s="205"/>
      <c r="Z181" s="134"/>
      <c r="AA181" s="87"/>
      <c r="AD181" s="11"/>
      <c r="AG181" s="11"/>
    </row>
    <row r="182" spans="1:33" x14ac:dyDescent="0.2">
      <c r="A182" s="220"/>
      <c r="B182" s="219"/>
      <c r="C182" s="202"/>
      <c r="D182" s="205"/>
      <c r="E182" s="134"/>
      <c r="F182" s="87"/>
      <c r="G182" s="205"/>
      <c r="H182" s="134"/>
      <c r="I182" s="87"/>
      <c r="J182" s="224"/>
      <c r="K182" s="166"/>
      <c r="L182" s="87"/>
      <c r="M182" s="205"/>
      <c r="N182" s="134"/>
      <c r="O182" s="87"/>
      <c r="P182" s="205"/>
      <c r="Q182" s="134"/>
      <c r="R182" s="87"/>
      <c r="U182" s="87"/>
      <c r="X182" s="87"/>
      <c r="Y182" s="205"/>
      <c r="Z182" s="134"/>
      <c r="AA182" s="87"/>
      <c r="AD182" s="11"/>
      <c r="AG182" s="11"/>
    </row>
    <row r="183" spans="1:33" x14ac:dyDescent="0.2">
      <c r="A183" s="220"/>
      <c r="B183" s="219"/>
      <c r="C183" s="202"/>
      <c r="D183" s="205"/>
      <c r="E183" s="134"/>
      <c r="F183" s="87"/>
      <c r="G183" s="205"/>
      <c r="H183" s="134"/>
      <c r="I183" s="87"/>
      <c r="J183" s="224"/>
      <c r="K183" s="166"/>
      <c r="L183" s="87"/>
      <c r="M183" s="205"/>
      <c r="N183" s="134"/>
      <c r="O183" s="87"/>
      <c r="P183" s="205"/>
      <c r="Q183" s="134"/>
      <c r="R183" s="87"/>
      <c r="U183" s="87"/>
      <c r="X183" s="87"/>
      <c r="Y183" s="205"/>
      <c r="Z183" s="134"/>
      <c r="AA183" s="87"/>
      <c r="AD183" s="11"/>
      <c r="AG183" s="11"/>
    </row>
    <row r="184" spans="1:33" x14ac:dyDescent="0.2">
      <c r="A184" s="220"/>
      <c r="B184" s="219"/>
      <c r="C184" s="202"/>
      <c r="D184" s="205"/>
      <c r="E184" s="134"/>
      <c r="F184" s="87"/>
      <c r="G184" s="205"/>
      <c r="H184" s="134"/>
      <c r="I184" s="87"/>
      <c r="J184" s="224"/>
      <c r="K184" s="166"/>
      <c r="L184" s="87"/>
      <c r="M184" s="205"/>
      <c r="N184" s="134"/>
      <c r="O184" s="87"/>
      <c r="P184" s="205"/>
      <c r="Q184" s="134"/>
      <c r="R184" s="87"/>
      <c r="U184" s="87"/>
      <c r="X184" s="87"/>
      <c r="Y184" s="205"/>
      <c r="Z184" s="134"/>
      <c r="AA184" s="87"/>
      <c r="AD184" s="11"/>
      <c r="AG184" s="11"/>
    </row>
    <row r="185" spans="1:33" x14ac:dyDescent="0.2">
      <c r="A185" s="220"/>
      <c r="B185" s="219"/>
      <c r="C185" s="202"/>
      <c r="D185" s="205"/>
      <c r="E185" s="134"/>
      <c r="F185" s="87"/>
      <c r="G185" s="205"/>
      <c r="H185" s="134"/>
      <c r="I185" s="87"/>
      <c r="J185" s="224"/>
      <c r="K185" s="166"/>
      <c r="L185" s="87"/>
      <c r="M185" s="205"/>
      <c r="N185" s="134"/>
      <c r="O185" s="87"/>
      <c r="P185" s="205"/>
      <c r="Q185" s="134"/>
      <c r="R185" s="87"/>
      <c r="U185" s="87"/>
      <c r="X185" s="87"/>
      <c r="Y185" s="205"/>
      <c r="Z185" s="134"/>
      <c r="AA185" s="87"/>
      <c r="AD185" s="11"/>
      <c r="AG185" s="11"/>
    </row>
    <row r="186" spans="1:33" x14ac:dyDescent="0.2">
      <c r="A186" s="220"/>
      <c r="B186" s="219"/>
      <c r="C186" s="202"/>
      <c r="D186" s="205"/>
      <c r="E186" s="134"/>
      <c r="F186" s="87"/>
      <c r="G186" s="205"/>
      <c r="H186" s="134"/>
      <c r="I186" s="87"/>
      <c r="J186" s="224"/>
      <c r="K186" s="166"/>
      <c r="L186" s="87"/>
      <c r="M186" s="205"/>
      <c r="N186" s="134"/>
      <c r="O186" s="87"/>
      <c r="P186" s="205"/>
      <c r="Q186" s="134"/>
      <c r="R186" s="87"/>
      <c r="U186" s="87"/>
      <c r="X186" s="87"/>
      <c r="Y186" s="205"/>
      <c r="Z186" s="134"/>
      <c r="AA186" s="87"/>
      <c r="AD186" s="11"/>
      <c r="AG186" s="11"/>
    </row>
    <row r="187" spans="1:33" x14ac:dyDescent="0.2">
      <c r="A187" s="220"/>
      <c r="B187" s="219"/>
      <c r="C187" s="202"/>
      <c r="D187" s="205"/>
      <c r="E187" s="134"/>
      <c r="F187" s="87"/>
      <c r="G187" s="205"/>
      <c r="H187" s="134"/>
      <c r="I187" s="87"/>
      <c r="J187" s="224"/>
      <c r="K187" s="166"/>
      <c r="L187" s="87"/>
      <c r="M187" s="205"/>
      <c r="N187" s="134"/>
      <c r="O187" s="87"/>
      <c r="P187" s="205"/>
      <c r="Q187" s="134"/>
      <c r="R187" s="87"/>
      <c r="U187" s="87"/>
      <c r="X187" s="87"/>
      <c r="Y187" s="205"/>
      <c r="Z187" s="134"/>
      <c r="AA187" s="87"/>
      <c r="AD187" s="11"/>
      <c r="AG187" s="11"/>
    </row>
    <row r="188" spans="1:33" x14ac:dyDescent="0.2">
      <c r="A188" s="220"/>
      <c r="B188" s="219"/>
      <c r="C188" s="202"/>
      <c r="D188" s="205"/>
      <c r="E188" s="134"/>
      <c r="F188" s="87"/>
      <c r="G188" s="205"/>
      <c r="H188" s="134"/>
      <c r="I188" s="87"/>
      <c r="J188" s="224"/>
      <c r="K188" s="166"/>
      <c r="L188" s="87"/>
      <c r="M188" s="205"/>
      <c r="N188" s="134"/>
      <c r="O188" s="87"/>
      <c r="P188" s="205"/>
      <c r="Q188" s="134"/>
      <c r="R188" s="87"/>
      <c r="U188" s="87"/>
      <c r="X188" s="87"/>
      <c r="Y188" s="205"/>
      <c r="Z188" s="134"/>
      <c r="AA188" s="87"/>
      <c r="AD188" s="11"/>
      <c r="AG188" s="11"/>
    </row>
    <row r="189" spans="1:33" x14ac:dyDescent="0.2">
      <c r="A189" s="220"/>
      <c r="B189" s="219"/>
      <c r="C189" s="202"/>
      <c r="D189" s="205"/>
      <c r="E189" s="134"/>
      <c r="F189" s="87"/>
      <c r="G189" s="205"/>
      <c r="H189" s="134"/>
      <c r="I189" s="87"/>
      <c r="J189" s="224"/>
      <c r="K189" s="166"/>
      <c r="L189" s="87"/>
      <c r="M189" s="205"/>
      <c r="N189" s="134"/>
      <c r="O189" s="87"/>
      <c r="P189" s="205"/>
      <c r="Q189" s="134"/>
      <c r="R189" s="87"/>
      <c r="U189" s="87"/>
      <c r="X189" s="87"/>
      <c r="Y189" s="205"/>
      <c r="Z189" s="134"/>
      <c r="AA189" s="87"/>
      <c r="AD189" s="11"/>
      <c r="AG189" s="11"/>
    </row>
    <row r="190" spans="1:33" x14ac:dyDescent="0.2">
      <c r="A190" s="220"/>
      <c r="B190" s="219"/>
      <c r="C190" s="202"/>
      <c r="D190" s="205"/>
      <c r="E190" s="134"/>
      <c r="F190" s="87"/>
      <c r="G190" s="205"/>
      <c r="H190" s="134"/>
      <c r="I190" s="87"/>
      <c r="J190" s="224"/>
      <c r="K190" s="166"/>
      <c r="L190" s="87"/>
      <c r="M190" s="205"/>
      <c r="N190" s="134"/>
      <c r="O190" s="87"/>
      <c r="P190" s="205"/>
      <c r="Q190" s="134"/>
      <c r="R190" s="87"/>
      <c r="U190" s="87"/>
      <c r="X190" s="87"/>
      <c r="Y190" s="205"/>
      <c r="Z190" s="134"/>
      <c r="AA190" s="87"/>
      <c r="AD190" s="11"/>
      <c r="AG190" s="11"/>
    </row>
    <row r="191" spans="1:33" x14ac:dyDescent="0.2">
      <c r="A191" s="220"/>
      <c r="B191" s="219"/>
      <c r="C191" s="202"/>
      <c r="D191" s="205"/>
      <c r="E191" s="134"/>
      <c r="F191" s="87"/>
      <c r="G191" s="205"/>
      <c r="H191" s="134"/>
      <c r="I191" s="87"/>
      <c r="J191" s="224"/>
      <c r="K191" s="166"/>
      <c r="L191" s="87"/>
      <c r="M191" s="205"/>
      <c r="N191" s="134"/>
      <c r="O191" s="87"/>
      <c r="P191" s="205"/>
      <c r="Q191" s="134"/>
      <c r="R191" s="87"/>
      <c r="U191" s="87"/>
      <c r="X191" s="87"/>
      <c r="Y191" s="205"/>
      <c r="Z191" s="134"/>
      <c r="AA191" s="87"/>
      <c r="AD191" s="11"/>
      <c r="AG191" s="11"/>
    </row>
    <row r="192" spans="1:33" x14ac:dyDescent="0.2">
      <c r="A192" s="220"/>
      <c r="B192" s="219"/>
      <c r="C192" s="202"/>
      <c r="D192" s="205"/>
      <c r="E192" s="134"/>
      <c r="F192" s="87"/>
      <c r="G192" s="205"/>
      <c r="H192" s="134"/>
      <c r="I192" s="87"/>
      <c r="J192" s="224"/>
      <c r="K192" s="166"/>
      <c r="L192" s="87"/>
      <c r="M192" s="205"/>
      <c r="N192" s="134"/>
      <c r="O192" s="87"/>
      <c r="P192" s="205"/>
      <c r="Q192" s="134"/>
      <c r="R192" s="87"/>
      <c r="U192" s="87"/>
      <c r="X192" s="87"/>
      <c r="Y192" s="205"/>
      <c r="Z192" s="134"/>
      <c r="AA192" s="87"/>
      <c r="AD192" s="11"/>
      <c r="AG192" s="11"/>
    </row>
    <row r="193" spans="1:33" x14ac:dyDescent="0.2">
      <c r="A193" s="220"/>
      <c r="B193" s="219"/>
      <c r="C193" s="202"/>
      <c r="D193" s="205"/>
      <c r="E193" s="134"/>
      <c r="F193" s="87"/>
      <c r="G193" s="205"/>
      <c r="H193" s="134"/>
      <c r="I193" s="87"/>
      <c r="J193" s="224"/>
      <c r="K193" s="166"/>
      <c r="L193" s="87"/>
      <c r="M193" s="205"/>
      <c r="N193" s="134"/>
      <c r="O193" s="87"/>
      <c r="P193" s="205"/>
      <c r="Q193" s="134"/>
      <c r="R193" s="87"/>
      <c r="U193" s="87"/>
      <c r="X193" s="87"/>
      <c r="Y193" s="205"/>
      <c r="Z193" s="134"/>
      <c r="AA193" s="87"/>
      <c r="AD193" s="11"/>
      <c r="AG193" s="11"/>
    </row>
    <row r="194" spans="1:33" x14ac:dyDescent="0.2">
      <c r="A194" s="220"/>
      <c r="B194" s="219"/>
      <c r="C194" s="202"/>
      <c r="D194" s="205"/>
      <c r="E194" s="134"/>
      <c r="F194" s="87"/>
      <c r="G194" s="205"/>
      <c r="H194" s="134"/>
      <c r="I194" s="87"/>
      <c r="J194" s="224"/>
      <c r="K194" s="166"/>
      <c r="L194" s="87"/>
      <c r="M194" s="205"/>
      <c r="N194" s="134"/>
      <c r="O194" s="87"/>
      <c r="P194" s="205"/>
      <c r="Q194" s="134"/>
      <c r="R194" s="87"/>
      <c r="U194" s="87"/>
      <c r="X194" s="87"/>
      <c r="Y194" s="205"/>
      <c r="Z194" s="134"/>
      <c r="AA194" s="87"/>
      <c r="AD194" s="11"/>
      <c r="AG194" s="11"/>
    </row>
    <row r="195" spans="1:33" x14ac:dyDescent="0.2">
      <c r="A195" s="220"/>
      <c r="B195" s="219"/>
      <c r="C195" s="202"/>
      <c r="D195" s="205"/>
      <c r="E195" s="134"/>
      <c r="F195" s="87"/>
      <c r="G195" s="205"/>
      <c r="H195" s="134"/>
      <c r="I195" s="87"/>
      <c r="J195" s="224"/>
      <c r="K195" s="166"/>
      <c r="L195" s="87"/>
      <c r="M195" s="205"/>
      <c r="N195" s="134"/>
      <c r="O195" s="87"/>
      <c r="P195" s="205"/>
      <c r="Q195" s="134"/>
      <c r="R195" s="87"/>
      <c r="U195" s="87"/>
      <c r="X195" s="87"/>
      <c r="Y195" s="205"/>
      <c r="Z195" s="134"/>
      <c r="AA195" s="87"/>
      <c r="AD195" s="11"/>
      <c r="AG195" s="11"/>
    </row>
    <row r="196" spans="1:33" x14ac:dyDescent="0.2">
      <c r="A196" s="220"/>
      <c r="B196" s="219"/>
      <c r="C196" s="202"/>
      <c r="D196" s="205"/>
      <c r="E196" s="134"/>
      <c r="F196" s="87"/>
      <c r="G196" s="205"/>
      <c r="H196" s="134"/>
      <c r="I196" s="87"/>
      <c r="J196" s="224"/>
      <c r="K196" s="166"/>
      <c r="L196" s="87"/>
      <c r="M196" s="205"/>
      <c r="N196" s="134"/>
      <c r="O196" s="87"/>
      <c r="P196" s="205"/>
      <c r="Q196" s="134"/>
      <c r="R196" s="87"/>
      <c r="U196" s="87"/>
      <c r="X196" s="87"/>
      <c r="Y196" s="205"/>
      <c r="Z196" s="134"/>
      <c r="AA196" s="87"/>
      <c r="AD196" s="11"/>
      <c r="AG196" s="11"/>
    </row>
    <row r="197" spans="1:33" x14ac:dyDescent="0.2">
      <c r="A197" s="220"/>
      <c r="B197" s="219"/>
      <c r="C197" s="202"/>
      <c r="D197" s="205"/>
      <c r="E197" s="134"/>
      <c r="F197" s="87"/>
      <c r="G197" s="205"/>
      <c r="H197" s="134"/>
      <c r="I197" s="87"/>
      <c r="J197" s="224"/>
      <c r="K197" s="166"/>
      <c r="L197" s="87"/>
      <c r="M197" s="205"/>
      <c r="N197" s="134"/>
      <c r="O197" s="87"/>
      <c r="P197" s="205"/>
      <c r="Q197" s="134"/>
      <c r="R197" s="87"/>
      <c r="U197" s="87"/>
      <c r="X197" s="87"/>
      <c r="Y197" s="205"/>
      <c r="Z197" s="134"/>
      <c r="AA197" s="87"/>
      <c r="AD197" s="11"/>
      <c r="AG197" s="11"/>
    </row>
    <row r="198" spans="1:33" x14ac:dyDescent="0.2">
      <c r="A198" s="220"/>
      <c r="B198" s="219"/>
      <c r="C198" s="202"/>
      <c r="D198" s="205"/>
      <c r="E198" s="134"/>
      <c r="F198" s="87"/>
      <c r="G198" s="205"/>
      <c r="H198" s="134"/>
      <c r="I198" s="87"/>
      <c r="J198" s="224"/>
      <c r="K198" s="166"/>
      <c r="L198" s="87"/>
      <c r="M198" s="205"/>
      <c r="N198" s="134"/>
      <c r="O198" s="87"/>
      <c r="P198" s="205"/>
      <c r="Q198" s="134"/>
      <c r="R198" s="87"/>
      <c r="U198" s="87"/>
      <c r="X198" s="87"/>
      <c r="Y198" s="205"/>
      <c r="Z198" s="134"/>
      <c r="AA198" s="87"/>
      <c r="AD198" s="11"/>
      <c r="AG198" s="11"/>
    </row>
    <row r="199" spans="1:33" x14ac:dyDescent="0.2">
      <c r="A199" s="220"/>
      <c r="B199" s="219"/>
      <c r="C199" s="202"/>
      <c r="D199" s="205"/>
      <c r="E199" s="134"/>
      <c r="F199" s="87"/>
      <c r="G199" s="205"/>
      <c r="H199" s="134"/>
      <c r="I199" s="87"/>
      <c r="J199" s="224"/>
      <c r="K199" s="166"/>
      <c r="L199" s="87"/>
      <c r="M199" s="205"/>
      <c r="N199" s="134"/>
      <c r="O199" s="87"/>
      <c r="P199" s="205"/>
      <c r="Q199" s="134"/>
      <c r="R199" s="87"/>
      <c r="U199" s="87"/>
      <c r="X199" s="87"/>
      <c r="Y199" s="205"/>
      <c r="Z199" s="134"/>
      <c r="AA199" s="87"/>
      <c r="AD199" s="11"/>
      <c r="AG199" s="11"/>
    </row>
    <row r="200" spans="1:33" x14ac:dyDescent="0.2">
      <c r="A200" s="220"/>
      <c r="B200" s="219"/>
      <c r="C200" s="202"/>
      <c r="D200" s="134"/>
      <c r="E200" s="134"/>
      <c r="F200" s="134"/>
      <c r="G200" s="134"/>
      <c r="H200" s="134"/>
      <c r="I200" s="87"/>
      <c r="J200" s="225"/>
      <c r="K200" s="225"/>
      <c r="L200" s="208"/>
      <c r="M200" s="206"/>
      <c r="N200" s="207"/>
      <c r="O200" s="208"/>
      <c r="P200" s="206"/>
      <c r="Q200" s="207"/>
      <c r="R200" s="208"/>
      <c r="S200" s="206"/>
      <c r="T200" s="207"/>
      <c r="U200" s="208"/>
      <c r="V200" s="206"/>
      <c r="W200" s="207"/>
      <c r="X200" s="208"/>
      <c r="Y200" s="205"/>
      <c r="Z200" s="134"/>
      <c r="AA200" s="87"/>
      <c r="AD200" s="11"/>
      <c r="AG200" s="11"/>
    </row>
    <row r="201" spans="1:33" x14ac:dyDescent="0.2">
      <c r="A201" s="220"/>
      <c r="B201" s="219"/>
    </row>
    <row r="202" spans="1:33" x14ac:dyDescent="0.2">
      <c r="A202" s="220"/>
      <c r="B202" s="219"/>
    </row>
    <row r="203" spans="1:33" x14ac:dyDescent="0.2">
      <c r="A203" s="220"/>
      <c r="B203" s="219"/>
    </row>
    <row r="204" spans="1:33" x14ac:dyDescent="0.2">
      <c r="A204" s="220"/>
      <c r="B204" s="219"/>
    </row>
    <row r="205" spans="1:33" x14ac:dyDescent="0.2">
      <c r="A205" s="220"/>
      <c r="B205" s="219"/>
    </row>
    <row r="206" spans="1:33" x14ac:dyDescent="0.2">
      <c r="A206" s="220"/>
      <c r="B206" s="219"/>
    </row>
    <row r="207" spans="1:33" x14ac:dyDescent="0.2">
      <c r="A207" s="220"/>
      <c r="B207" s="219"/>
    </row>
    <row r="208" spans="1:33" x14ac:dyDescent="0.2">
      <c r="A208" s="220"/>
      <c r="B208" s="219"/>
    </row>
    <row r="209" spans="1:2" x14ac:dyDescent="0.2">
      <c r="A209" s="220"/>
      <c r="B209" s="219"/>
    </row>
    <row r="210" spans="1:2" x14ac:dyDescent="0.2">
      <c r="A210" s="220"/>
      <c r="B210" s="219"/>
    </row>
    <row r="211" spans="1:2" x14ac:dyDescent="0.2">
      <c r="A211" s="220"/>
      <c r="B211" s="219"/>
    </row>
    <row r="212" spans="1:2" x14ac:dyDescent="0.2">
      <c r="A212" s="220"/>
      <c r="B212" s="219"/>
    </row>
    <row r="213" spans="1:2" x14ac:dyDescent="0.2">
      <c r="A213" s="220"/>
      <c r="B213" s="219"/>
    </row>
    <row r="214" spans="1:2" ht="13.5" customHeight="1" x14ac:dyDescent="0.2">
      <c r="A214" s="220"/>
      <c r="B214" s="219"/>
    </row>
    <row r="215" spans="1:2" x14ac:dyDescent="0.2">
      <c r="A215" s="220"/>
      <c r="B215" s="219"/>
    </row>
    <row r="216" spans="1:2" x14ac:dyDescent="0.2">
      <c r="A216" s="220"/>
      <c r="B216" s="219"/>
    </row>
    <row r="217" spans="1:2" x14ac:dyDescent="0.2">
      <c r="A217" s="220"/>
      <c r="B217" s="219"/>
    </row>
    <row r="218" spans="1:2" x14ac:dyDescent="0.2">
      <c r="A218" s="220"/>
      <c r="B218" s="219"/>
    </row>
    <row r="219" spans="1:2" x14ac:dyDescent="0.2">
      <c r="A219" s="220"/>
      <c r="B219" s="219"/>
    </row>
    <row r="220" spans="1:2" x14ac:dyDescent="0.2">
      <c r="A220" s="220"/>
      <c r="B220" s="219"/>
    </row>
    <row r="221" spans="1:2" x14ac:dyDescent="0.2">
      <c r="A221" s="220"/>
      <c r="B221" s="219"/>
    </row>
    <row r="222" spans="1:2" x14ac:dyDescent="0.2">
      <c r="A222" s="220"/>
      <c r="B222" s="219"/>
    </row>
    <row r="223" spans="1:2" x14ac:dyDescent="0.2">
      <c r="A223" s="220"/>
      <c r="B223" s="219"/>
    </row>
    <row r="224" spans="1:2" x14ac:dyDescent="0.2">
      <c r="A224" s="220"/>
      <c r="B224" s="219"/>
    </row>
    <row r="225" spans="1:2" x14ac:dyDescent="0.2">
      <c r="A225" s="220"/>
      <c r="B225" s="219"/>
    </row>
    <row r="226" spans="1:2" x14ac:dyDescent="0.2">
      <c r="A226" s="220"/>
      <c r="B226" s="219"/>
    </row>
    <row r="227" spans="1:2" x14ac:dyDescent="0.2">
      <c r="A227" s="220"/>
      <c r="B227" s="219"/>
    </row>
    <row r="228" spans="1:2" x14ac:dyDescent="0.2">
      <c r="A228" s="220"/>
      <c r="B228" s="219"/>
    </row>
    <row r="229" spans="1:2" x14ac:dyDescent="0.2">
      <c r="A229" s="220"/>
      <c r="B229" s="219"/>
    </row>
    <row r="230" spans="1:2" x14ac:dyDescent="0.2">
      <c r="A230" s="220"/>
      <c r="B230" s="219"/>
    </row>
    <row r="231" spans="1:2" x14ac:dyDescent="0.2">
      <c r="A231" s="220"/>
      <c r="B231" s="219"/>
    </row>
    <row r="232" spans="1:2" x14ac:dyDescent="0.2">
      <c r="A232" s="220"/>
      <c r="B232" s="219"/>
    </row>
    <row r="233" spans="1:2" x14ac:dyDescent="0.2">
      <c r="A233" s="220"/>
      <c r="B233" s="219"/>
    </row>
    <row r="234" spans="1:2" x14ac:dyDescent="0.2">
      <c r="A234" s="220"/>
      <c r="B234" s="219"/>
    </row>
    <row r="235" spans="1:2" x14ac:dyDescent="0.2">
      <c r="A235" s="220"/>
      <c r="B235" s="219"/>
    </row>
    <row r="236" spans="1:2" x14ac:dyDescent="0.2">
      <c r="A236" s="220"/>
      <c r="B236" s="219"/>
    </row>
    <row r="237" spans="1:2" x14ac:dyDescent="0.2">
      <c r="A237" s="220"/>
      <c r="B237" s="219"/>
    </row>
    <row r="238" spans="1:2" x14ac:dyDescent="0.2">
      <c r="A238" s="220"/>
      <c r="B238" s="219"/>
    </row>
    <row r="239" spans="1:2" x14ac:dyDescent="0.2">
      <c r="A239" s="220"/>
      <c r="B239" s="219"/>
    </row>
    <row r="240" spans="1:2" x14ac:dyDescent="0.2">
      <c r="A240" s="220"/>
      <c r="B240" s="219"/>
    </row>
    <row r="241" spans="1:2" x14ac:dyDescent="0.2">
      <c r="A241" s="220"/>
      <c r="B241" s="219"/>
    </row>
    <row r="242" spans="1:2" x14ac:dyDescent="0.2">
      <c r="A242" s="220"/>
      <c r="B242" s="219"/>
    </row>
    <row r="243" spans="1:2" x14ac:dyDescent="0.2">
      <c r="A243" s="220"/>
      <c r="B243" s="219"/>
    </row>
    <row r="244" spans="1:2" x14ac:dyDescent="0.2">
      <c r="A244" s="220"/>
      <c r="B244" s="219"/>
    </row>
    <row r="245" spans="1:2" x14ac:dyDescent="0.2">
      <c r="A245" s="220"/>
      <c r="B245" s="219"/>
    </row>
    <row r="246" spans="1:2" x14ac:dyDescent="0.2">
      <c r="A246" s="220"/>
      <c r="B246" s="219"/>
    </row>
    <row r="247" spans="1:2" x14ac:dyDescent="0.2">
      <c r="A247" s="220"/>
      <c r="B247" s="219"/>
    </row>
    <row r="248" spans="1:2" x14ac:dyDescent="0.2">
      <c r="A248" s="220"/>
      <c r="B248" s="219"/>
    </row>
    <row r="249" spans="1:2" x14ac:dyDescent="0.2">
      <c r="A249" s="220"/>
      <c r="B249" s="219"/>
    </row>
    <row r="250" spans="1:2" x14ac:dyDescent="0.2">
      <c r="A250" s="220"/>
      <c r="B250" s="219"/>
    </row>
    <row r="251" spans="1:2" x14ac:dyDescent="0.2">
      <c r="A251" s="220"/>
      <c r="B251" s="219"/>
    </row>
    <row r="252" spans="1:2" x14ac:dyDescent="0.2">
      <c r="A252" s="220"/>
      <c r="B252" s="219"/>
    </row>
    <row r="253" spans="1:2" x14ac:dyDescent="0.2">
      <c r="A253" s="220"/>
      <c r="B253" s="219"/>
    </row>
    <row r="254" spans="1:2" x14ac:dyDescent="0.2">
      <c r="A254" s="220"/>
      <c r="B254" s="219"/>
    </row>
    <row r="255" spans="1:2" x14ac:dyDescent="0.2">
      <c r="A255" s="220"/>
      <c r="B255" s="219"/>
    </row>
    <row r="256" spans="1:2" x14ac:dyDescent="0.2">
      <c r="A256" s="220"/>
      <c r="B256" s="219"/>
    </row>
    <row r="257" spans="1:2" x14ac:dyDescent="0.2">
      <c r="A257" s="220"/>
      <c r="B257" s="219"/>
    </row>
    <row r="258" spans="1:2" x14ac:dyDescent="0.2">
      <c r="A258" s="220"/>
      <c r="B258" s="219"/>
    </row>
    <row r="259" spans="1:2" x14ac:dyDescent="0.2">
      <c r="A259" s="220"/>
      <c r="B259" s="219"/>
    </row>
    <row r="260" spans="1:2" x14ac:dyDescent="0.2">
      <c r="A260" s="220"/>
      <c r="B260" s="219"/>
    </row>
    <row r="261" spans="1:2" x14ac:dyDescent="0.2">
      <c r="A261" s="220"/>
      <c r="B261" s="219"/>
    </row>
    <row r="262" spans="1:2" x14ac:dyDescent="0.2">
      <c r="A262" s="220"/>
      <c r="B262" s="219"/>
    </row>
    <row r="263" spans="1:2" x14ac:dyDescent="0.2">
      <c r="A263" s="220"/>
      <c r="B263" s="219"/>
    </row>
    <row r="264" spans="1:2" x14ac:dyDescent="0.2">
      <c r="A264" s="220"/>
      <c r="B264" s="219"/>
    </row>
    <row r="265" spans="1:2" x14ac:dyDescent="0.2">
      <c r="A265" s="220"/>
      <c r="B265" s="219"/>
    </row>
    <row r="266" spans="1:2" x14ac:dyDescent="0.2">
      <c r="A266" s="220"/>
      <c r="B266" s="219"/>
    </row>
    <row r="267" spans="1:2" x14ac:dyDescent="0.2">
      <c r="A267" s="220"/>
      <c r="B267" s="219"/>
    </row>
    <row r="268" spans="1:2" x14ac:dyDescent="0.2">
      <c r="A268" s="220"/>
      <c r="B268" s="219"/>
    </row>
    <row r="269" spans="1:2" x14ac:dyDescent="0.2">
      <c r="A269" s="220"/>
      <c r="B269" s="219"/>
    </row>
    <row r="270" spans="1:2" x14ac:dyDescent="0.2">
      <c r="A270" s="220"/>
      <c r="B270" s="219"/>
    </row>
    <row r="271" spans="1:2" x14ac:dyDescent="0.2">
      <c r="A271" s="220"/>
      <c r="B271" s="219"/>
    </row>
    <row r="272" spans="1:2" x14ac:dyDescent="0.2">
      <c r="A272" s="220"/>
      <c r="B272" s="219"/>
    </row>
    <row r="273" spans="1:2" x14ac:dyDescent="0.2">
      <c r="A273" s="220"/>
      <c r="B273" s="219"/>
    </row>
    <row r="274" spans="1:2" x14ac:dyDescent="0.2">
      <c r="A274" s="220"/>
      <c r="B274" s="219"/>
    </row>
    <row r="275" spans="1:2" x14ac:dyDescent="0.2">
      <c r="A275" s="220"/>
      <c r="B275" s="219"/>
    </row>
    <row r="276" spans="1:2" x14ac:dyDescent="0.2">
      <c r="A276" s="220"/>
      <c r="B276" s="219"/>
    </row>
    <row r="277" spans="1:2" x14ac:dyDescent="0.2">
      <c r="A277" s="220"/>
      <c r="B277" s="219"/>
    </row>
    <row r="278" spans="1:2" x14ac:dyDescent="0.2">
      <c r="A278" s="220"/>
      <c r="B278" s="219"/>
    </row>
    <row r="279" spans="1:2" x14ac:dyDescent="0.2">
      <c r="A279" s="220"/>
      <c r="B279" s="219"/>
    </row>
    <row r="280" spans="1:2" x14ac:dyDescent="0.2">
      <c r="A280" s="220"/>
      <c r="B280" s="219"/>
    </row>
    <row r="281" spans="1:2" x14ac:dyDescent="0.2">
      <c r="A281" s="220"/>
      <c r="B281" s="219"/>
    </row>
    <row r="282" spans="1:2" x14ac:dyDescent="0.2">
      <c r="A282" s="220"/>
      <c r="B282" s="219"/>
    </row>
    <row r="283" spans="1:2" x14ac:dyDescent="0.2">
      <c r="A283" s="220"/>
      <c r="B283" s="219"/>
    </row>
    <row r="284" spans="1:2" x14ac:dyDescent="0.2">
      <c r="A284" s="220"/>
      <c r="B284" s="219"/>
    </row>
    <row r="285" spans="1:2" x14ac:dyDescent="0.2">
      <c r="A285" s="220"/>
      <c r="B285" s="219"/>
    </row>
    <row r="286" spans="1:2" x14ac:dyDescent="0.2">
      <c r="A286" s="220"/>
      <c r="B286" s="219"/>
    </row>
    <row r="287" spans="1:2" x14ac:dyDescent="0.2">
      <c r="A287" s="220"/>
      <c r="B287" s="219"/>
    </row>
    <row r="288" spans="1:2" x14ac:dyDescent="0.2">
      <c r="A288" s="220"/>
      <c r="B288" s="219"/>
    </row>
    <row r="289" spans="1:2" x14ac:dyDescent="0.2">
      <c r="A289" s="220"/>
      <c r="B289" s="219"/>
    </row>
    <row r="290" spans="1:2" x14ac:dyDescent="0.2">
      <c r="A290" s="220"/>
      <c r="B290" s="219"/>
    </row>
    <row r="291" spans="1:2" x14ac:dyDescent="0.2">
      <c r="A291" s="220"/>
      <c r="B291" s="219"/>
    </row>
    <row r="292" spans="1:2" x14ac:dyDescent="0.2">
      <c r="A292" s="220"/>
      <c r="B292" s="219"/>
    </row>
    <row r="293" spans="1:2" x14ac:dyDescent="0.2">
      <c r="A293" s="220"/>
      <c r="B293" s="219"/>
    </row>
    <row r="294" spans="1:2" x14ac:dyDescent="0.2">
      <c r="A294" s="220"/>
      <c r="B294" s="219"/>
    </row>
    <row r="295" spans="1:2" x14ac:dyDescent="0.2">
      <c r="A295" s="220"/>
      <c r="B295" s="219"/>
    </row>
    <row r="296" spans="1:2" x14ac:dyDescent="0.2">
      <c r="A296" s="220"/>
      <c r="B296" s="219"/>
    </row>
    <row r="297" spans="1:2" x14ac:dyDescent="0.2">
      <c r="A297" s="220"/>
      <c r="B297" s="219"/>
    </row>
    <row r="298" spans="1:2" x14ac:dyDescent="0.2">
      <c r="A298" s="220"/>
      <c r="B298" s="219"/>
    </row>
    <row r="299" spans="1:2" x14ac:dyDescent="0.2">
      <c r="A299" s="220"/>
      <c r="B299" s="219"/>
    </row>
    <row r="300" spans="1:2" x14ac:dyDescent="0.2">
      <c r="A300" s="220"/>
      <c r="B300" s="219"/>
    </row>
  </sheetData>
  <phoneticPr fontId="0" type="noConversion"/>
  <pageMargins left="0.75" right="0.75" top="1" bottom="1" header="0.5" footer="0.5"/>
  <pageSetup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C1:D22"/>
  <sheetViews>
    <sheetView workbookViewId="0"/>
  </sheetViews>
  <sheetFormatPr defaultColWidth="8.85546875" defaultRowHeight="12.75" x14ac:dyDescent="0.2"/>
  <cols>
    <col min="1" max="2" width="8.85546875" style="577"/>
    <col min="3" max="3" width="19.85546875" style="577" bestFit="1" customWidth="1"/>
    <col min="4" max="4" width="8.140625" style="577" bestFit="1" customWidth="1"/>
    <col min="5" max="14" width="6" style="577" bestFit="1" customWidth="1"/>
    <col min="15" max="15" width="6.42578125" style="577" customWidth="1"/>
    <col min="16" max="17" width="6" style="577" bestFit="1" customWidth="1"/>
    <col min="18" max="19" width="6" style="577" customWidth="1"/>
    <col min="20" max="16384" width="8.85546875" style="577"/>
  </cols>
  <sheetData>
    <row r="1" spans="3:4" x14ac:dyDescent="0.2">
      <c r="C1" s="573" t="s">
        <v>428</v>
      </c>
    </row>
    <row r="2" spans="3:4" x14ac:dyDescent="0.2">
      <c r="C2" s="573" t="s">
        <v>429</v>
      </c>
    </row>
    <row r="3" spans="3:4" x14ac:dyDescent="0.2">
      <c r="C3" s="573" t="s">
        <v>430</v>
      </c>
    </row>
    <row r="4" spans="3:4" x14ac:dyDescent="0.2">
      <c r="C4" s="573" t="s">
        <v>431</v>
      </c>
    </row>
    <row r="6" spans="3:4" x14ac:dyDescent="0.2">
      <c r="C6" s="577" t="s">
        <v>422</v>
      </c>
    </row>
    <row r="7" spans="3:4" x14ac:dyDescent="0.2">
      <c r="C7" s="568" t="s">
        <v>423</v>
      </c>
      <c r="D7" s="577">
        <v>2</v>
      </c>
    </row>
    <row r="10" spans="3:4" x14ac:dyDescent="0.2">
      <c r="C10" s="569" t="s">
        <v>432</v>
      </c>
    </row>
    <row r="11" spans="3:4" x14ac:dyDescent="0.2">
      <c r="C11" s="577" t="s">
        <v>433</v>
      </c>
    </row>
    <row r="12" spans="3:4" x14ac:dyDescent="0.2">
      <c r="C12" s="577" t="s">
        <v>434</v>
      </c>
    </row>
    <row r="13" spans="3:4" x14ac:dyDescent="0.2">
      <c r="C13" s="577" t="s">
        <v>433</v>
      </c>
    </row>
    <row r="14" spans="3:4" x14ac:dyDescent="0.2">
      <c r="C14" s="577" t="s">
        <v>434</v>
      </c>
    </row>
    <row r="15" spans="3:4" x14ac:dyDescent="0.2">
      <c r="C15" s="577" t="s">
        <v>433</v>
      </c>
    </row>
    <row r="16" spans="3:4" x14ac:dyDescent="0.2">
      <c r="C16" s="577" t="s">
        <v>434</v>
      </c>
    </row>
    <row r="17" spans="3:3" x14ac:dyDescent="0.2">
      <c r="C17" s="577" t="s">
        <v>433</v>
      </c>
    </row>
    <row r="18" spans="3:3" x14ac:dyDescent="0.2">
      <c r="C18" s="577" t="s">
        <v>434</v>
      </c>
    </row>
    <row r="19" spans="3:3" x14ac:dyDescent="0.2">
      <c r="C19" s="577" t="s">
        <v>433</v>
      </c>
    </row>
    <row r="20" spans="3:3" x14ac:dyDescent="0.2">
      <c r="C20" s="577" t="s">
        <v>434</v>
      </c>
    </row>
    <row r="21" spans="3:3" x14ac:dyDescent="0.2">
      <c r="C21" s="577" t="s">
        <v>433</v>
      </c>
    </row>
    <row r="22" spans="3:3" x14ac:dyDescent="0.2">
      <c r="C22" s="577" t="s">
        <v>434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50"/>
  </sheetPr>
  <dimension ref="A1:AF48"/>
  <sheetViews>
    <sheetView workbookViewId="0"/>
  </sheetViews>
  <sheetFormatPr defaultColWidth="9.140625" defaultRowHeight="12.75" x14ac:dyDescent="0.2"/>
  <cols>
    <col min="1" max="1" width="22.5703125" style="84" bestFit="1" customWidth="1"/>
    <col min="2" max="3" width="9.140625" style="84"/>
    <col min="4" max="4" width="12.42578125" style="84" customWidth="1"/>
    <col min="5" max="19" width="9.140625" style="84"/>
    <col min="20" max="20" width="12.7109375" style="84" bestFit="1" customWidth="1"/>
    <col min="21" max="31" width="9.140625" style="84"/>
    <col min="32" max="32" width="0" style="84" hidden="1" customWidth="1"/>
    <col min="33" max="16384" width="9.140625" style="84"/>
  </cols>
  <sheetData>
    <row r="1" spans="1:32" ht="9" customHeight="1" thickBot="1" x14ac:dyDescent="0.25">
      <c r="AF1" s="791" t="s">
        <v>402</v>
      </c>
    </row>
    <row r="2" spans="1:32" ht="13.5" thickBot="1" x14ac:dyDescent="0.25">
      <c r="A2" s="1207" t="s">
        <v>518</v>
      </c>
      <c r="B2" s="1182" t="s">
        <v>520</v>
      </c>
      <c r="C2" s="1184"/>
      <c r="D2" s="853" t="s">
        <v>591</v>
      </c>
      <c r="E2" s="826"/>
      <c r="F2" s="792"/>
      <c r="G2" s="1182" t="s">
        <v>510</v>
      </c>
      <c r="H2" s="1183"/>
      <c r="I2" s="1183"/>
      <c r="J2" s="1184"/>
      <c r="O2" s="806"/>
      <c r="P2" s="807"/>
      <c r="AF2" s="791" t="s">
        <v>403</v>
      </c>
    </row>
    <row r="3" spans="1:32" ht="13.5" customHeight="1" thickBot="1" x14ac:dyDescent="0.25">
      <c r="A3" s="1207"/>
      <c r="B3" s="1182" t="s">
        <v>519</v>
      </c>
      <c r="C3" s="1184"/>
      <c r="D3" s="853" t="s">
        <v>33</v>
      </c>
      <c r="E3" s="826"/>
      <c r="F3" s="792"/>
      <c r="G3" s="1185" t="str">
        <f>IF(COUNTIF(G13:V24,"water")&gt;0,"Please ensure all fetch values are numbers",IF(OR(ISNUMBER(D4)=FALSE, ISNUMBER(D5)=FALSE), "Please input latitude and longitude in decimal degrees. (No degrees sign.)",IF(D6*1000&lt;MAX('Export Old Projects'!V47:AP51),CONCATENATE("Rose Extents are less than the sum of the fetch lengths. Errors may occur in exported file. Maximum fetch sum: ",ROUNDUP(MAX('Export Old Projects'!V47:AP51)/1000,0), " km."),IF(ISERROR('Export Old Projects'!I25),"Error generating information. Please ensure all inputs are correct and all angle ranges are assigned.",""))))</f>
        <v/>
      </c>
      <c r="H3" s="1186"/>
      <c r="I3" s="1186"/>
      <c r="J3" s="1187"/>
      <c r="O3" s="807"/>
      <c r="P3" s="807"/>
      <c r="AF3" s="791" t="s">
        <v>406</v>
      </c>
    </row>
    <row r="4" spans="1:32" ht="13.5" thickBot="1" x14ac:dyDescent="0.25">
      <c r="B4" s="1182" t="s">
        <v>451</v>
      </c>
      <c r="C4" s="1184"/>
      <c r="D4" s="827">
        <v>0</v>
      </c>
      <c r="E4" s="828"/>
      <c r="F4" s="792"/>
      <c r="G4" s="1188"/>
      <c r="H4" s="1189"/>
      <c r="I4" s="1189"/>
      <c r="J4" s="1190"/>
      <c r="O4" s="806"/>
      <c r="P4" s="807"/>
      <c r="Y4" s="793"/>
      <c r="Z4" s="793"/>
    </row>
    <row r="5" spans="1:32" ht="13.5" thickBot="1" x14ac:dyDescent="0.25">
      <c r="B5" s="1182" t="s">
        <v>450</v>
      </c>
      <c r="C5" s="1184"/>
      <c r="D5" s="827">
        <v>0</v>
      </c>
      <c r="E5" s="828"/>
      <c r="F5" s="792"/>
      <c r="G5" s="1188"/>
      <c r="H5" s="1189"/>
      <c r="I5" s="1189"/>
      <c r="J5" s="1190"/>
      <c r="O5" s="807"/>
      <c r="P5" s="807"/>
      <c r="V5" s="794"/>
      <c r="W5" s="794"/>
      <c r="X5" s="794"/>
      <c r="Y5" s="795"/>
      <c r="Z5" s="795"/>
    </row>
    <row r="6" spans="1:32" ht="13.5" thickBot="1" x14ac:dyDescent="0.25">
      <c r="B6" s="1208" t="s">
        <v>514</v>
      </c>
      <c r="C6" s="1210"/>
      <c r="D6" s="735">
        <v>100</v>
      </c>
      <c r="E6" s="736"/>
      <c r="F6" s="792"/>
      <c r="G6" s="1188"/>
      <c r="H6" s="1189"/>
      <c r="I6" s="1189"/>
      <c r="J6" s="1190"/>
      <c r="O6" s="806"/>
      <c r="P6" s="807"/>
      <c r="V6" s="794"/>
      <c r="W6" s="794"/>
      <c r="X6" s="794"/>
      <c r="Y6" s="796"/>
      <c r="Z6" s="796"/>
      <c r="AF6" s="791" t="s">
        <v>410</v>
      </c>
    </row>
    <row r="7" spans="1:32" ht="13.5" thickBot="1" x14ac:dyDescent="0.25">
      <c r="B7" s="1208" t="s">
        <v>513</v>
      </c>
      <c r="C7" s="1209"/>
      <c r="D7" s="734">
        <v>4</v>
      </c>
      <c r="E7" s="742"/>
      <c r="F7" s="792"/>
      <c r="G7" s="1191"/>
      <c r="H7" s="1192"/>
      <c r="I7" s="1192"/>
      <c r="J7" s="1193"/>
      <c r="O7" s="807"/>
      <c r="P7" s="807"/>
      <c r="V7" s="794"/>
      <c r="W7" s="794"/>
      <c r="X7" s="799" t="s">
        <v>521</v>
      </c>
      <c r="Y7" s="940" t="s">
        <v>515</v>
      </c>
      <c r="Z7" s="737" t="str">
        <f>RWDI_FACTORS!A104</f>
        <v>Summary of ESDU calcs for each case</v>
      </c>
      <c r="AA7" s="737"/>
      <c r="AF7" s="791" t="s">
        <v>411</v>
      </c>
    </row>
    <row r="8" spans="1:32" ht="13.5" thickBot="1" x14ac:dyDescent="0.25">
      <c r="B8" s="1182" t="s">
        <v>526</v>
      </c>
      <c r="C8" s="1183"/>
      <c r="D8" s="829">
        <v>300</v>
      </c>
      <c r="E8" s="830"/>
      <c r="F8" s="797"/>
      <c r="G8" s="797"/>
      <c r="H8" s="797"/>
      <c r="I8" s="797"/>
      <c r="U8" s="794"/>
      <c r="V8" s="794"/>
      <c r="W8" s="794"/>
      <c r="X8" s="800">
        <v>10</v>
      </c>
      <c r="Y8" s="739" t="s">
        <v>203</v>
      </c>
      <c r="Z8" s="727" t="str">
        <f>RWDI_FACTORS!A105</f>
        <v>A</v>
      </c>
      <c r="AA8" s="728" t="str">
        <f t="array" ref="AA8:AA28">TRANSPOSE(B12:V12)</f>
        <v>Water</v>
      </c>
    </row>
    <row r="9" spans="1:32" ht="13.5" thickBot="1" x14ac:dyDescent="0.25">
      <c r="B9" s="1208" t="s">
        <v>509</v>
      </c>
      <c r="C9" s="1209"/>
      <c r="D9" s="831" t="str">
        <f>CONCATENATE("I:\",D2,"\Eng\03base\test_setup\profiles")</f>
        <v>I:\########\Eng\03base\test_setup\profiles</v>
      </c>
      <c r="E9" s="832"/>
      <c r="F9" s="833"/>
      <c r="G9" s="833"/>
      <c r="H9" s="833"/>
      <c r="I9" s="834"/>
      <c r="U9" s="794"/>
      <c r="V9" s="794"/>
      <c r="W9" s="794"/>
      <c r="X9" s="800">
        <v>20</v>
      </c>
      <c r="Y9" s="740" t="str">
        <f>Y8</f>
        <v>A</v>
      </c>
      <c r="Z9" s="727" t="str">
        <f>RWDI_FACTORS!A106</f>
        <v>B</v>
      </c>
      <c r="AA9" s="728" t="str">
        <v>OPEN</v>
      </c>
    </row>
    <row r="10" spans="1:32" x14ac:dyDescent="0.2">
      <c r="B10" s="798"/>
      <c r="W10" s="794"/>
      <c r="X10" s="800">
        <v>30</v>
      </c>
      <c r="Y10" s="740" t="str">
        <f t="shared" ref="Y10:Y43" si="0">Y9</f>
        <v>A</v>
      </c>
      <c r="Z10" s="727" t="str">
        <f>RWDI_FACTORS!A107</f>
        <v>C</v>
      </c>
      <c r="AA10" s="728" t="str">
        <v>open/sub</v>
      </c>
    </row>
    <row r="11" spans="1:32" ht="13.5" thickBot="1" x14ac:dyDescent="0.25">
      <c r="B11" s="850" t="s">
        <v>203</v>
      </c>
      <c r="C11" s="850" t="s">
        <v>204</v>
      </c>
      <c r="D11" s="850" t="s">
        <v>205</v>
      </c>
      <c r="E11" s="850" t="s">
        <v>206</v>
      </c>
      <c r="F11" s="850" t="s">
        <v>207</v>
      </c>
      <c r="G11" s="850" t="s">
        <v>266</v>
      </c>
      <c r="H11" s="850" t="s">
        <v>267</v>
      </c>
      <c r="I11" s="850" t="s">
        <v>268</v>
      </c>
      <c r="J11" s="850" t="s">
        <v>269</v>
      </c>
      <c r="K11" s="850" t="s">
        <v>270</v>
      </c>
      <c r="L11" s="850" t="s">
        <v>271</v>
      </c>
      <c r="M11" s="850" t="s">
        <v>272</v>
      </c>
      <c r="N11" s="850" t="s">
        <v>273</v>
      </c>
      <c r="O11" s="850" t="s">
        <v>274</v>
      </c>
      <c r="P11" s="850" t="s">
        <v>275</v>
      </c>
      <c r="Q11" s="850" t="s">
        <v>276</v>
      </c>
      <c r="R11" s="850" t="s">
        <v>277</v>
      </c>
      <c r="S11" s="850" t="s">
        <v>278</v>
      </c>
      <c r="T11" s="850" t="s">
        <v>279</v>
      </c>
      <c r="U11" s="850" t="s">
        <v>280</v>
      </c>
      <c r="V11" s="850" t="s">
        <v>297</v>
      </c>
      <c r="X11" s="800">
        <v>40</v>
      </c>
      <c r="Y11" s="740" t="str">
        <f t="shared" si="0"/>
        <v>A</v>
      </c>
      <c r="Z11" s="727" t="str">
        <f>RWDI_FACTORS!A108</f>
        <v>D</v>
      </c>
      <c r="AA11" s="728" t="str">
        <v>suburban</v>
      </c>
    </row>
    <row r="12" spans="1:32" ht="13.5" thickBot="1" x14ac:dyDescent="0.25">
      <c r="A12" s="514" t="s">
        <v>432</v>
      </c>
      <c r="B12" s="836" t="s">
        <v>383</v>
      </c>
      <c r="C12" s="837" t="s">
        <v>294</v>
      </c>
      <c r="D12" s="838" t="s">
        <v>261</v>
      </c>
      <c r="E12" s="838" t="s">
        <v>262</v>
      </c>
      <c r="F12" s="838" t="s">
        <v>263</v>
      </c>
      <c r="G12" s="954"/>
      <c r="H12" s="955"/>
      <c r="I12" s="955"/>
      <c r="J12" s="955"/>
      <c r="K12" s="955"/>
      <c r="L12" s="956"/>
      <c r="M12" s="956"/>
      <c r="N12" s="956"/>
      <c r="O12" s="956"/>
      <c r="P12" s="956"/>
      <c r="Q12" s="957"/>
      <c r="R12" s="957"/>
      <c r="S12" s="957"/>
      <c r="T12" s="957"/>
      <c r="U12" s="952"/>
      <c r="V12" s="953"/>
      <c r="X12" s="800">
        <v>50</v>
      </c>
      <c r="Y12" s="740" t="str">
        <f t="shared" si="0"/>
        <v>A</v>
      </c>
      <c r="Z12" s="727" t="str">
        <f>RWDI_FACTORS!A109</f>
        <v>E</v>
      </c>
      <c r="AA12" s="728" t="str">
        <v>urban</v>
      </c>
    </row>
    <row r="13" spans="1:32" x14ac:dyDescent="0.2">
      <c r="A13" s="519" t="str">
        <f>RWDI_FACTORS!G14</f>
        <v>Terrain roughness, z0 (m)</v>
      </c>
      <c r="B13" s="842">
        <v>5.0000000000000001E-3</v>
      </c>
      <c r="C13" s="835">
        <v>0.02</v>
      </c>
      <c r="D13" s="305">
        <v>0.1</v>
      </c>
      <c r="E13" s="305">
        <v>0.5</v>
      </c>
      <c r="F13" s="843">
        <v>3</v>
      </c>
      <c r="G13" s="949"/>
      <c r="H13" s="949"/>
      <c r="I13" s="949"/>
      <c r="J13" s="949"/>
      <c r="K13" s="949"/>
      <c r="L13" s="949"/>
      <c r="M13" s="949"/>
      <c r="N13" s="949"/>
      <c r="O13" s="949"/>
      <c r="P13" s="949"/>
      <c r="Q13" s="949"/>
      <c r="R13" s="949"/>
      <c r="S13" s="949"/>
      <c r="T13" s="949"/>
      <c r="U13" s="950"/>
      <c r="V13" s="951"/>
      <c r="X13" s="800">
        <v>60</v>
      </c>
      <c r="Y13" s="740" t="str">
        <f t="shared" si="0"/>
        <v>A</v>
      </c>
      <c r="Z13" s="727" t="str">
        <f>RWDI_FACTORS!A110</f>
        <v>F</v>
      </c>
      <c r="AA13" s="727">
        <v>0</v>
      </c>
    </row>
    <row r="14" spans="1:32" x14ac:dyDescent="0.2">
      <c r="A14" s="519" t="str">
        <f>RWDI_FACTORS!G15</f>
        <v>Patch length, x (m)</v>
      </c>
      <c r="B14" s="844"/>
      <c r="C14" s="476"/>
      <c r="D14" s="316"/>
      <c r="E14" s="316">
        <v>10000</v>
      </c>
      <c r="F14" s="845">
        <v>5000</v>
      </c>
      <c r="G14" s="947"/>
      <c r="H14" s="947"/>
      <c r="I14" s="947"/>
      <c r="J14" s="947"/>
      <c r="K14" s="947"/>
      <c r="L14" s="947"/>
      <c r="M14" s="947"/>
      <c r="N14" s="947"/>
      <c r="O14" s="947"/>
      <c r="P14" s="947"/>
      <c r="Q14" s="947"/>
      <c r="R14" s="947"/>
      <c r="S14" s="947"/>
      <c r="T14" s="947"/>
      <c r="U14" s="574"/>
      <c r="V14" s="730"/>
      <c r="X14" s="800">
        <v>70</v>
      </c>
      <c r="Y14" s="740" t="str">
        <f t="shared" si="0"/>
        <v>A</v>
      </c>
      <c r="Z14" s="727" t="str">
        <f>RWDI_FACTORS!A111</f>
        <v>G</v>
      </c>
      <c r="AA14" s="727">
        <v>0</v>
      </c>
    </row>
    <row r="15" spans="1:32" x14ac:dyDescent="0.2">
      <c r="A15" s="519" t="str">
        <f>RWDI_FACTORS!G16</f>
        <v>z01 (m)</v>
      </c>
      <c r="B15" s="844"/>
      <c r="C15" s="476"/>
      <c r="D15" s="316"/>
      <c r="E15" s="316">
        <v>0.1</v>
      </c>
      <c r="F15" s="845">
        <v>0.5</v>
      </c>
      <c r="G15" s="947"/>
      <c r="H15" s="947"/>
      <c r="I15" s="947"/>
      <c r="J15" s="947"/>
      <c r="K15" s="947"/>
      <c r="L15" s="947"/>
      <c r="M15" s="947"/>
      <c r="N15" s="947"/>
      <c r="O15" s="947"/>
      <c r="P15" s="947"/>
      <c r="Q15" s="947"/>
      <c r="R15" s="947"/>
      <c r="S15" s="947"/>
      <c r="T15" s="947"/>
      <c r="U15" s="574"/>
      <c r="V15" s="730"/>
      <c r="X15" s="800">
        <v>80</v>
      </c>
      <c r="Y15" s="740" t="str">
        <f t="shared" si="0"/>
        <v>A</v>
      </c>
      <c r="Z15" s="727" t="str">
        <f>RWDI_FACTORS!A112</f>
        <v>H</v>
      </c>
      <c r="AA15" s="727">
        <v>0</v>
      </c>
    </row>
    <row r="16" spans="1:32" ht="12.75" customHeight="1" x14ac:dyDescent="0.2">
      <c r="A16" s="519" t="str">
        <f>RWDI_FACTORS!G17</f>
        <v>x1 (m)</v>
      </c>
      <c r="B16" s="844"/>
      <c r="C16" s="476"/>
      <c r="D16" s="316"/>
      <c r="E16" s="316"/>
      <c r="F16" s="845">
        <v>10000</v>
      </c>
      <c r="G16" s="947"/>
      <c r="H16" s="947"/>
      <c r="I16" s="947"/>
      <c r="J16" s="947"/>
      <c r="K16" s="947"/>
      <c r="L16" s="947"/>
      <c r="M16" s="947"/>
      <c r="N16" s="947"/>
      <c r="O16" s="947"/>
      <c r="P16" s="947"/>
      <c r="Q16" s="947"/>
      <c r="R16" s="947"/>
      <c r="S16" s="947"/>
      <c r="T16" s="947"/>
      <c r="U16" s="574"/>
      <c r="V16" s="730"/>
      <c r="X16" s="800">
        <v>90</v>
      </c>
      <c r="Y16" s="740" t="str">
        <f t="shared" si="0"/>
        <v>A</v>
      </c>
      <c r="Z16" s="727" t="str">
        <f>RWDI_FACTORS!A113</f>
        <v>I</v>
      </c>
      <c r="AA16" s="727">
        <v>0</v>
      </c>
    </row>
    <row r="17" spans="1:27" x14ac:dyDescent="0.2">
      <c r="A17" s="519" t="str">
        <f>RWDI_FACTORS!G18</f>
        <v>z02 (m)</v>
      </c>
      <c r="B17" s="844"/>
      <c r="C17" s="476"/>
      <c r="D17" s="316"/>
      <c r="E17" s="316"/>
      <c r="F17" s="845">
        <v>0.1</v>
      </c>
      <c r="G17" s="947"/>
      <c r="H17" s="947"/>
      <c r="I17" s="947"/>
      <c r="J17" s="947"/>
      <c r="K17" s="947"/>
      <c r="L17" s="947"/>
      <c r="M17" s="947"/>
      <c r="N17" s="948"/>
      <c r="O17" s="947"/>
      <c r="P17" s="947"/>
      <c r="Q17" s="947"/>
      <c r="R17" s="947"/>
      <c r="S17" s="947"/>
      <c r="T17" s="947"/>
      <c r="U17" s="574"/>
      <c r="V17" s="730"/>
      <c r="X17" s="800">
        <v>100</v>
      </c>
      <c r="Y17" s="740" t="str">
        <f t="shared" si="0"/>
        <v>A</v>
      </c>
      <c r="Z17" s="727" t="str">
        <f>RWDI_FACTORS!A114</f>
        <v>J</v>
      </c>
      <c r="AA17" s="727">
        <v>0</v>
      </c>
    </row>
    <row r="18" spans="1:27" x14ac:dyDescent="0.2">
      <c r="A18" s="519" t="str">
        <f>RWDI_FACTORS!G19</f>
        <v>x2 (m)</v>
      </c>
      <c r="B18" s="844"/>
      <c r="C18" s="476"/>
      <c r="D18" s="316"/>
      <c r="E18" s="316"/>
      <c r="F18" s="845"/>
      <c r="G18" s="947"/>
      <c r="H18" s="947"/>
      <c r="I18" s="947"/>
      <c r="J18" s="947"/>
      <c r="K18" s="947"/>
      <c r="L18" s="947"/>
      <c r="M18" s="947"/>
      <c r="N18" s="947"/>
      <c r="O18" s="947"/>
      <c r="P18" s="947"/>
      <c r="Q18" s="947"/>
      <c r="R18" s="947"/>
      <c r="S18" s="947"/>
      <c r="T18" s="947"/>
      <c r="U18" s="574"/>
      <c r="V18" s="730"/>
      <c r="X18" s="800">
        <v>110</v>
      </c>
      <c r="Y18" s="740" t="str">
        <f t="shared" si="0"/>
        <v>A</v>
      </c>
      <c r="Z18" s="727" t="str">
        <f>RWDI_FACTORS!A115</f>
        <v>K</v>
      </c>
      <c r="AA18" s="727">
        <v>0</v>
      </c>
    </row>
    <row r="19" spans="1:27" x14ac:dyDescent="0.2">
      <c r="A19" s="519" t="str">
        <f>RWDI_FACTORS!G20</f>
        <v>z03 (m)</v>
      </c>
      <c r="B19" s="844"/>
      <c r="C19" s="476"/>
      <c r="D19" s="316"/>
      <c r="E19" s="316"/>
      <c r="F19" s="845"/>
      <c r="G19" s="947"/>
      <c r="H19" s="947"/>
      <c r="I19" s="947"/>
      <c r="J19" s="947"/>
      <c r="K19" s="947"/>
      <c r="L19" s="947"/>
      <c r="M19" s="947"/>
      <c r="N19" s="947"/>
      <c r="O19" s="947"/>
      <c r="P19" s="947"/>
      <c r="Q19" s="947"/>
      <c r="R19" s="947"/>
      <c r="S19" s="947"/>
      <c r="T19" s="947"/>
      <c r="U19" s="574"/>
      <c r="V19" s="730"/>
      <c r="X19" s="800">
        <v>120</v>
      </c>
      <c r="Y19" s="740" t="str">
        <f t="shared" si="0"/>
        <v>A</v>
      </c>
      <c r="Z19" s="727" t="str">
        <f>RWDI_FACTORS!A116</f>
        <v>L</v>
      </c>
      <c r="AA19" s="727">
        <v>0</v>
      </c>
    </row>
    <row r="20" spans="1:27" x14ac:dyDescent="0.2">
      <c r="A20" s="519" t="str">
        <f>RWDI_FACTORS!G21</f>
        <v>x3 (m)</v>
      </c>
      <c r="B20" s="844"/>
      <c r="C20" s="476"/>
      <c r="D20" s="316"/>
      <c r="E20" s="316"/>
      <c r="F20" s="845"/>
      <c r="G20" s="947"/>
      <c r="H20" s="947"/>
      <c r="I20" s="947"/>
      <c r="J20" s="947"/>
      <c r="K20" s="947"/>
      <c r="L20" s="947"/>
      <c r="M20" s="947"/>
      <c r="N20" s="947"/>
      <c r="O20" s="947"/>
      <c r="P20" s="947"/>
      <c r="Q20" s="947"/>
      <c r="R20" s="947"/>
      <c r="S20" s="947"/>
      <c r="T20" s="947"/>
      <c r="U20" s="574"/>
      <c r="V20" s="730"/>
      <c r="X20" s="800">
        <v>130</v>
      </c>
      <c r="Y20" s="740" t="str">
        <f t="shared" si="0"/>
        <v>A</v>
      </c>
      <c r="Z20" s="727" t="str">
        <f>RWDI_FACTORS!A117</f>
        <v>M</v>
      </c>
      <c r="AA20" s="727">
        <v>0</v>
      </c>
    </row>
    <row r="21" spans="1:27" x14ac:dyDescent="0.2">
      <c r="A21" s="519" t="str">
        <f>RWDI_FACTORS!G22</f>
        <v>z04 (m)</v>
      </c>
      <c r="B21" s="844"/>
      <c r="C21" s="476"/>
      <c r="D21" s="316"/>
      <c r="E21" s="316"/>
      <c r="F21" s="845"/>
      <c r="G21" s="947"/>
      <c r="H21" s="947"/>
      <c r="I21" s="947"/>
      <c r="J21" s="947"/>
      <c r="K21" s="947"/>
      <c r="L21" s="947"/>
      <c r="M21" s="947"/>
      <c r="N21" s="947"/>
      <c r="O21" s="947"/>
      <c r="P21" s="947"/>
      <c r="Q21" s="947"/>
      <c r="R21" s="947"/>
      <c r="S21" s="947"/>
      <c r="T21" s="947"/>
      <c r="U21" s="574"/>
      <c r="V21" s="730"/>
      <c r="X21" s="800">
        <v>140</v>
      </c>
      <c r="Y21" s="740" t="str">
        <f t="shared" si="0"/>
        <v>A</v>
      </c>
      <c r="Z21" s="727" t="str">
        <f>RWDI_FACTORS!A118</f>
        <v>N</v>
      </c>
      <c r="AA21" s="727">
        <v>0</v>
      </c>
    </row>
    <row r="22" spans="1:27" ht="13.5" customHeight="1" x14ac:dyDescent="0.2">
      <c r="A22" s="519" t="str">
        <f>RWDI_FACTORS!G23</f>
        <v>x4 (m)</v>
      </c>
      <c r="B22" s="844"/>
      <c r="C22" s="476"/>
      <c r="D22" s="316"/>
      <c r="E22" s="316"/>
      <c r="F22" s="845"/>
      <c r="G22" s="729"/>
      <c r="H22" s="574"/>
      <c r="I22" s="574"/>
      <c r="J22" s="574"/>
      <c r="K22" s="574"/>
      <c r="L22" s="574"/>
      <c r="M22" s="574"/>
      <c r="N22" s="574"/>
      <c r="O22" s="574"/>
      <c r="P22" s="574"/>
      <c r="Q22" s="574"/>
      <c r="R22" s="574"/>
      <c r="S22" s="574"/>
      <c r="T22" s="574"/>
      <c r="U22" s="574"/>
      <c r="V22" s="730"/>
      <c r="X22" s="800">
        <v>150</v>
      </c>
      <c r="Y22" s="740" t="str">
        <f t="shared" si="0"/>
        <v>A</v>
      </c>
      <c r="Z22" s="727" t="str">
        <f>RWDI_FACTORS!A119</f>
        <v>O</v>
      </c>
      <c r="AA22" s="727">
        <v>0</v>
      </c>
    </row>
    <row r="23" spans="1:27" x14ac:dyDescent="0.2">
      <c r="A23" s="519" t="str">
        <f>RWDI_FACTORS!G24</f>
        <v>z05 (m)</v>
      </c>
      <c r="B23" s="844"/>
      <c r="C23" s="476"/>
      <c r="D23" s="316"/>
      <c r="E23" s="316"/>
      <c r="F23" s="845"/>
      <c r="G23" s="729"/>
      <c r="H23" s="574"/>
      <c r="I23" s="574"/>
      <c r="J23" s="574"/>
      <c r="K23" s="574"/>
      <c r="L23" s="574"/>
      <c r="M23" s="574"/>
      <c r="N23" s="574"/>
      <c r="O23" s="574"/>
      <c r="P23" s="574"/>
      <c r="Q23" s="574"/>
      <c r="R23" s="574"/>
      <c r="S23" s="574"/>
      <c r="T23" s="574"/>
      <c r="U23" s="574"/>
      <c r="V23" s="730"/>
      <c r="X23" s="800">
        <v>160</v>
      </c>
      <c r="Y23" s="740" t="str">
        <f t="shared" si="0"/>
        <v>A</v>
      </c>
      <c r="Z23" s="727" t="str">
        <f>RWDI_FACTORS!A120</f>
        <v>P</v>
      </c>
      <c r="AA23" s="727">
        <v>0</v>
      </c>
    </row>
    <row r="24" spans="1:27" ht="13.5" thickBot="1" x14ac:dyDescent="0.25">
      <c r="A24" s="519" t="str">
        <f>RWDI_FACTORS!G25</f>
        <v>x5 (m)</v>
      </c>
      <c r="B24" s="846"/>
      <c r="C24" s="847"/>
      <c r="D24" s="848"/>
      <c r="E24" s="848"/>
      <c r="F24" s="849"/>
      <c r="G24" s="731"/>
      <c r="H24" s="732"/>
      <c r="I24" s="732"/>
      <c r="J24" s="732"/>
      <c r="K24" s="732"/>
      <c r="L24" s="732"/>
      <c r="M24" s="732"/>
      <c r="N24" s="732"/>
      <c r="O24" s="732"/>
      <c r="P24" s="732"/>
      <c r="Q24" s="732"/>
      <c r="R24" s="732"/>
      <c r="S24" s="732"/>
      <c r="T24" s="732"/>
      <c r="U24" s="732"/>
      <c r="V24" s="733"/>
      <c r="X24" s="800">
        <v>170</v>
      </c>
      <c r="Y24" s="740" t="str">
        <f t="shared" si="0"/>
        <v>A</v>
      </c>
      <c r="Z24" s="727" t="str">
        <f>RWDI_FACTORS!A121</f>
        <v>Q</v>
      </c>
      <c r="AA24" s="727">
        <v>0</v>
      </c>
    </row>
    <row r="25" spans="1:27" ht="13.5" thickBot="1" x14ac:dyDescent="0.25">
      <c r="B25" s="1203" t="s">
        <v>525</v>
      </c>
      <c r="C25" s="1204"/>
      <c r="D25" s="1205"/>
      <c r="E25" s="840"/>
      <c r="F25" s="841"/>
      <c r="G25" s="808"/>
      <c r="H25" s="808"/>
      <c r="I25" s="808"/>
      <c r="J25" s="808"/>
      <c r="K25" s="808"/>
      <c r="L25" s="808"/>
      <c r="M25" s="808"/>
      <c r="N25" s="808"/>
      <c r="O25" s="808"/>
      <c r="P25" s="808"/>
      <c r="Q25" s="809"/>
      <c r="X25" s="800">
        <v>180</v>
      </c>
      <c r="Y25" s="740" t="str">
        <f t="shared" si="0"/>
        <v>A</v>
      </c>
      <c r="Z25" s="727" t="str">
        <f>RWDI_FACTORS!A122</f>
        <v>R</v>
      </c>
      <c r="AA25" s="727">
        <v>0</v>
      </c>
    </row>
    <row r="26" spans="1:27" ht="13.5" thickBot="1" x14ac:dyDescent="0.25">
      <c r="E26" s="412"/>
      <c r="X26" s="800">
        <v>190</v>
      </c>
      <c r="Y26" s="740" t="str">
        <f t="shared" si="0"/>
        <v>A</v>
      </c>
      <c r="Z26" s="727" t="str">
        <f>RWDI_FACTORS!A123</f>
        <v>S</v>
      </c>
      <c r="AA26" s="727">
        <v>0</v>
      </c>
    </row>
    <row r="27" spans="1:27" ht="12.75" customHeight="1" x14ac:dyDescent="0.2">
      <c r="B27" s="565" t="s">
        <v>524</v>
      </c>
      <c r="F27" s="412"/>
      <c r="R27" s="1194" t="s">
        <v>582</v>
      </c>
      <c r="S27" s="1195"/>
      <c r="T27" s="1195"/>
      <c r="U27" s="1195"/>
      <c r="V27" s="1196"/>
      <c r="X27" s="800">
        <v>200</v>
      </c>
      <c r="Y27" s="740" t="str">
        <f t="shared" si="0"/>
        <v>A</v>
      </c>
      <c r="Z27" s="727" t="str">
        <f>RWDI_FACTORS!A124</f>
        <v>T</v>
      </c>
      <c r="AA27" s="727">
        <v>0</v>
      </c>
    </row>
    <row r="28" spans="1:27" ht="12.75" customHeight="1" x14ac:dyDescent="0.2">
      <c r="B28" s="791" t="s">
        <v>523</v>
      </c>
      <c r="F28" s="412"/>
      <c r="R28" s="1197"/>
      <c r="S28" s="1198"/>
      <c r="T28" s="1198"/>
      <c r="U28" s="1198"/>
      <c r="V28" s="1199"/>
      <c r="X28" s="800">
        <v>210</v>
      </c>
      <c r="Y28" s="740" t="str">
        <f t="shared" si="0"/>
        <v>A</v>
      </c>
      <c r="Z28" s="727" t="str">
        <f>RWDI_FACTORS!A125</f>
        <v>U</v>
      </c>
      <c r="AA28" s="727">
        <v>0</v>
      </c>
    </row>
    <row r="29" spans="1:27" ht="12.75" customHeight="1" x14ac:dyDescent="0.2">
      <c r="B29" s="1206" t="s">
        <v>522</v>
      </c>
      <c r="C29" s="1206"/>
      <c r="D29" s="1206"/>
      <c r="E29" s="1206"/>
      <c r="F29" s="1206"/>
      <c r="G29" s="1206"/>
      <c r="R29" s="1197"/>
      <c r="S29" s="1198"/>
      <c r="T29" s="1198"/>
      <c r="U29" s="1198"/>
      <c r="V29" s="1199"/>
      <c r="X29" s="800">
        <v>220</v>
      </c>
      <c r="Y29" s="740" t="str">
        <f t="shared" si="0"/>
        <v>A</v>
      </c>
    </row>
    <row r="30" spans="1:27" ht="12.75" customHeight="1" x14ac:dyDescent="0.2">
      <c r="B30" s="1206"/>
      <c r="C30" s="1206"/>
      <c r="D30" s="1206"/>
      <c r="E30" s="1206"/>
      <c r="F30" s="1206"/>
      <c r="G30" s="1206"/>
      <c r="R30" s="1197"/>
      <c r="S30" s="1198"/>
      <c r="T30" s="1198"/>
      <c r="U30" s="1198"/>
      <c r="V30" s="1199"/>
      <c r="X30" s="800">
        <v>230</v>
      </c>
      <c r="Y30" s="740" t="str">
        <f t="shared" si="0"/>
        <v>A</v>
      </c>
    </row>
    <row r="31" spans="1:27" ht="12.75" customHeight="1" x14ac:dyDescent="0.2">
      <c r="B31" s="791" t="s">
        <v>529</v>
      </c>
      <c r="C31" s="801"/>
      <c r="D31" s="801"/>
      <c r="E31" s="801"/>
      <c r="F31" s="801"/>
      <c r="G31" s="801"/>
      <c r="R31" s="1197"/>
      <c r="S31" s="1198"/>
      <c r="T31" s="1198"/>
      <c r="U31" s="1198"/>
      <c r="V31" s="1199"/>
      <c r="X31" s="800">
        <v>240</v>
      </c>
      <c r="Y31" s="740" t="str">
        <f t="shared" si="0"/>
        <v>A</v>
      </c>
    </row>
    <row r="32" spans="1:27" x14ac:dyDescent="0.2">
      <c r="H32" s="802"/>
      <c r="R32" s="1197"/>
      <c r="S32" s="1198"/>
      <c r="T32" s="1198"/>
      <c r="U32" s="1198"/>
      <c r="V32" s="1199"/>
      <c r="X32" s="800">
        <v>250</v>
      </c>
      <c r="Y32" s="740" t="str">
        <f t="shared" si="0"/>
        <v>A</v>
      </c>
    </row>
    <row r="33" spans="2:27" x14ac:dyDescent="0.2">
      <c r="B33" s="791"/>
      <c r="H33" s="803"/>
      <c r="M33" s="803"/>
      <c r="R33" s="1197"/>
      <c r="S33" s="1198"/>
      <c r="T33" s="1198"/>
      <c r="U33" s="1198"/>
      <c r="V33" s="1199"/>
      <c r="X33" s="800">
        <v>260</v>
      </c>
      <c r="Y33" s="740" t="str">
        <f t="shared" si="0"/>
        <v>A</v>
      </c>
    </row>
    <row r="34" spans="2:27" ht="13.5" thickBot="1" x14ac:dyDescent="0.25">
      <c r="R34" s="1200"/>
      <c r="S34" s="1201"/>
      <c r="T34" s="1201"/>
      <c r="U34" s="1201"/>
      <c r="V34" s="1202"/>
      <c r="X34" s="800">
        <v>270</v>
      </c>
      <c r="Y34" s="740" t="str">
        <f t="shared" si="0"/>
        <v>A</v>
      </c>
    </row>
    <row r="35" spans="2:27" x14ac:dyDescent="0.2">
      <c r="I35" s="804"/>
      <c r="J35" s="804"/>
      <c r="K35" s="804"/>
      <c r="L35" s="804"/>
      <c r="M35" s="804"/>
      <c r="R35" s="854"/>
      <c r="S35" s="854"/>
      <c r="T35" s="854"/>
      <c r="U35" s="854"/>
      <c r="V35" s="854"/>
      <c r="X35" s="800">
        <v>280</v>
      </c>
      <c r="Y35" s="740" t="str">
        <f t="shared" si="0"/>
        <v>A</v>
      </c>
    </row>
    <row r="36" spans="2:27" ht="12.75" customHeight="1" x14ac:dyDescent="0.2">
      <c r="I36" s="804"/>
      <c r="J36" s="804"/>
      <c r="K36" s="804"/>
      <c r="L36" s="804"/>
      <c r="M36" s="804"/>
      <c r="R36" s="854"/>
      <c r="S36" s="854"/>
      <c r="T36" s="854"/>
      <c r="U36" s="854"/>
      <c r="V36" s="854"/>
      <c r="X36" s="800">
        <v>290</v>
      </c>
      <c r="Y36" s="740" t="str">
        <f t="shared" si="0"/>
        <v>A</v>
      </c>
    </row>
    <row r="37" spans="2:27" x14ac:dyDescent="0.2">
      <c r="I37" s="804"/>
      <c r="J37" s="804"/>
      <c r="K37" s="804"/>
      <c r="L37" s="804"/>
      <c r="M37" s="804"/>
      <c r="R37" s="854"/>
      <c r="S37" s="854"/>
      <c r="T37" s="854"/>
      <c r="U37" s="854"/>
      <c r="V37" s="854"/>
      <c r="X37" s="800">
        <v>300</v>
      </c>
      <c r="Y37" s="740" t="str">
        <f t="shared" si="0"/>
        <v>A</v>
      </c>
    </row>
    <row r="38" spans="2:27" x14ac:dyDescent="0.2">
      <c r="I38" s="804"/>
      <c r="J38" s="804"/>
      <c r="K38" s="804"/>
      <c r="L38" s="804"/>
      <c r="M38" s="804"/>
      <c r="R38" s="854"/>
      <c r="S38" s="854"/>
      <c r="T38" s="854"/>
      <c r="U38" s="854"/>
      <c r="V38" s="854"/>
      <c r="X38" s="800">
        <v>310</v>
      </c>
      <c r="Y38" s="740" t="str">
        <f t="shared" si="0"/>
        <v>A</v>
      </c>
    </row>
    <row r="39" spans="2:27" x14ac:dyDescent="0.2">
      <c r="R39" s="854"/>
      <c r="S39" s="854"/>
      <c r="T39" s="854"/>
      <c r="U39" s="854"/>
      <c r="V39" s="854"/>
      <c r="X39" s="800">
        <v>320</v>
      </c>
      <c r="Y39" s="740" t="str">
        <f t="shared" si="0"/>
        <v>A</v>
      </c>
    </row>
    <row r="40" spans="2:27" x14ac:dyDescent="0.2">
      <c r="X40" s="800">
        <v>330</v>
      </c>
      <c r="Y40" s="740" t="str">
        <f t="shared" si="0"/>
        <v>A</v>
      </c>
    </row>
    <row r="41" spans="2:27" x14ac:dyDescent="0.2">
      <c r="X41" s="800">
        <v>340</v>
      </c>
      <c r="Y41" s="740" t="str">
        <f t="shared" si="0"/>
        <v>A</v>
      </c>
    </row>
    <row r="42" spans="2:27" x14ac:dyDescent="0.2">
      <c r="X42" s="800">
        <v>350</v>
      </c>
      <c r="Y42" s="740" t="str">
        <f t="shared" si="0"/>
        <v>A</v>
      </c>
    </row>
    <row r="43" spans="2:27" ht="13.5" thickBot="1" x14ac:dyDescent="0.25">
      <c r="X43" s="805">
        <v>360</v>
      </c>
      <c r="Y43" s="741" t="str">
        <f t="shared" si="0"/>
        <v>A</v>
      </c>
    </row>
    <row r="47" spans="2:27" x14ac:dyDescent="0.2">
      <c r="X47" s="412"/>
      <c r="Y47" s="412"/>
      <c r="Z47" s="412"/>
      <c r="AA47" s="412"/>
    </row>
    <row r="48" spans="2:27" x14ac:dyDescent="0.2">
      <c r="X48" s="412"/>
      <c r="Y48" s="412"/>
      <c r="Z48" s="412"/>
      <c r="AA48" s="412"/>
    </row>
  </sheetData>
  <sortState xmlns:xlrd2="http://schemas.microsoft.com/office/spreadsheetml/2017/richdata2" ref="A11:A43">
    <sortCondition ref="A11"/>
  </sortState>
  <mergeCells count="14">
    <mergeCell ref="A2:A3"/>
    <mergeCell ref="B4:C4"/>
    <mergeCell ref="B5:C5"/>
    <mergeCell ref="B9:C9"/>
    <mergeCell ref="B8:C8"/>
    <mergeCell ref="B7:C7"/>
    <mergeCell ref="B6:C6"/>
    <mergeCell ref="G2:J2"/>
    <mergeCell ref="G3:J7"/>
    <mergeCell ref="B2:C2"/>
    <mergeCell ref="B3:C3"/>
    <mergeCell ref="R27:V34"/>
    <mergeCell ref="B25:D25"/>
    <mergeCell ref="B29:G30"/>
  </mergeCells>
  <conditionalFormatting sqref="D4">
    <cfRule type="expression" dxfId="17" priority="3">
      <formula>ISNUMBER(D4)=FALSE</formula>
    </cfRule>
  </conditionalFormatting>
  <conditionalFormatting sqref="D5">
    <cfRule type="expression" dxfId="16" priority="2">
      <formula>ISNUMBER(D5)=FALSE</formula>
    </cfRule>
  </conditionalFormatting>
  <conditionalFormatting sqref="G22:V24 U13:V21">
    <cfRule type="expression" dxfId="15" priority="1">
      <formula>G13="water"</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61" r:id="rId4" name="Button 9">
              <controlPr defaultSize="0" print="0" autoFill="0" autoPict="0" macro="[0]!Sheet19.ExportEdox_">
                <anchor moveWithCells="1" sizeWithCells="1">
                  <from>
                    <xdr:col>1</xdr:col>
                    <xdr:colOff>66675</xdr:colOff>
                    <xdr:row>31</xdr:row>
                    <xdr:rowOff>38100</xdr:rowOff>
                  </from>
                  <to>
                    <xdr:col>3</xdr:col>
                    <xdr:colOff>476250</xdr:colOff>
                    <xdr:row>34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3" id="{E36F035B-F287-4418-AA03-E3145DB47397}">
            <xm:f>$D$6&lt;ROUNDUP(MAX('Export Old Projects'!V47:AP51)/1000,0)</xm:f>
            <x14:dxf>
              <font>
                <b/>
                <i val="0"/>
                <color theme="0"/>
              </font>
              <fill>
                <patternFill>
                  <bgColor rgb="FFFF0000"/>
                </patternFill>
              </fill>
            </x14:dxf>
          </x14:cfRule>
          <xm:sqref>D6:E6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FFC000"/>
    <pageSetUpPr fitToPage="1"/>
  </sheetPr>
  <dimension ref="A1:BF221"/>
  <sheetViews>
    <sheetView tabSelected="1" zoomScale="70" zoomScaleNormal="70" workbookViewId="0">
      <selection activeCell="D15" sqref="D15"/>
    </sheetView>
  </sheetViews>
  <sheetFormatPr defaultRowHeight="12.75" x14ac:dyDescent="0.2"/>
  <cols>
    <col min="1" max="4" width="11.42578125" customWidth="1"/>
    <col min="5" max="5" width="22.7109375" customWidth="1"/>
    <col min="6" max="6" width="19" customWidth="1"/>
    <col min="7" max="7" width="14" customWidth="1"/>
    <col min="8" max="8" width="17.42578125" customWidth="1"/>
    <col min="9" max="9" width="21.140625" customWidth="1"/>
    <col min="10" max="10" width="11.85546875" customWidth="1"/>
    <col min="11" max="11" width="11.42578125" customWidth="1"/>
    <col min="12" max="12" width="11.140625" customWidth="1"/>
    <col min="13" max="15" width="11.42578125" customWidth="1"/>
    <col min="16" max="16" width="21.28515625" customWidth="1"/>
    <col min="17" max="17" width="41.5703125" customWidth="1"/>
    <col min="18" max="58" width="11.42578125" customWidth="1"/>
    <col min="59" max="62" width="13.42578125" customWidth="1"/>
  </cols>
  <sheetData>
    <row r="1" spans="1:37" ht="18.75" customHeight="1" x14ac:dyDescent="0.25">
      <c r="A1" s="461" t="str">
        <f>ESDUView!JobNumber&amp;"-"&amp;ESDUView!JobName&amp;" - Profile Selection and Factors"</f>
        <v>- - Profile Selection and Factors</v>
      </c>
      <c r="V1" s="788"/>
      <c r="W1" s="788"/>
      <c r="X1" s="788"/>
      <c r="Y1" s="788"/>
      <c r="Z1" s="548"/>
      <c r="AA1" s="575"/>
      <c r="AB1" s="576"/>
      <c r="AC1" s="576"/>
      <c r="AD1" s="576"/>
    </row>
    <row r="2" spans="1:37" ht="13.5" customHeight="1" thickBot="1" x14ac:dyDescent="0.25">
      <c r="A2" s="499" t="s">
        <v>408</v>
      </c>
      <c r="I2" s="1133" t="s">
        <v>734</v>
      </c>
      <c r="J2" s="1134" t="s">
        <v>735</v>
      </c>
      <c r="V2" s="548"/>
      <c r="W2" s="548"/>
      <c r="X2" s="548"/>
      <c r="Y2" s="548"/>
      <c r="Z2" s="789"/>
      <c r="AA2" s="789"/>
      <c r="AB2" s="576"/>
      <c r="AC2" s="576"/>
      <c r="AD2" s="576"/>
    </row>
    <row r="3" spans="1:37" ht="18.75" thickBot="1" x14ac:dyDescent="0.3">
      <c r="A3" s="534"/>
      <c r="B3" s="535" t="s">
        <v>407</v>
      </c>
      <c r="C3" s="536" t="s">
        <v>679</v>
      </c>
      <c r="D3" s="542"/>
      <c r="E3" s="543" t="s">
        <v>412</v>
      </c>
      <c r="F3" s="544" t="s">
        <v>410</v>
      </c>
      <c r="G3" s="1036" t="s">
        <v>600</v>
      </c>
      <c r="H3" s="1132" t="s">
        <v>601</v>
      </c>
      <c r="I3" s="1133">
        <v>36</v>
      </c>
      <c r="J3" s="1134">
        <f>360/I3</f>
        <v>10</v>
      </c>
      <c r="O3" s="310" t="s">
        <v>210</v>
      </c>
      <c r="P3" s="284" t="s">
        <v>243</v>
      </c>
      <c r="Q3" s="284" t="s">
        <v>212</v>
      </c>
      <c r="R3" s="284" t="s">
        <v>213</v>
      </c>
      <c r="S3" s="284" t="s">
        <v>244</v>
      </c>
      <c r="T3" s="280"/>
      <c r="W3" s="548"/>
      <c r="X3" s="548"/>
      <c r="Y3" s="575"/>
      <c r="Z3" s="789"/>
      <c r="AA3" s="789"/>
      <c r="AB3" s="576"/>
      <c r="AC3" s="576"/>
      <c r="AD3" s="576"/>
    </row>
    <row r="4" spans="1:37" ht="15.75" x14ac:dyDescent="0.25">
      <c r="B4" s="275" t="s">
        <v>196</v>
      </c>
      <c r="O4" s="310" t="s">
        <v>291</v>
      </c>
      <c r="P4" s="311">
        <f>+'ASCE 7-98'!D17</f>
        <v>76.358306383104249</v>
      </c>
      <c r="Q4" s="311">
        <f>+'ASCE 7-98'!E17</f>
        <v>84.495695621254242</v>
      </c>
      <c r="R4" s="311">
        <f>+'ASCE 7-98'!F17</f>
        <v>90.399869853793703</v>
      </c>
      <c r="S4" s="311">
        <f>+'ASCE 7-98'!G17</f>
        <v>93.594696610005656</v>
      </c>
      <c r="T4" s="312" t="s">
        <v>245</v>
      </c>
      <c r="W4" s="548"/>
      <c r="X4" s="790"/>
      <c r="Y4" s="790"/>
      <c r="Z4" s="789"/>
      <c r="AA4" s="789"/>
      <c r="AB4" s="576"/>
      <c r="AC4" s="576"/>
      <c r="AD4" s="576"/>
    </row>
    <row r="5" spans="1:37" ht="15.75" x14ac:dyDescent="0.25">
      <c r="D5" s="324" t="s">
        <v>258</v>
      </c>
      <c r="F5" s="183" t="s">
        <v>257</v>
      </c>
      <c r="G5" s="183"/>
      <c r="H5" s="1037">
        <f ca="1">TODAY()</f>
        <v>44631</v>
      </c>
      <c r="V5" s="548"/>
      <c r="W5" s="548"/>
      <c r="X5" s="790"/>
      <c r="Y5" s="790"/>
      <c r="Z5" s="789"/>
      <c r="AA5" s="789"/>
      <c r="AB5" s="576"/>
      <c r="AC5" s="576"/>
      <c r="AD5" s="576"/>
    </row>
    <row r="6" spans="1:37" ht="16.5" customHeight="1" x14ac:dyDescent="0.25">
      <c r="C6" s="276" t="s">
        <v>290</v>
      </c>
      <c r="D6" s="323">
        <f>181*3.281</f>
        <v>593.86099999999999</v>
      </c>
      <c r="E6" t="s">
        <v>225</v>
      </c>
      <c r="F6" s="320">
        <f>IF(D6/3.281&lt;40,40,D6/3.281)</f>
        <v>181</v>
      </c>
      <c r="V6" s="548"/>
      <c r="W6" s="548"/>
      <c r="X6" s="575"/>
      <c r="Y6" s="575"/>
      <c r="Z6" s="789"/>
      <c r="AA6" s="789"/>
      <c r="AB6" s="576"/>
      <c r="AC6" s="576"/>
      <c r="AD6" s="576"/>
    </row>
    <row r="7" spans="1:37" ht="15.75" x14ac:dyDescent="0.25">
      <c r="C7" s="276" t="s">
        <v>226</v>
      </c>
      <c r="D7" s="738">
        <v>400</v>
      </c>
      <c r="E7" s="1045" t="str">
        <f>IF(C3="ind","India STD =  48''","")</f>
        <v/>
      </c>
      <c r="F7" s="383" t="s">
        <v>295</v>
      </c>
      <c r="H7" s="58"/>
      <c r="V7" s="548"/>
      <c r="W7" s="548"/>
      <c r="X7" s="575"/>
      <c r="Y7" s="575"/>
      <c r="Z7" s="789"/>
      <c r="AA7" s="789"/>
      <c r="AB7" s="576"/>
      <c r="AC7" s="576"/>
      <c r="AD7" s="576"/>
    </row>
    <row r="8" spans="1:37" ht="15.75" x14ac:dyDescent="0.25">
      <c r="C8" s="567" t="s">
        <v>420</v>
      </c>
      <c r="D8" s="323">
        <v>60</v>
      </c>
      <c r="E8" s="274" t="s">
        <v>732</v>
      </c>
      <c r="F8" s="383">
        <f>+F6*0.667</f>
        <v>120.727</v>
      </c>
      <c r="G8" s="423" t="s">
        <v>359</v>
      </c>
      <c r="H8" s="58"/>
      <c r="V8" s="548"/>
      <c r="W8" s="575"/>
      <c r="X8" s="787"/>
      <c r="Y8" s="41"/>
      <c r="Z8" s="789"/>
      <c r="AA8" s="789"/>
      <c r="AB8" s="575"/>
      <c r="AC8" s="575"/>
      <c r="AD8" s="412"/>
      <c r="AE8" s="575"/>
    </row>
    <row r="9" spans="1:37" ht="17.45" customHeight="1" x14ac:dyDescent="0.25">
      <c r="A9" s="565"/>
      <c r="B9" s="565"/>
      <c r="C9" s="1004"/>
      <c r="D9" s="323"/>
      <c r="H9" s="58"/>
      <c r="V9" s="548"/>
      <c r="W9" s="548"/>
      <c r="X9" s="548"/>
      <c r="Y9" s="575"/>
      <c r="Z9" s="575"/>
      <c r="AA9" s="575"/>
      <c r="AB9" s="412"/>
      <c r="AC9" s="412"/>
      <c r="AD9" s="412"/>
      <c r="AE9" s="412"/>
    </row>
    <row r="10" spans="1:37" ht="42.75" customHeight="1" x14ac:dyDescent="0.25">
      <c r="A10" s="565"/>
      <c r="B10" s="565"/>
      <c r="C10" s="514"/>
      <c r="D10" s="1005" t="str">
        <f>IF(E8="inches",+IF(D8&lt;&gt;60,"Non Standard Pitot Height Selected",""),+IF(D8&lt;&gt;60/12/3.281,"Non Standard Pitot Height Selected",""))</f>
        <v/>
      </c>
      <c r="H10" s="58"/>
      <c r="I10" s="458"/>
      <c r="J10" s="570" t="s">
        <v>424</v>
      </c>
      <c r="K10" s="571">
        <f>ESDUView!ESDUView_Source_File</f>
        <v>0</v>
      </c>
      <c r="L10" s="572"/>
      <c r="M10" s="572"/>
      <c r="N10" s="572"/>
      <c r="O10" s="572"/>
      <c r="P10" s="572"/>
      <c r="Q10" s="572"/>
      <c r="R10" s="572"/>
      <c r="S10" s="572"/>
      <c r="T10" s="572"/>
      <c r="U10" s="572"/>
    </row>
    <row r="11" spans="1:37" ht="15.75" x14ac:dyDescent="0.25">
      <c r="A11" s="274" t="s">
        <v>289</v>
      </c>
      <c r="C11" s="276" t="s">
        <v>255</v>
      </c>
      <c r="D11" s="474">
        <f>+'Wind speed'!D17*3.6</f>
        <v>195.03311084394687</v>
      </c>
      <c r="E11" t="s">
        <v>199</v>
      </c>
      <c r="I11" s="475" t="s">
        <v>384</v>
      </c>
      <c r="J11" s="324" t="s">
        <v>425</v>
      </c>
      <c r="M11" s="449" t="s">
        <v>266</v>
      </c>
      <c r="N11" s="449" t="s">
        <v>267</v>
      </c>
      <c r="O11" s="449" t="s">
        <v>268</v>
      </c>
      <c r="P11" s="449" t="s">
        <v>269</v>
      </c>
      <c r="Q11" s="449" t="s">
        <v>270</v>
      </c>
      <c r="R11" s="449" t="s">
        <v>271</v>
      </c>
      <c r="S11" s="449" t="s">
        <v>272</v>
      </c>
      <c r="T11" s="449" t="s">
        <v>273</v>
      </c>
      <c r="U11" s="449" t="s">
        <v>274</v>
      </c>
      <c r="V11" s="449" t="s">
        <v>275</v>
      </c>
      <c r="W11" s="449" t="s">
        <v>276</v>
      </c>
      <c r="X11" s="449" t="s">
        <v>277</v>
      </c>
      <c r="Y11" s="449" t="s">
        <v>278</v>
      </c>
      <c r="Z11" s="449" t="s">
        <v>279</v>
      </c>
      <c r="AA11" s="449" t="s">
        <v>280</v>
      </c>
      <c r="AB11" s="449" t="s">
        <v>297</v>
      </c>
    </row>
    <row r="12" spans="1:37" ht="15.75" x14ac:dyDescent="0.25">
      <c r="A12" s="384" t="s">
        <v>296</v>
      </c>
      <c r="C12" s="310" t="s">
        <v>256</v>
      </c>
      <c r="D12" s="474">
        <f>+D11/3.6</f>
        <v>54.175864123318576</v>
      </c>
      <c r="E12" t="s">
        <v>200</v>
      </c>
      <c r="G12" t="s">
        <v>201</v>
      </c>
      <c r="H12" s="318" t="s">
        <v>383</v>
      </c>
      <c r="I12" s="475" t="s">
        <v>294</v>
      </c>
      <c r="J12" s="318" t="s">
        <v>261</v>
      </c>
      <c r="K12" s="318" t="s">
        <v>262</v>
      </c>
      <c r="L12" s="318" t="s">
        <v>263</v>
      </c>
      <c r="M12" s="1167" t="s">
        <v>791</v>
      </c>
      <c r="N12" s="1068" t="s">
        <v>792</v>
      </c>
      <c r="O12" s="1068" t="s">
        <v>793</v>
      </c>
      <c r="P12" s="1135" t="s">
        <v>794</v>
      </c>
      <c r="Q12" s="1068" t="s">
        <v>795</v>
      </c>
      <c r="R12" s="1068" t="s">
        <v>796</v>
      </c>
      <c r="S12" s="1068" t="s">
        <v>797</v>
      </c>
      <c r="T12" s="1068" t="s">
        <v>798</v>
      </c>
      <c r="U12" s="1068" t="s">
        <v>799</v>
      </c>
      <c r="V12" s="1068" t="s">
        <v>800</v>
      </c>
      <c r="W12" s="1068" t="s">
        <v>801</v>
      </c>
      <c r="X12" s="1068" t="s">
        <v>802</v>
      </c>
      <c r="Y12" s="1068"/>
      <c r="Z12" s="1068"/>
      <c r="AA12" s="1068"/>
      <c r="AB12" s="1068"/>
      <c r="AK12" s="508" t="str">
        <f t="array" ref="AK12:AK24">+I12:I24</f>
        <v>OPEN</v>
      </c>
    </row>
    <row r="13" spans="1:37" ht="15.75" x14ac:dyDescent="0.25">
      <c r="C13" s="310"/>
      <c r="D13" s="315"/>
      <c r="G13" s="370" t="s">
        <v>29</v>
      </c>
      <c r="H13" s="304">
        <v>0</v>
      </c>
      <c r="I13" s="475">
        <f>IF(I14="","",IF(I16="",0,IF(I18="",1,IF(I20="",2,IF(I22="",3,IF(I24="",4,5))))))</f>
        <v>0</v>
      </c>
      <c r="J13" s="318">
        <f>IF(J14="","",IF(J16="",0,IF(J18="",1,IF(J20="",2,IF(J22="",3,IF(J24="",4,5))))))</f>
        <v>0</v>
      </c>
      <c r="K13" s="318">
        <f>IF(K14="","",IF(K16="",0,IF(K18="",1,IF(K20="",2,IF(K22="",3,IF(K24="",4,5))))))</f>
        <v>1</v>
      </c>
      <c r="L13" s="318">
        <f>IF(L14="","",IF(L16="",0,IF(L18="",1,IF(L20="",2,IF(L22="",3,IF(L24="",4,5))))))</f>
        <v>2</v>
      </c>
      <c r="M13" s="318">
        <f>IF(M14="","",IF(M16="",0,IF(M18="",1,IF(M20="",2,IF(M22="",3,IF(M24="",4,IF(M26="",5,6)))))))</f>
        <v>0</v>
      </c>
      <c r="N13" s="318">
        <f t="shared" ref="N13:AB13" si="0">IF(N14="","",IF(N16="",0,IF(N18="",1,IF(N20="",2,IF(N22="",3,IF(N24="",4,IF(N26="",5,6)))))))</f>
        <v>0</v>
      </c>
      <c r="O13" s="318">
        <f t="shared" si="0"/>
        <v>0</v>
      </c>
      <c r="P13" s="318">
        <f t="shared" si="0"/>
        <v>1</v>
      </c>
      <c r="Q13" s="318">
        <f t="shared" si="0"/>
        <v>2</v>
      </c>
      <c r="R13" s="318">
        <f t="shared" si="0"/>
        <v>0</v>
      </c>
      <c r="S13" s="318">
        <f t="shared" si="0"/>
        <v>0</v>
      </c>
      <c r="T13" s="318">
        <f t="shared" si="0"/>
        <v>0</v>
      </c>
      <c r="U13" s="318">
        <f t="shared" si="0"/>
        <v>1</v>
      </c>
      <c r="V13" s="318">
        <f>IF(V14="","",IF(V16="",0,IF(V18="",1,IF(V20="",2,IF(V22="",3,IF(V24="",4,IF(V26="",5,6)))))))</f>
        <v>2</v>
      </c>
      <c r="W13" s="318">
        <f t="shared" si="0"/>
        <v>2</v>
      </c>
      <c r="X13" s="318">
        <f>IF(X14="","",IF(X16="",0,IF(X18="",1,IF(X20="",2,IF(X22="",3,IF(X24="",4,IF(X26="",5,6)))))))</f>
        <v>1</v>
      </c>
      <c r="Y13" s="318" t="str">
        <f t="shared" si="0"/>
        <v/>
      </c>
      <c r="Z13" s="318" t="str">
        <f t="shared" si="0"/>
        <v/>
      </c>
      <c r="AA13" s="318" t="str">
        <f t="shared" si="0"/>
        <v/>
      </c>
      <c r="AB13" s="318" t="str">
        <f t="shared" si="0"/>
        <v/>
      </c>
      <c r="AC13" s="318">
        <f>COUNT(H13:AB13)</f>
        <v>17</v>
      </c>
      <c r="AK13" s="509">
        <v>0</v>
      </c>
    </row>
    <row r="14" spans="1:37" x14ac:dyDescent="0.2">
      <c r="G14" s="276" t="str">
        <f>+'Target Site'!B22</f>
        <v>Terrain roughness, z0 (m)</v>
      </c>
      <c r="H14" s="472">
        <v>5.0000000000000001E-3</v>
      </c>
      <c r="I14" s="476">
        <v>0.02</v>
      </c>
      <c r="J14" s="316">
        <v>0.1</v>
      </c>
      <c r="K14" s="316">
        <v>0.5</v>
      </c>
      <c r="L14" s="316">
        <v>3</v>
      </c>
      <c r="M14" s="574">
        <v>5.0000000000000001E-3</v>
      </c>
      <c r="N14" s="574">
        <v>0.02</v>
      </c>
      <c r="O14" s="574">
        <v>0.1</v>
      </c>
      <c r="P14" s="574">
        <v>0.5</v>
      </c>
      <c r="Q14" s="574">
        <v>3</v>
      </c>
      <c r="R14" s="574">
        <v>5.0000000000000001E-3</v>
      </c>
      <c r="S14" s="574">
        <v>0.02</v>
      </c>
      <c r="T14" s="574">
        <v>0.1</v>
      </c>
      <c r="U14" s="574">
        <v>0.5</v>
      </c>
      <c r="V14" s="574">
        <v>3</v>
      </c>
      <c r="W14" s="574">
        <v>1.5</v>
      </c>
      <c r="X14" s="574">
        <v>0.7</v>
      </c>
      <c r="Y14" s="574"/>
      <c r="Z14" s="574"/>
      <c r="AA14" s="574"/>
      <c r="AB14" s="574"/>
      <c r="AK14" s="510">
        <v>0.02</v>
      </c>
    </row>
    <row r="15" spans="1:37" x14ac:dyDescent="0.2">
      <c r="G15" s="276" t="str">
        <f>+'Target Site'!B23</f>
        <v>Patch length, x (m)</v>
      </c>
      <c r="H15" s="316"/>
      <c r="I15" s="476"/>
      <c r="J15" s="316"/>
      <c r="K15" s="316">
        <v>10000</v>
      </c>
      <c r="L15" s="316">
        <v>5000</v>
      </c>
      <c r="M15" s="574"/>
      <c r="N15" s="574"/>
      <c r="O15" s="574" t="s">
        <v>746</v>
      </c>
      <c r="P15" s="574">
        <v>10000</v>
      </c>
      <c r="Q15" s="574">
        <v>5000</v>
      </c>
      <c r="R15" s="574"/>
      <c r="S15" s="574"/>
      <c r="T15" s="574" t="s">
        <v>746</v>
      </c>
      <c r="U15" s="574">
        <v>10000</v>
      </c>
      <c r="V15" s="574">
        <v>5000</v>
      </c>
      <c r="W15" s="574">
        <v>5000</v>
      </c>
      <c r="X15" s="574">
        <v>10000</v>
      </c>
      <c r="Y15" s="574"/>
      <c r="Z15" s="574"/>
      <c r="AA15" s="574"/>
      <c r="AB15" s="574"/>
      <c r="AK15" s="510">
        <v>0</v>
      </c>
    </row>
    <row r="16" spans="1:37" x14ac:dyDescent="0.2">
      <c r="G16" s="276" t="str">
        <f>+'Target Site'!B24</f>
        <v>z01 (m)</v>
      </c>
      <c r="H16" s="316"/>
      <c r="I16" s="476"/>
      <c r="J16" s="316"/>
      <c r="K16" s="316">
        <v>0.1</v>
      </c>
      <c r="L16" s="316">
        <v>0.5</v>
      </c>
      <c r="M16" s="574"/>
      <c r="N16" s="574"/>
      <c r="O16" s="574" t="s">
        <v>746</v>
      </c>
      <c r="P16" s="574">
        <v>0.1</v>
      </c>
      <c r="Q16" s="574">
        <v>0.5</v>
      </c>
      <c r="R16" s="574"/>
      <c r="S16" s="574"/>
      <c r="T16" s="574" t="s">
        <v>746</v>
      </c>
      <c r="U16" s="574">
        <v>0.1</v>
      </c>
      <c r="V16" s="574">
        <v>0.5</v>
      </c>
      <c r="W16" s="574">
        <v>0.5</v>
      </c>
      <c r="X16" s="574">
        <v>0.1</v>
      </c>
      <c r="Y16" s="574"/>
      <c r="Z16" s="574"/>
      <c r="AA16" s="574"/>
      <c r="AB16" s="574"/>
      <c r="AK16" s="510">
        <v>0</v>
      </c>
    </row>
    <row r="17" spans="5:38" x14ac:dyDescent="0.2">
      <c r="G17" s="276" t="str">
        <f>+'Target Site'!B25</f>
        <v>x1 (m)</v>
      </c>
      <c r="H17" s="316"/>
      <c r="I17" s="476"/>
      <c r="J17" s="316"/>
      <c r="K17" s="316"/>
      <c r="L17" s="316">
        <v>10000</v>
      </c>
      <c r="M17" s="574"/>
      <c r="N17" s="574" t="s">
        <v>746</v>
      </c>
      <c r="O17" s="574" t="s">
        <v>746</v>
      </c>
      <c r="P17" s="574" t="s">
        <v>746</v>
      </c>
      <c r="Q17" s="574">
        <v>10000</v>
      </c>
      <c r="R17" s="574"/>
      <c r="S17" s="574" t="s">
        <v>746</v>
      </c>
      <c r="T17" s="574" t="s">
        <v>746</v>
      </c>
      <c r="U17" s="574" t="s">
        <v>746</v>
      </c>
      <c r="V17" s="574">
        <v>10000</v>
      </c>
      <c r="W17" s="574">
        <v>10000</v>
      </c>
      <c r="X17" s="574"/>
      <c r="Y17" s="574"/>
      <c r="Z17" s="574"/>
      <c r="AA17" s="574"/>
      <c r="AB17" s="574"/>
      <c r="AK17" s="510">
        <v>0</v>
      </c>
    </row>
    <row r="18" spans="5:38" x14ac:dyDescent="0.2">
      <c r="G18" s="276" t="str">
        <f>+'Target Site'!B26</f>
        <v>z02 (m)</v>
      </c>
      <c r="H18" s="316"/>
      <c r="I18" s="476"/>
      <c r="J18" s="316"/>
      <c r="K18" s="316"/>
      <c r="L18" s="316">
        <v>0.1</v>
      </c>
      <c r="M18" s="574"/>
      <c r="N18" s="574" t="s">
        <v>746</v>
      </c>
      <c r="O18" s="574" t="s">
        <v>746</v>
      </c>
      <c r="P18" s="574" t="s">
        <v>746</v>
      </c>
      <c r="Q18" s="574">
        <v>0.1</v>
      </c>
      <c r="R18" s="574"/>
      <c r="S18" s="574" t="s">
        <v>746</v>
      </c>
      <c r="T18" s="574" t="s">
        <v>746</v>
      </c>
      <c r="U18" s="574" t="s">
        <v>746</v>
      </c>
      <c r="V18" s="574">
        <v>0.1</v>
      </c>
      <c r="W18" s="574">
        <v>0.1</v>
      </c>
      <c r="X18" s="574"/>
      <c r="Y18" s="574"/>
      <c r="Z18" s="574"/>
      <c r="AA18" s="574"/>
      <c r="AB18" s="574"/>
      <c r="AK18" s="510">
        <v>0</v>
      </c>
    </row>
    <row r="19" spans="5:38" x14ac:dyDescent="0.2">
      <c r="G19" s="276" t="str">
        <f>+'Target Site'!B27</f>
        <v>x2 (m)</v>
      </c>
      <c r="H19" s="316"/>
      <c r="I19" s="476"/>
      <c r="J19" s="316"/>
      <c r="K19" s="316"/>
      <c r="L19" s="316"/>
      <c r="M19" s="574"/>
      <c r="N19" s="574" t="s">
        <v>746</v>
      </c>
      <c r="O19" s="574" t="s">
        <v>746</v>
      </c>
      <c r="P19" s="574" t="s">
        <v>746</v>
      </c>
      <c r="Q19" s="574" t="s">
        <v>746</v>
      </c>
      <c r="R19" s="574"/>
      <c r="S19" s="574"/>
      <c r="T19" s="574"/>
      <c r="U19" s="574"/>
      <c r="V19" s="574"/>
      <c r="W19" s="574"/>
      <c r="X19" s="574"/>
      <c r="Y19" s="574"/>
      <c r="Z19" s="574"/>
      <c r="AA19" s="574"/>
      <c r="AB19" s="574"/>
      <c r="AK19" s="510">
        <v>0</v>
      </c>
    </row>
    <row r="20" spans="5:38" x14ac:dyDescent="0.2">
      <c r="G20" s="276" t="str">
        <f>+'Target Site'!B28</f>
        <v>z03 (m)</v>
      </c>
      <c r="H20" s="316"/>
      <c r="I20" s="476"/>
      <c r="J20" s="316"/>
      <c r="K20" s="316"/>
      <c r="L20" s="316"/>
      <c r="M20" s="574" t="s">
        <v>746</v>
      </c>
      <c r="N20" s="574" t="s">
        <v>746</v>
      </c>
      <c r="O20" s="574" t="s">
        <v>746</v>
      </c>
      <c r="P20" s="574" t="s">
        <v>746</v>
      </c>
      <c r="Q20" s="574" t="s">
        <v>746</v>
      </c>
      <c r="R20" s="574"/>
      <c r="S20" s="574"/>
      <c r="T20" s="574"/>
      <c r="U20" s="574"/>
      <c r="V20" s="574"/>
      <c r="W20" s="574"/>
      <c r="X20" s="574"/>
      <c r="Y20" s="574"/>
      <c r="Z20" s="574"/>
      <c r="AA20" s="574"/>
      <c r="AB20" s="574"/>
      <c r="AK20" s="510">
        <v>0</v>
      </c>
    </row>
    <row r="21" spans="5:38" x14ac:dyDescent="0.2">
      <c r="G21" s="276" t="str">
        <f>+'Target Site'!B29</f>
        <v>x3 (m)</v>
      </c>
      <c r="H21" s="316"/>
      <c r="I21" s="476"/>
      <c r="J21" s="316"/>
      <c r="K21" s="316"/>
      <c r="L21" s="316"/>
      <c r="M21" s="574" t="s">
        <v>746</v>
      </c>
      <c r="N21" s="574" t="s">
        <v>746</v>
      </c>
      <c r="O21" s="574" t="s">
        <v>746</v>
      </c>
      <c r="P21" s="574" t="s">
        <v>746</v>
      </c>
      <c r="Q21" s="574" t="s">
        <v>746</v>
      </c>
      <c r="R21" s="574"/>
      <c r="S21" s="574"/>
      <c r="T21" s="574"/>
      <c r="U21" s="574"/>
      <c r="V21" s="574"/>
      <c r="W21" s="574"/>
      <c r="X21" s="574"/>
      <c r="Y21" s="574"/>
      <c r="Z21" s="574"/>
      <c r="AA21" s="574"/>
      <c r="AB21" s="574"/>
      <c r="AK21" s="510">
        <v>0</v>
      </c>
    </row>
    <row r="22" spans="5:38" x14ac:dyDescent="0.2">
      <c r="G22" s="276" t="str">
        <f>+'Target Site'!B30</f>
        <v>z04 (m)</v>
      </c>
      <c r="H22" s="316"/>
      <c r="I22" s="476"/>
      <c r="J22" s="316"/>
      <c r="K22" s="316"/>
      <c r="L22" s="316"/>
      <c r="M22" s="574" t="s">
        <v>746</v>
      </c>
      <c r="N22" s="574" t="s">
        <v>746</v>
      </c>
      <c r="O22" s="574" t="s">
        <v>746</v>
      </c>
      <c r="P22" s="574" t="s">
        <v>746</v>
      </c>
      <c r="Q22" s="574" t="s">
        <v>746</v>
      </c>
      <c r="R22" s="574"/>
      <c r="S22" s="574"/>
      <c r="T22" s="574"/>
      <c r="U22" s="574"/>
      <c r="V22" s="574"/>
      <c r="W22" s="574"/>
      <c r="X22" s="574"/>
      <c r="Y22" s="574"/>
      <c r="Z22" s="574"/>
      <c r="AA22" s="574"/>
      <c r="AB22" s="574"/>
      <c r="AK22" s="510">
        <v>0</v>
      </c>
    </row>
    <row r="23" spans="5:38" x14ac:dyDescent="0.2">
      <c r="G23" s="276" t="str">
        <f>+'Target Site'!B31</f>
        <v>x4 (m)</v>
      </c>
      <c r="H23" s="316"/>
      <c r="I23" s="476"/>
      <c r="J23" s="316"/>
      <c r="K23" s="316"/>
      <c r="L23" s="316"/>
      <c r="M23" s="574" t="s">
        <v>746</v>
      </c>
      <c r="N23" s="574" t="s">
        <v>746</v>
      </c>
      <c r="O23" s="574" t="s">
        <v>746</v>
      </c>
      <c r="P23" s="574" t="s">
        <v>746</v>
      </c>
      <c r="Q23" s="574" t="s">
        <v>746</v>
      </c>
      <c r="R23" s="574"/>
      <c r="S23" s="574"/>
      <c r="T23" s="574"/>
      <c r="U23" s="574"/>
      <c r="V23" s="574"/>
      <c r="W23" s="574"/>
      <c r="X23" s="574"/>
      <c r="Y23" s="574"/>
      <c r="Z23" s="574"/>
      <c r="AA23" s="574"/>
      <c r="AB23" s="574"/>
      <c r="AK23" s="510">
        <v>0</v>
      </c>
    </row>
    <row r="24" spans="5:38" x14ac:dyDescent="0.2">
      <c r="G24" s="276" t="str">
        <f>+'Target Site'!B32</f>
        <v>z05 (m)</v>
      </c>
      <c r="H24" s="316"/>
      <c r="I24" s="476"/>
      <c r="J24" s="316"/>
      <c r="K24" s="316"/>
      <c r="L24" s="316"/>
      <c r="M24" s="574" t="s">
        <v>746</v>
      </c>
      <c r="N24" s="574" t="s">
        <v>746</v>
      </c>
      <c r="O24" s="574" t="s">
        <v>746</v>
      </c>
      <c r="P24" s="574" t="s">
        <v>746</v>
      </c>
      <c r="Q24" s="574" t="s">
        <v>746</v>
      </c>
      <c r="R24" s="574"/>
      <c r="S24" s="574"/>
      <c r="T24" s="574"/>
      <c r="U24" s="574"/>
      <c r="V24" s="574"/>
      <c r="W24" s="574"/>
      <c r="X24" s="574"/>
      <c r="Y24" s="574"/>
      <c r="Z24" s="574"/>
      <c r="AA24" s="574"/>
      <c r="AB24" s="574"/>
      <c r="AK24" s="510">
        <v>0</v>
      </c>
    </row>
    <row r="25" spans="5:38" x14ac:dyDescent="0.2">
      <c r="G25" s="519" t="str">
        <f>+'Target Site'!B33</f>
        <v>x5 (m)</v>
      </c>
      <c r="H25" s="316"/>
      <c r="I25" s="476"/>
      <c r="J25" s="316"/>
      <c r="K25" s="316"/>
      <c r="L25" s="316"/>
      <c r="M25" s="574"/>
      <c r="N25" s="574"/>
      <c r="O25" s="574"/>
      <c r="P25" s="574"/>
      <c r="Q25" s="574"/>
      <c r="R25" s="574"/>
      <c r="S25" s="574"/>
      <c r="T25" s="574"/>
      <c r="U25" s="574"/>
      <c r="V25" s="574"/>
      <c r="W25" s="574"/>
      <c r="X25" s="574"/>
      <c r="Y25" s="574"/>
      <c r="Z25" s="574"/>
      <c r="AA25" s="574"/>
      <c r="AB25" s="574"/>
    </row>
    <row r="26" spans="5:38" ht="15.75" x14ac:dyDescent="0.25">
      <c r="G26" s="519" t="s">
        <v>293</v>
      </c>
      <c r="H26" s="316"/>
      <c r="I26" s="476"/>
      <c r="J26" s="316"/>
      <c r="K26" s="316"/>
      <c r="L26" s="316"/>
      <c r="M26" s="574"/>
      <c r="N26" s="574"/>
      <c r="O26" s="574"/>
      <c r="P26" s="574"/>
      <c r="Q26" s="574"/>
      <c r="R26" s="574"/>
      <c r="S26" s="574"/>
      <c r="T26" s="574"/>
      <c r="U26" s="574"/>
      <c r="V26" s="574"/>
      <c r="W26" s="574"/>
      <c r="X26" s="574"/>
      <c r="Y26" s="574"/>
      <c r="Z26" s="574"/>
      <c r="AA26" s="574"/>
      <c r="AB26" s="574"/>
      <c r="AD26" s="415" t="s">
        <v>345</v>
      </c>
      <c r="AK26" s="365"/>
    </row>
    <row r="27" spans="5:38" x14ac:dyDescent="0.2">
      <c r="G27" s="519" t="str">
        <f>+'Target Site'!B35</f>
        <v>x6 (m)</v>
      </c>
      <c r="H27" s="316"/>
      <c r="I27" s="476"/>
      <c r="J27" s="316"/>
      <c r="K27" s="316"/>
      <c r="L27" s="316"/>
      <c r="M27" s="574"/>
      <c r="N27" s="574"/>
      <c r="O27" s="574"/>
      <c r="P27" s="574"/>
      <c r="Q27" s="574"/>
      <c r="R27" s="574"/>
      <c r="S27" s="574"/>
      <c r="T27" s="574"/>
      <c r="U27" s="574"/>
      <c r="V27" s="574"/>
      <c r="W27" s="574"/>
      <c r="X27" s="574"/>
      <c r="Y27" s="574"/>
      <c r="Z27" s="574"/>
      <c r="AA27" s="574"/>
      <c r="AB27" s="574"/>
    </row>
    <row r="28" spans="5:38" ht="15" x14ac:dyDescent="0.3">
      <c r="E28" s="567" t="s">
        <v>808</v>
      </c>
      <c r="F28">
        <f>0.0001458*SIN('Reference Site'!$C$8*PI()/180)</f>
        <v>9.3718433492297423E-5</v>
      </c>
      <c r="G28" s="1168" t="s">
        <v>806</v>
      </c>
      <c r="H28" s="1169" cm="1">
        <f t="array" ref="H28">1/(SLOPE(LN('Wind speed'!$B$9:$B$17),'Wind speed'!C9:C17-86.25*$F$28*'Wind speed'!$B$9:$B$17)*2.5)</f>
        <v>1.7470869548416708</v>
      </c>
      <c r="I28" s="1169" cm="1">
        <f t="array" ref="I28">1/(SLOPE(LN('Wind speed'!$B$9:$B$17),'Wind speed'!D9:D17-86.25*$F$28*'Wind speed'!$B$9:$B$17)*2.5)</f>
        <v>1.9044882741179048</v>
      </c>
      <c r="J28" s="1169" cm="1">
        <f t="array" ref="J28">1/(SLOPE(LN('Wind speed'!$B$9:$B$17),'Wind speed'!E9:E17-86.25*$F$28*'Wind speed'!$B$9:$B$17)*2.5)</f>
        <v>2.1238253046768998</v>
      </c>
      <c r="K28" s="1169" cm="1">
        <f t="array" ref="K28">1/(SLOPE(LN('Wind speed'!$B$9:$B$17),'Wind speed'!F9:F17-86.25*$F$28*'Wind speed'!$B$9:$B$17)*2.5)</f>
        <v>2.4938458689533669</v>
      </c>
      <c r="L28" s="1169" cm="1">
        <f t="array" ref="L28">1/(SLOPE(LN('Wind speed'!$B$9:$B$17),'Wind speed'!G9:G17-86.25*$F$28*'Wind speed'!$B$9:$B$17)*2.5)</f>
        <v>3.1878495643678972</v>
      </c>
      <c r="M28" s="1169" cm="1">
        <f t="array" ref="M28">1/(SLOPE(LN('Wind speed'!$B$9:$B$17),'Wind speed'!H9:H17-86.25*$F$28*'Wind speed'!$B$9:$B$17)*2.5)</f>
        <v>1.7470869548416708</v>
      </c>
      <c r="N28" s="1169" cm="1">
        <f t="array" ref="N28">1/(SLOPE(LN('Wind speed'!$B$9:$B$17),'Wind speed'!I9:I17-86.25*$F$28*'Wind speed'!$B$9:$B$17)*2.5)</f>
        <v>1.9044882741179048</v>
      </c>
      <c r="O28" s="1169" cm="1">
        <f t="array" ref="O28">1/(SLOPE(LN('Wind speed'!$B$9:$B$17),'Wind speed'!J9:J17-86.25*$F$28*'Wind speed'!$B$9:$B$17)*2.5)</f>
        <v>2.1238253046768998</v>
      </c>
      <c r="P28" s="1169" cm="1">
        <f t="array" ref="P28">1/(SLOPE(LN('Wind speed'!$B$9:$B$17),'Wind speed'!K9:K17-86.25*$F$28*'Wind speed'!$B$9:$B$17)*2.5)</f>
        <v>2.4938458689533669</v>
      </c>
      <c r="Q28" s="1169" cm="1">
        <f t="array" ref="Q28">1/(SLOPE(LN('Wind speed'!$B$9:$B$17),'Wind speed'!L9:L17-86.25*$F$28*'Wind speed'!$B$9:$B$17)*2.5)</f>
        <v>3.1878495643678972</v>
      </c>
      <c r="R28" s="1169" cm="1">
        <f t="array" ref="R28">1/(SLOPE(LN('Wind speed'!$B$9:$B$17),'Wind speed'!M9:M17-86.25*$F$28*'Wind speed'!$B$9:$B$17)*2.5)</f>
        <v>1.7470869548416708</v>
      </c>
      <c r="S28" s="1169" cm="1">
        <f t="array" ref="S28">1/(SLOPE(LN('Wind speed'!$B$9:$B$17),'Wind speed'!N9:N17-86.25*$F$28*'Wind speed'!$B$9:$B$17)*2.5)</f>
        <v>1.9044882741179048</v>
      </c>
      <c r="T28" s="1169" cm="1">
        <f t="array" ref="T28">1/(SLOPE(LN('Wind speed'!$B$9:$B$17),'Wind speed'!O9:O17-86.25*$F$28*'Wind speed'!$B$9:$B$17)*2.5)</f>
        <v>2.1238253046768998</v>
      </c>
      <c r="U28" s="1169" cm="1">
        <f t="array" ref="U28">1/(SLOPE(LN('Wind speed'!$B$9:$B$17),'Wind speed'!P9:P17-86.25*$F$28*'Wind speed'!$B$9:$B$17)*2.5)</f>
        <v>2.4938458689533669</v>
      </c>
      <c r="V28" s="1169" cm="1">
        <f t="array" ref="V28">1/(SLOPE(LN('Wind speed'!$B$9:$B$17),'Wind speed'!Q9:Q17-86.25*$F$28*'Wind speed'!$B$9:$B$17)*2.5)</f>
        <v>3.1878495643678972</v>
      </c>
      <c r="W28" s="1169" cm="1">
        <f t="array" ref="W28">1/(SLOPE(LN('Wind speed'!$B$9:$B$17),'Wind speed'!R9:R17-86.25*$F$28*'Wind speed'!$B$9:$B$17)*2.5)</f>
        <v>2.8378833208090817</v>
      </c>
      <c r="X28" s="1169" cm="1">
        <f t="array" ref="X28">1/(SLOPE(LN('Wind speed'!$B$9:$B$17),'Wind speed'!S9:S17-86.25*$F$28*'Wind speed'!$B$9:$B$17)*2.5)</f>
        <v>2.5987164096054651</v>
      </c>
      <c r="Y28" s="1169" cm="1">
        <f t="array" ref="Y28">1/(SLOPE(LN('Wind speed'!$B$9:$B$17),'Wind speed'!T9:T17-86.25*$F$28*'Wind speed'!$B$9:$B$17)*2.5)</f>
        <v>-0.54906184708603545</v>
      </c>
      <c r="Z28" s="1169" cm="1">
        <f t="array" ref="Z28">1/(SLOPE(LN('Wind speed'!$B$9:$B$17),'Wind speed'!U9:U17-86.25*$F$28*'Wind speed'!$B$9:$B$17)*2.5)</f>
        <v>-0.54906184708603545</v>
      </c>
      <c r="AA28" s="1169" cm="1">
        <f t="array" ref="AA28">1/(SLOPE(LN('Wind speed'!$B$9:$B$17),'Wind speed'!V9:V17-86.25*$F$28*'Wind speed'!$B$9:$B$17)*2.5)</f>
        <v>-0.54906184708603545</v>
      </c>
      <c r="AB28" s="1169" cm="1">
        <f t="array" ref="AB28">1/(SLOPE(LN('Wind speed'!$B$9:$B$17),'Wind speed'!W9:W17-86.25*$F$28*'Wind speed'!$B$9:$B$17)*2.5)</f>
        <v>-0.54906184708603545</v>
      </c>
    </row>
    <row r="29" spans="5:38" ht="15" x14ac:dyDescent="0.3">
      <c r="G29" s="1168" t="s">
        <v>807</v>
      </c>
      <c r="H29" s="1169" cm="1">
        <f t="array" ref="H29">EXP(INTERCEPT(LN('Wind speed'!$B$9:$B$17),'Wind speed'!C9:C17-86.25*$F$28*'Wind speed'!$B$9:$B$17))</f>
        <v>4.4428294953995301E-3</v>
      </c>
      <c r="I29" s="1169" cm="1">
        <f t="array" ref="I29">EXP(INTERCEPT(LN('Wind speed'!$B$9:$B$17),'Wind speed'!D9:D17-86.25*$F$28*'Wind speed'!$B$9:$B$17))</f>
        <v>1.8399488000442863E-2</v>
      </c>
      <c r="J29" s="1169" cm="1">
        <f t="array" ref="J29">EXP(INTERCEPT(LN('Wind speed'!$B$9:$B$17),'Wind speed'!E9:E17-86.25*$F$28*'Wind speed'!$B$9:$B$17))</f>
        <v>9.491000480722564E-2</v>
      </c>
      <c r="K29" s="1169" cm="1">
        <f t="array" ref="K29">EXP(INTERCEPT(LN('Wind speed'!$B$9:$B$17),'Wind speed'!F9:F17-86.25*$F$28*'Wind speed'!$B$9:$B$17))</f>
        <v>0.44602263567149025</v>
      </c>
      <c r="L29" s="1169" cm="1">
        <f t="array" ref="L29">EXP(INTERCEPT(LN('Wind speed'!$B$9:$B$17),'Wind speed'!G9:G17-86.25*$F$28*'Wind speed'!$B$9:$B$17))</f>
        <v>2.7926608741222294</v>
      </c>
      <c r="M29" s="1169" cm="1">
        <f t="array" ref="M29">EXP(INTERCEPT(LN('Wind speed'!$B$9:$B$17),'Wind speed'!H9:H17-86.25*$F$28*'Wind speed'!$B$9:$B$17))</f>
        <v>4.4428294953995301E-3</v>
      </c>
      <c r="N29" s="1169" cm="1">
        <f t="array" ref="N29">EXP(INTERCEPT(LN('Wind speed'!$B$9:$B$17),'Wind speed'!I9:I17-86.25*$F$28*'Wind speed'!$B$9:$B$17))</f>
        <v>1.8399488000442863E-2</v>
      </c>
      <c r="O29" s="1169" cm="1">
        <f t="array" ref="O29">EXP(INTERCEPT(LN('Wind speed'!$B$9:$B$17),'Wind speed'!J9:J17-86.25*$F$28*'Wind speed'!$B$9:$B$17))</f>
        <v>9.491000480722564E-2</v>
      </c>
      <c r="P29" s="1169" cm="1">
        <f t="array" ref="P29">EXP(INTERCEPT(LN('Wind speed'!$B$9:$B$17),'Wind speed'!K9:K17-86.25*$F$28*'Wind speed'!$B$9:$B$17))</f>
        <v>0.44602263567149025</v>
      </c>
      <c r="Q29" s="1169" cm="1">
        <f t="array" ref="Q29">EXP(INTERCEPT(LN('Wind speed'!$B$9:$B$17),'Wind speed'!L9:L17-86.25*$F$28*'Wind speed'!$B$9:$B$17))</f>
        <v>2.7926608741222294</v>
      </c>
      <c r="R29" s="1169" cm="1">
        <f t="array" ref="R29">EXP(INTERCEPT(LN('Wind speed'!$B$9:$B$17),'Wind speed'!M9:M17-86.25*$F$28*'Wind speed'!$B$9:$B$17))</f>
        <v>4.4428294953995301E-3</v>
      </c>
      <c r="S29" s="1169" cm="1">
        <f t="array" ref="S29">EXP(INTERCEPT(LN('Wind speed'!$B$9:$B$17),'Wind speed'!N9:N17-86.25*$F$28*'Wind speed'!$B$9:$B$17))</f>
        <v>1.8399488000442863E-2</v>
      </c>
      <c r="T29" s="1169" cm="1">
        <f t="array" ref="T29">EXP(INTERCEPT(LN('Wind speed'!$B$9:$B$17),'Wind speed'!O9:O17-86.25*$F$28*'Wind speed'!$B$9:$B$17))</f>
        <v>9.491000480722564E-2</v>
      </c>
      <c r="U29" s="1169" cm="1">
        <f t="array" ref="U29">EXP(INTERCEPT(LN('Wind speed'!$B$9:$B$17),'Wind speed'!P9:P17-86.25*$F$28*'Wind speed'!$B$9:$B$17))</f>
        <v>0.44602263567149025</v>
      </c>
      <c r="V29" s="1169" cm="1">
        <f t="array" ref="V29">EXP(INTERCEPT(LN('Wind speed'!$B$9:$B$17),'Wind speed'!Q9:Q17-86.25*$F$28*'Wind speed'!$B$9:$B$17))</f>
        <v>2.7926608741222294</v>
      </c>
      <c r="W29" s="1169" cm="1">
        <f t="array" ref="W29">EXP(INTERCEPT(LN('Wind speed'!$B$9:$B$17),'Wind speed'!R9:R17-86.25*$F$28*'Wind speed'!$B$9:$B$17))</f>
        <v>1.323413003552633</v>
      </c>
      <c r="X29" s="1169" cm="1">
        <f t="array" ref="X29">EXP(INTERCEPT(LN('Wind speed'!$B$9:$B$17),'Wind speed'!S9:S17-86.25*$F$28*'Wind speed'!$B$9:$B$17))</f>
        <v>0.63460406058484053</v>
      </c>
      <c r="Y29" s="1169" cm="1">
        <f t="array" ref="Y29">EXP(INTERCEPT(LN('Wind speed'!$B$9:$B$17),'Wind speed'!T9:T17-86.25*$F$28*'Wind speed'!$B$9:$B$17))</f>
        <v>34.187769599189984</v>
      </c>
      <c r="Z29" s="1169" cm="1">
        <f t="array" ref="Z29">EXP(INTERCEPT(LN('Wind speed'!$B$9:$B$17),'Wind speed'!U9:U17-86.25*$F$28*'Wind speed'!$B$9:$B$17))</f>
        <v>34.187769599189984</v>
      </c>
      <c r="AA29" s="1169" cm="1">
        <f t="array" ref="AA29">EXP(INTERCEPT(LN('Wind speed'!$B$9:$B$17),'Wind speed'!V9:V17-86.25*$F$28*'Wind speed'!$B$9:$B$17))</f>
        <v>34.187769599189984</v>
      </c>
      <c r="AB29" s="1169" cm="1">
        <f t="array" ref="AB29">EXP(INTERCEPT(LN('Wind speed'!$B$9:$B$17),'Wind speed'!W9:W17-86.25*$F$28*'Wind speed'!$B$9:$B$17))</f>
        <v>34.187769599189984</v>
      </c>
    </row>
    <row r="30" spans="5:38" ht="15" x14ac:dyDescent="0.25">
      <c r="F30" s="379" t="s">
        <v>214</v>
      </c>
      <c r="G30" s="278"/>
      <c r="H30" s="377">
        <f>+'u-component turbulence'!C23</f>
        <v>0.10136646185266636</v>
      </c>
      <c r="I30" s="477">
        <f>+'u-component turbulence'!D23</f>
        <v>0.12033426426237992</v>
      </c>
      <c r="J30" s="377">
        <f>+'u-component turbulence'!E23</f>
        <v>0.15041439697904124</v>
      </c>
      <c r="K30" s="377">
        <f>+'u-component turbulence'!F23</f>
        <v>0.1811554897459601</v>
      </c>
      <c r="L30" s="377">
        <f>+'u-component turbulence'!G23</f>
        <v>0.23667254275369529</v>
      </c>
      <c r="M30" s="378">
        <f>+'u-component turbulence'!H23</f>
        <v>0.10136646185266636</v>
      </c>
      <c r="N30" s="378">
        <f>+'u-component turbulence'!I23</f>
        <v>0.12033426426237992</v>
      </c>
      <c r="O30" s="378">
        <f>+'u-component turbulence'!J23</f>
        <v>0.15041439697904124</v>
      </c>
      <c r="P30" s="378">
        <f>+'u-component turbulence'!K23</f>
        <v>0.1811554897459601</v>
      </c>
      <c r="Q30" s="378">
        <f>+'u-component turbulence'!L23</f>
        <v>0.23667254275369529</v>
      </c>
      <c r="R30" s="378">
        <f>+'u-component turbulence'!M23</f>
        <v>0.10136646185266636</v>
      </c>
      <c r="S30" s="378">
        <f>+'u-component turbulence'!N23</f>
        <v>0.12033426426237992</v>
      </c>
      <c r="T30" s="378">
        <f>+'u-component turbulence'!O23</f>
        <v>0.15041439697904124</v>
      </c>
      <c r="U30" s="378">
        <f>+'u-component turbulence'!P23</f>
        <v>0.1811554897459601</v>
      </c>
      <c r="V30" s="378">
        <f>+'u-component turbulence'!Q23</f>
        <v>0.23667254275369529</v>
      </c>
      <c r="W30" s="378">
        <f>+'u-component turbulence'!R23</f>
        <v>0.21244327899944421</v>
      </c>
      <c r="X30" s="378">
        <f>+'u-component turbulence'!S23</f>
        <v>0.18996455122229031</v>
      </c>
      <c r="Y30" s="378">
        <f>+'u-component turbulence'!T23</f>
        <v>0</v>
      </c>
      <c r="Z30" s="378">
        <f>+'u-component turbulence'!U23</f>
        <v>0</v>
      </c>
      <c r="AA30" s="378">
        <f>+'u-component turbulence'!V23</f>
        <v>0</v>
      </c>
      <c r="AB30" s="378">
        <f>+'u-component turbulence'!W23</f>
        <v>0</v>
      </c>
      <c r="AK30" s="511">
        <f>+'u-component turbulence'!D24</f>
        <v>0.115258672294374</v>
      </c>
      <c r="AL30" s="501" t="s">
        <v>395</v>
      </c>
    </row>
    <row r="31" spans="5:38" x14ac:dyDescent="0.2">
      <c r="F31" s="276" t="s">
        <v>215</v>
      </c>
      <c r="G31" s="283">
        <f>+'Wind speed'!B23</f>
        <v>120.7</v>
      </c>
      <c r="H31" s="319">
        <f>+'Wind speed'!C23*(1+RWDI_FACTORS!$D$33*RWDI_FACTORS!H30)</f>
        <v>52.56736059502267</v>
      </c>
      <c r="I31" s="478">
        <f>+'Wind speed'!D23*(1+RWDI_FACTORS!$D$33*RWDI_FACTORS!I30)</f>
        <v>50.614870779813096</v>
      </c>
      <c r="J31" s="319">
        <f>+'Wind speed'!E23*(1+RWDI_FACTORS!$D$33*RWDI_FACTORS!J30)</f>
        <v>47.772185901052453</v>
      </c>
      <c r="K31" s="319">
        <f>+'Wind speed'!F23*(1+RWDI_FACTORS!$D$33*RWDI_FACTORS!K30)</f>
        <v>45.580708433766802</v>
      </c>
      <c r="L31" s="319">
        <f>+'Wind speed'!G23*(1+RWDI_FACTORS!$D$33*RWDI_FACTORS!L30)</f>
        <v>42.117577040195741</v>
      </c>
      <c r="M31" s="283">
        <f>+'Wind speed'!H23*(1+RWDI_FACTORS!$D$33*RWDI_FACTORS!M30)</f>
        <v>52.56736059502267</v>
      </c>
      <c r="N31" s="283">
        <f>+'Wind speed'!I23*(1+RWDI_FACTORS!$D$33*RWDI_FACTORS!N30)</f>
        <v>50.614870779813096</v>
      </c>
      <c r="O31" s="283">
        <f>+'Wind speed'!J23*(1+RWDI_FACTORS!$D$33*RWDI_FACTORS!O30)</f>
        <v>47.772185901052453</v>
      </c>
      <c r="P31" s="283">
        <f>+'Wind speed'!K23*(1+RWDI_FACTORS!$D$33*RWDI_FACTORS!P30)</f>
        <v>45.580708433766802</v>
      </c>
      <c r="Q31" s="283">
        <f>+'Wind speed'!L23*(1+RWDI_FACTORS!$D$33*RWDI_FACTORS!Q30)</f>
        <v>42.117577040195741</v>
      </c>
      <c r="R31" s="283">
        <f>+'Wind speed'!M23*(1+RWDI_FACTORS!$D$33*RWDI_FACTORS!R30)</f>
        <v>52.56736059502267</v>
      </c>
      <c r="S31" s="283">
        <f>+'Wind speed'!N23*(1+RWDI_FACTORS!$D$33*RWDI_FACTORS!S30)</f>
        <v>50.614870779813096</v>
      </c>
      <c r="T31" s="283">
        <f>+'Wind speed'!O23*(1+RWDI_FACTORS!$D$33*RWDI_FACTORS!T30)</f>
        <v>47.772185901052453</v>
      </c>
      <c r="U31" s="283">
        <f>+'Wind speed'!P23*(1+RWDI_FACTORS!$D$33*RWDI_FACTORS!U30)</f>
        <v>45.580708433766802</v>
      </c>
      <c r="V31" s="283">
        <f>+'Wind speed'!Q23*(1+RWDI_FACTORS!$D$33*RWDI_FACTORS!V30)</f>
        <v>42.117577040195741</v>
      </c>
      <c r="W31" s="283">
        <f>+'Wind speed'!R23*(1+RWDI_FACTORS!$D$33*RWDI_FACTORS!W30)</f>
        <v>43.697811079983012</v>
      </c>
      <c r="X31" s="283">
        <f>+'Wind speed'!S23*(1+RWDI_FACTORS!$D$33*RWDI_FACTORS!X30)</f>
        <v>44.981914714921579</v>
      </c>
      <c r="Y31" s="283">
        <f>+'Wind speed'!T23*(1+RWDI_FACTORS!$D$33*RWDI_FACTORS!Y30)</f>
        <v>0</v>
      </c>
      <c r="Z31" s="283">
        <f>+'Wind speed'!U23*(1+RWDI_FACTORS!$D$33*RWDI_FACTORS!Z30)</f>
        <v>0</v>
      </c>
      <c r="AA31" s="283">
        <f>+'Wind speed'!V23*(1+RWDI_FACTORS!$D$33*RWDI_FACTORS!AA30)</f>
        <v>0</v>
      </c>
      <c r="AB31" s="283">
        <f>+'Wind speed'!W23*(1+RWDI_FACTORS!$D$33*RWDI_FACTORS!AB30)</f>
        <v>0</v>
      </c>
      <c r="AK31" s="512">
        <f>+'Wind speed'!D24*(1+3*AK30)</f>
        <v>59.136219707315128</v>
      </c>
    </row>
    <row r="32" spans="5:38" x14ac:dyDescent="0.2">
      <c r="F32" s="276" t="s">
        <v>202</v>
      </c>
      <c r="H32" s="315">
        <f>+H31</f>
        <v>52.56736059502267</v>
      </c>
      <c r="I32" s="479">
        <f t="shared" ref="I32" si="1">+I31</f>
        <v>50.614870779813096</v>
      </c>
      <c r="J32" s="315">
        <f t="shared" ref="J32:AB32" si="2">+J31</f>
        <v>47.772185901052453</v>
      </c>
      <c r="K32" s="315">
        <f t="shared" si="2"/>
        <v>45.580708433766802</v>
      </c>
      <c r="L32" s="315">
        <f t="shared" si="2"/>
        <v>42.117577040195741</v>
      </c>
      <c r="M32" s="279">
        <f t="shared" si="2"/>
        <v>52.56736059502267</v>
      </c>
      <c r="N32" s="279">
        <f t="shared" si="2"/>
        <v>50.614870779813096</v>
      </c>
      <c r="O32" s="279">
        <f t="shared" si="2"/>
        <v>47.772185901052453</v>
      </c>
      <c r="P32" s="279">
        <f t="shared" si="2"/>
        <v>45.580708433766802</v>
      </c>
      <c r="Q32" s="279">
        <f t="shared" si="2"/>
        <v>42.117577040195741</v>
      </c>
      <c r="R32" s="279">
        <f t="shared" si="2"/>
        <v>52.56736059502267</v>
      </c>
      <c r="S32" s="279">
        <f t="shared" si="2"/>
        <v>50.614870779813096</v>
      </c>
      <c r="T32" s="279">
        <f t="shared" si="2"/>
        <v>47.772185901052453</v>
      </c>
      <c r="U32" s="279">
        <f t="shared" si="2"/>
        <v>45.580708433766802</v>
      </c>
      <c r="V32" s="279">
        <f t="shared" si="2"/>
        <v>42.117577040195741</v>
      </c>
      <c r="W32" s="279">
        <f t="shared" si="2"/>
        <v>43.697811079983012</v>
      </c>
      <c r="X32" s="279">
        <f t="shared" si="2"/>
        <v>44.981914714921579</v>
      </c>
      <c r="Y32" s="279">
        <f t="shared" si="2"/>
        <v>0</v>
      </c>
      <c r="Z32" s="279">
        <f t="shared" si="2"/>
        <v>0</v>
      </c>
      <c r="AA32" s="279">
        <f t="shared" si="2"/>
        <v>0</v>
      </c>
      <c r="AB32" s="279">
        <f t="shared" si="2"/>
        <v>0</v>
      </c>
      <c r="AK32" s="513">
        <f>+AK31</f>
        <v>59.136219707315128</v>
      </c>
    </row>
    <row r="33" spans="1:39" ht="15.75" x14ac:dyDescent="0.3">
      <c r="C33" s="309" t="s">
        <v>252</v>
      </c>
      <c r="D33" s="322">
        <v>1.5</v>
      </c>
      <c r="F33" s="517" t="s">
        <v>821</v>
      </c>
      <c r="G33" s="286"/>
      <c r="H33" s="287">
        <f>+'Wind speed'!C17/'Wind speed'!C11</f>
        <v>1.3670482283742977</v>
      </c>
      <c r="I33" s="287">
        <f>+'Wind speed'!D17/'Wind speed'!D11</f>
        <v>1.4230496665612158</v>
      </c>
      <c r="J33" s="287">
        <f>+'Wind speed'!E17/'Wind speed'!E11</f>
        <v>1.5190307923094197</v>
      </c>
      <c r="K33" s="287">
        <f>+'Wind speed'!F17/'Wind speed'!F11</f>
        <v>1.6557201267202077</v>
      </c>
      <c r="L33" s="287">
        <f>+'Wind speed'!G17/'Wind speed'!G11</f>
        <v>2.0112164714649525</v>
      </c>
      <c r="M33" s="287">
        <f>+'Wind speed'!H17/'Wind speed'!H11</f>
        <v>1.3670482283742977</v>
      </c>
      <c r="N33" s="287">
        <f>+'Wind speed'!I17/'Wind speed'!I11</f>
        <v>1.4230496665612158</v>
      </c>
      <c r="O33" s="287">
        <f>+'Wind speed'!J17/'Wind speed'!J11</f>
        <v>1.5190307923094197</v>
      </c>
      <c r="P33" s="287">
        <f>+'Wind speed'!K17/'Wind speed'!K11</f>
        <v>1.6557201267202077</v>
      </c>
      <c r="Q33" s="287">
        <f>+'Wind speed'!L17/'Wind speed'!L11</f>
        <v>2.0112164714649525</v>
      </c>
      <c r="R33" s="287">
        <f>+'Wind speed'!M17/'Wind speed'!M11</f>
        <v>1.3670482283742977</v>
      </c>
      <c r="S33" s="287">
        <f>+'Wind speed'!N17/'Wind speed'!N11</f>
        <v>1.4230496665612158</v>
      </c>
      <c r="T33" s="287">
        <f>+'Wind speed'!O17/'Wind speed'!O11</f>
        <v>1.5190307923094197</v>
      </c>
      <c r="U33" s="287">
        <f>+'Wind speed'!P17/'Wind speed'!P11</f>
        <v>1.6557201267202077</v>
      </c>
      <c r="V33" s="287">
        <f>+'Wind speed'!Q17/'Wind speed'!Q11</f>
        <v>2.0112164714649525</v>
      </c>
      <c r="W33" s="287">
        <f>+'Wind speed'!R17/'Wind speed'!R11</f>
        <v>1.8168797574148832</v>
      </c>
      <c r="X33" s="287">
        <f>+'Wind speed'!S17/'Wind speed'!S11</f>
        <v>1.702901425351661</v>
      </c>
      <c r="Y33" s="287" t="e">
        <f>+'Wind speed'!T17/'Wind speed'!T11</f>
        <v>#DIV/0!</v>
      </c>
      <c r="Z33" s="287" t="e">
        <f>+'Wind speed'!U17/'Wind speed'!U11</f>
        <v>#DIV/0!</v>
      </c>
      <c r="AA33" s="287" t="e">
        <f>+'Wind speed'!V17/'Wind speed'!V11</f>
        <v>#DIV/0!</v>
      </c>
      <c r="AB33" s="287" t="e">
        <f>+'Wind speed'!W17/'Wind speed'!W11</f>
        <v>#DIV/0!</v>
      </c>
    </row>
    <row r="34" spans="1:39" x14ac:dyDescent="0.2">
      <c r="F34" s="518" t="s">
        <v>822</v>
      </c>
      <c r="G34" s="286"/>
      <c r="H34" s="287">
        <f>LN(H33)/LN((600)/(50))</f>
        <v>0.12582116016129727</v>
      </c>
      <c r="I34" s="287">
        <f t="shared" ref="I34:AB34" si="3">LN(I33)/LN((600)/(50))</f>
        <v>0.14197805830740665</v>
      </c>
      <c r="J34" s="287">
        <f t="shared" si="3"/>
        <v>0.16824474870257744</v>
      </c>
      <c r="K34" s="287">
        <f t="shared" si="3"/>
        <v>0.20291950851324383</v>
      </c>
      <c r="L34" s="287">
        <f t="shared" si="3"/>
        <v>0.28119356063099221</v>
      </c>
      <c r="M34" s="287">
        <f t="shared" si="3"/>
        <v>0.12582116016129727</v>
      </c>
      <c r="N34" s="287">
        <f t="shared" si="3"/>
        <v>0.14197805830740665</v>
      </c>
      <c r="O34" s="287">
        <f t="shared" si="3"/>
        <v>0.16824474870257744</v>
      </c>
      <c r="P34" s="287">
        <f t="shared" si="3"/>
        <v>0.20291950851324383</v>
      </c>
      <c r="Q34" s="287">
        <f t="shared" si="3"/>
        <v>0.28119356063099221</v>
      </c>
      <c r="R34" s="287">
        <f t="shared" si="3"/>
        <v>0.12582116016129727</v>
      </c>
      <c r="S34" s="287">
        <f t="shared" si="3"/>
        <v>0.14197805830740665</v>
      </c>
      <c r="T34" s="287">
        <f t="shared" si="3"/>
        <v>0.16824474870257744</v>
      </c>
      <c r="U34" s="287">
        <f t="shared" si="3"/>
        <v>0.20291950851324383</v>
      </c>
      <c r="V34" s="287">
        <f t="shared" si="3"/>
        <v>0.28119356063099221</v>
      </c>
      <c r="W34" s="287">
        <f t="shared" si="3"/>
        <v>0.24029901116757138</v>
      </c>
      <c r="X34" s="287">
        <f t="shared" si="3"/>
        <v>0.21422676667141324</v>
      </c>
      <c r="Y34" s="287" t="e">
        <f t="shared" si="3"/>
        <v>#DIV/0!</v>
      </c>
      <c r="Z34" s="287" t="e">
        <f t="shared" si="3"/>
        <v>#DIV/0!</v>
      </c>
      <c r="AA34" s="287" t="e">
        <f t="shared" si="3"/>
        <v>#DIV/0!</v>
      </c>
      <c r="AB34" s="287" t="e">
        <f t="shared" si="3"/>
        <v>#DIV/0!</v>
      </c>
    </row>
    <row r="35" spans="1:39" x14ac:dyDescent="0.2">
      <c r="C35" s="58" t="s">
        <v>197</v>
      </c>
      <c r="D35" s="58" t="s">
        <v>198</v>
      </c>
      <c r="G35" s="567" t="s">
        <v>818</v>
      </c>
      <c r="H35" s="1065">
        <f>ROUND(('Wind speed'!C46/'Wind speed'!$D$30)^2,2)</f>
        <v>1.83</v>
      </c>
      <c r="I35" s="1065">
        <f>ROUND(('Wind speed'!D46/'Wind speed'!$D$30)^2,2)</f>
        <v>1.78</v>
      </c>
      <c r="J35" s="1065">
        <f>ROUND(('Wind speed'!E46/'Wind speed'!$D$30)^2,2)</f>
        <v>1.71</v>
      </c>
      <c r="K35" s="1065">
        <f>ROUND(('Wind speed'!F46/'Wind speed'!$D$30)^2,2)</f>
        <v>1.66</v>
      </c>
      <c r="L35" s="1065">
        <f>ROUND(('Wind speed'!G46/'Wind speed'!$D$30)^2,2)</f>
        <v>1.59</v>
      </c>
      <c r="M35" s="1065">
        <f>ROUND(('Wind speed'!H46/'Wind speed'!$D$30)^2,2)</f>
        <v>1.83</v>
      </c>
      <c r="N35" s="1065">
        <f>ROUND(('Wind speed'!I46/'Wind speed'!$D$30)^2,2)</f>
        <v>1.78</v>
      </c>
      <c r="O35" s="1065">
        <f>ROUND(('Wind speed'!J46/'Wind speed'!$D$30)^2,2)</f>
        <v>1.71</v>
      </c>
      <c r="P35" s="1065">
        <f>ROUND(('Wind speed'!K46/'Wind speed'!$D$30)^2,2)</f>
        <v>1.66</v>
      </c>
      <c r="Q35" s="1065">
        <f>ROUND(('Wind speed'!L46/'Wind speed'!$D$30)^2,2)</f>
        <v>1.59</v>
      </c>
      <c r="R35" s="1065">
        <f>ROUND(('Wind speed'!M46/'Wind speed'!$D$30)^2,2)</f>
        <v>1.83</v>
      </c>
      <c r="S35" s="1065">
        <f>ROUND(('Wind speed'!N46/'Wind speed'!$D$30)^2,2)</f>
        <v>1.78</v>
      </c>
      <c r="T35" s="1065">
        <f>ROUND(('Wind speed'!O46/'Wind speed'!$D$30)^2,2)</f>
        <v>1.71</v>
      </c>
      <c r="U35" s="1065">
        <f>ROUND(('Wind speed'!P46/'Wind speed'!$D$30)^2,2)</f>
        <v>1.66</v>
      </c>
      <c r="V35" s="1065">
        <f>ROUND(('Wind speed'!Q46/'Wind speed'!$D$30)^2,2)</f>
        <v>1.59</v>
      </c>
      <c r="W35" s="1065">
        <f>ROUND(('Wind speed'!R46/'Wind speed'!$D$30)^2,2)</f>
        <v>1.63</v>
      </c>
      <c r="X35" s="1065">
        <f>ROUND(('Wind speed'!S46/'Wind speed'!$D$30)^2,2)</f>
        <v>1.64</v>
      </c>
      <c r="Y35" s="1065">
        <f>ROUND(('Wind speed'!T46/'Wind speed'!$D$30)^2,2)</f>
        <v>0</v>
      </c>
      <c r="Z35" s="1065">
        <f>ROUND(('Wind speed'!U46/'Wind speed'!$D$30)^2,2)</f>
        <v>0</v>
      </c>
      <c r="AA35" s="1065">
        <f>ROUND(('Wind speed'!V46/'Wind speed'!$D$30)^2,2)</f>
        <v>0</v>
      </c>
      <c r="AB35" s="1065">
        <f>ROUND(('Wind speed'!W46/'Wind speed'!$D$30)^2,2)</f>
        <v>0</v>
      </c>
    </row>
    <row r="36" spans="1:39" x14ac:dyDescent="0.2">
      <c r="G36" s="501" t="s">
        <v>819</v>
      </c>
      <c r="H36" s="1065">
        <f>ROUND(2.01*(D6/700)^(2/11.5),2)</f>
        <v>1.95</v>
      </c>
      <c r="I36" s="1180">
        <f>ROUND(2.01*(D6/900)^(2/9.5),2)</f>
        <v>1.84</v>
      </c>
      <c r="J36" s="1181" t="s">
        <v>820</v>
      </c>
      <c r="K36" s="1065">
        <f>ROUND(2.01*(D6/1200)^(2/7),2)</f>
        <v>1.64</v>
      </c>
      <c r="L36" s="1065">
        <f>ROUND(2.01*(D6/1500)^(2/5),2)</f>
        <v>1.39</v>
      </c>
      <c r="N36" s="278"/>
      <c r="O36" s="278"/>
      <c r="P36" s="278"/>
      <c r="Q36" s="278"/>
      <c r="R36" s="278"/>
      <c r="S36" s="278"/>
      <c r="T36" s="278"/>
      <c r="U36" s="278"/>
      <c r="V36" s="278"/>
      <c r="W36" s="278"/>
      <c r="X36" s="278"/>
      <c r="Y36" s="278"/>
      <c r="Z36" s="278"/>
      <c r="AA36" s="278"/>
      <c r="AB36" s="278"/>
    </row>
    <row r="37" spans="1:39" x14ac:dyDescent="0.2">
      <c r="C37" s="58" t="s">
        <v>211</v>
      </c>
      <c r="D37" t="s">
        <v>250</v>
      </c>
      <c r="N37" s="282"/>
      <c r="O37" s="282"/>
      <c r="P37" s="282"/>
      <c r="Q37" s="282"/>
      <c r="R37" s="282"/>
      <c r="S37" s="282"/>
      <c r="T37" s="282"/>
      <c r="U37" s="282"/>
      <c r="V37" s="282"/>
      <c r="W37" s="282"/>
      <c r="X37" s="282"/>
      <c r="Y37" s="282"/>
      <c r="Z37" s="282"/>
      <c r="AA37" s="282"/>
      <c r="AB37" s="282"/>
    </row>
    <row r="38" spans="1:39" x14ac:dyDescent="0.2">
      <c r="N38" s="166"/>
      <c r="O38" s="282"/>
      <c r="P38" s="282"/>
      <c r="Q38" s="282"/>
      <c r="R38" s="282"/>
      <c r="S38" s="282"/>
      <c r="T38" s="282"/>
      <c r="U38" s="282"/>
      <c r="V38" s="282"/>
      <c r="W38" s="282"/>
      <c r="X38" s="282"/>
      <c r="Y38" s="282"/>
      <c r="Z38" s="282"/>
      <c r="AA38" s="282"/>
      <c r="AB38" s="282"/>
    </row>
    <row r="39" spans="1:39" x14ac:dyDescent="0.2">
      <c r="N39" s="166"/>
      <c r="O39" s="282"/>
      <c r="P39" s="282"/>
      <c r="Q39" s="282"/>
      <c r="R39" s="282"/>
      <c r="S39" s="282"/>
      <c r="T39" s="282"/>
      <c r="U39" s="282"/>
      <c r="V39" s="282"/>
      <c r="W39" s="282"/>
      <c r="X39" s="282"/>
      <c r="Y39" s="282"/>
      <c r="Z39" s="282"/>
      <c r="AA39" s="282"/>
      <c r="AB39" s="282"/>
    </row>
    <row r="40" spans="1:39" x14ac:dyDescent="0.2">
      <c r="N40" s="282"/>
      <c r="O40" s="282"/>
      <c r="P40" s="282"/>
      <c r="Q40" s="282"/>
      <c r="R40" s="282"/>
      <c r="S40" s="282"/>
      <c r="T40" s="282"/>
      <c r="U40" s="282"/>
      <c r="V40" s="282"/>
      <c r="W40" s="282"/>
      <c r="X40" s="282"/>
      <c r="Y40" s="282"/>
      <c r="Z40" s="282"/>
      <c r="AA40" s="282"/>
      <c r="AB40" s="282"/>
    </row>
    <row r="42" spans="1:39" x14ac:dyDescent="0.2">
      <c r="N42" s="282"/>
      <c r="O42" s="282"/>
      <c r="P42" s="282"/>
      <c r="Q42" s="282"/>
      <c r="R42" s="282"/>
      <c r="S42" s="282"/>
      <c r="T42" s="282"/>
      <c r="U42" s="282"/>
      <c r="V42" s="282"/>
      <c r="W42" s="282"/>
      <c r="X42" s="282"/>
      <c r="Y42" s="282"/>
      <c r="Z42" s="282"/>
      <c r="AA42" s="282"/>
      <c r="AB42" s="282"/>
    </row>
    <row r="43" spans="1:39" x14ac:dyDescent="0.2">
      <c r="N43" s="282"/>
      <c r="O43" s="282"/>
      <c r="P43" s="282"/>
      <c r="Q43" s="282"/>
      <c r="R43" s="282"/>
      <c r="S43" s="282"/>
      <c r="T43" s="282"/>
      <c r="U43" s="282"/>
      <c r="V43" s="282"/>
      <c r="W43" s="282"/>
      <c r="X43" s="282"/>
      <c r="Y43" s="282"/>
      <c r="Z43" s="282"/>
      <c r="AA43" s="282"/>
      <c r="AB43" s="282"/>
    </row>
    <row r="44" spans="1:39" x14ac:dyDescent="0.2">
      <c r="Q44" s="282"/>
      <c r="R44" s="282"/>
      <c r="S44" s="282"/>
      <c r="T44" s="282"/>
      <c r="U44" s="282"/>
      <c r="V44" s="282"/>
      <c r="W44" s="282"/>
      <c r="X44" s="282"/>
      <c r="Y44" s="282"/>
      <c r="Z44" s="282"/>
      <c r="AA44" s="282"/>
      <c r="AB44" s="282"/>
    </row>
    <row r="45" spans="1:39" ht="18" x14ac:dyDescent="0.25">
      <c r="A45" s="498"/>
      <c r="B45" s="515" t="s">
        <v>397</v>
      </c>
      <c r="C45" s="498">
        <v>1</v>
      </c>
      <c r="G45" s="1004" t="s">
        <v>790</v>
      </c>
      <c r="H45" s="1166">
        <f ca="1">'Profile Data'!BP30</f>
        <v>9.9898490403745349E-2</v>
      </c>
      <c r="I45" s="1166">
        <f ca="1">'Profile Data'!BR30</f>
        <v>0.14300745874630505</v>
      </c>
      <c r="J45" s="1166">
        <f ca="1">'Profile Data'!BT30</f>
        <v>0.1795677290108281</v>
      </c>
      <c r="K45" s="1166">
        <f ca="1">'Profile Data'!BV30</f>
        <v>0.22421735382511931</v>
      </c>
      <c r="L45" s="1166">
        <f ca="1">'Profile Data'!BZ30</f>
        <v>0.2793749348817216</v>
      </c>
      <c r="M45" s="367" t="str">
        <f>M12</f>
        <v>10-30</v>
      </c>
      <c r="N45" s="367" t="str">
        <f t="shared" ref="N45:AB45" si="4">N12</f>
        <v>40-60</v>
      </c>
      <c r="O45" s="367" t="str">
        <f t="shared" si="4"/>
        <v>70-90</v>
      </c>
      <c r="P45" s="367" t="str">
        <f t="shared" si="4"/>
        <v>100-120</v>
      </c>
      <c r="Q45" s="367" t="str">
        <f t="shared" si="4"/>
        <v>130-150</v>
      </c>
      <c r="R45" s="367" t="str">
        <f t="shared" si="4"/>
        <v>160-180.</v>
      </c>
      <c r="S45" s="367" t="str">
        <f t="shared" si="4"/>
        <v>190-210</v>
      </c>
      <c r="T45" s="367" t="str">
        <f t="shared" si="4"/>
        <v>220-240</v>
      </c>
      <c r="U45" s="367" t="str">
        <f t="shared" si="4"/>
        <v>250-270</v>
      </c>
      <c r="V45" s="367" t="str">
        <f t="shared" si="4"/>
        <v>280-300</v>
      </c>
      <c r="W45" s="367" t="str">
        <f t="shared" si="4"/>
        <v>310-330</v>
      </c>
      <c r="X45" s="367" t="str">
        <f t="shared" si="4"/>
        <v>340-360</v>
      </c>
      <c r="Y45" s="367">
        <f t="shared" si="4"/>
        <v>0</v>
      </c>
      <c r="Z45" s="367">
        <f t="shared" si="4"/>
        <v>0</v>
      </c>
      <c r="AA45" s="367">
        <f t="shared" si="4"/>
        <v>0</v>
      </c>
      <c r="AB45" s="367">
        <f t="shared" si="4"/>
        <v>0</v>
      </c>
    </row>
    <row r="46" spans="1:39" ht="15.75" thickBot="1" x14ac:dyDescent="0.3">
      <c r="B46" s="276"/>
      <c r="C46" s="366"/>
      <c r="D46" s="381" t="s">
        <v>198</v>
      </c>
      <c r="E46" s="465" t="s">
        <v>336</v>
      </c>
      <c r="F46" s="465" t="s">
        <v>394</v>
      </c>
      <c r="G46" s="364"/>
      <c r="H46" s="367" t="s">
        <v>203</v>
      </c>
      <c r="I46" s="367" t="s">
        <v>204</v>
      </c>
      <c r="J46" s="390" t="s">
        <v>205</v>
      </c>
      <c r="K46" s="367" t="s">
        <v>206</v>
      </c>
      <c r="L46" s="367" t="s">
        <v>207</v>
      </c>
      <c r="M46" s="367" t="s">
        <v>266</v>
      </c>
      <c r="N46" s="367" t="s">
        <v>267</v>
      </c>
      <c r="O46" s="367" t="s">
        <v>268</v>
      </c>
      <c r="P46" s="367" t="s">
        <v>269</v>
      </c>
      <c r="Q46" s="367" t="s">
        <v>270</v>
      </c>
      <c r="R46" s="367" t="s">
        <v>271</v>
      </c>
      <c r="S46" s="367" t="s">
        <v>272</v>
      </c>
      <c r="T46" s="367" t="s">
        <v>273</v>
      </c>
      <c r="U46" s="367" t="s">
        <v>274</v>
      </c>
      <c r="V46" s="367" t="s">
        <v>275</v>
      </c>
      <c r="W46" s="367" t="s">
        <v>276</v>
      </c>
      <c r="X46" s="367" t="s">
        <v>277</v>
      </c>
      <c r="Y46" s="367" t="s">
        <v>278</v>
      </c>
      <c r="Z46" s="367" t="s">
        <v>279</v>
      </c>
      <c r="AA46" s="367" t="s">
        <v>280</v>
      </c>
      <c r="AB46" s="484" t="s">
        <v>297</v>
      </c>
      <c r="AC46" s="364"/>
      <c r="AK46" s="367" t="s">
        <v>213</v>
      </c>
    </row>
    <row r="47" spans="1:39" ht="15.75" thickBot="1" x14ac:dyDescent="0.3">
      <c r="A47" s="494"/>
      <c r="B47" s="502" t="str">
        <f ca="1">'Profile Data'!BP5</f>
        <v>Openwater A24LE</v>
      </c>
      <c r="C47" s="325">
        <f ca="1">INDEX('Profile Data'!$W$41:$AV$41,1,G47*2+1)/$C$45</f>
        <v>0.85537872869016185</v>
      </c>
      <c r="D47" s="380">
        <f ca="1">INDEX('Profile Data'!$W$41:$AV$41,1,G47*2+2)</f>
        <v>9.5722908464566908E-2</v>
      </c>
      <c r="E47" s="465">
        <v>1</v>
      </c>
      <c r="F47" s="503">
        <f ca="1">+C47*(1+$D$33*D47*E47)*$D$12</f>
        <v>52.994707756614098</v>
      </c>
      <c r="G47" s="494">
        <v>0</v>
      </c>
      <c r="H47" s="382">
        <f t="shared" ref="H47:Q61" ca="1" si="5">+(H$32/$F47)^2</f>
        <v>0.98393710902202558</v>
      </c>
      <c r="I47" s="368">
        <f t="shared" ca="1" si="5"/>
        <v>0.91220250760527888</v>
      </c>
      <c r="J47" s="368">
        <f t="shared" ca="1" si="5"/>
        <v>0.81261572886722655</v>
      </c>
      <c r="K47" s="368">
        <f t="shared" ca="1" si="5"/>
        <v>0.73977072109487174</v>
      </c>
      <c r="L47" s="368">
        <f t="shared" ca="1" si="5"/>
        <v>0.63162855380637684</v>
      </c>
      <c r="M47" s="368">
        <f t="shared" ca="1" si="5"/>
        <v>0.98393710902202558</v>
      </c>
      <c r="N47" s="368">
        <f t="shared" ca="1" si="5"/>
        <v>0.91220250760527888</v>
      </c>
      <c r="O47" s="368">
        <f t="shared" ca="1" si="5"/>
        <v>0.81261572886722655</v>
      </c>
      <c r="P47" s="368">
        <f t="shared" ca="1" si="5"/>
        <v>0.73977072109487174</v>
      </c>
      <c r="Q47" s="368">
        <f t="shared" ca="1" si="5"/>
        <v>0.63162855380637684</v>
      </c>
      <c r="R47" s="368">
        <f t="shared" ref="R47:AB61" ca="1" si="6">+(R$32/$F47)^2</f>
        <v>0.98393710902202558</v>
      </c>
      <c r="S47" s="368">
        <f t="shared" ca="1" si="6"/>
        <v>0.91220250760527888</v>
      </c>
      <c r="T47" s="368">
        <f t="shared" ca="1" si="6"/>
        <v>0.81261572886722655</v>
      </c>
      <c r="U47" s="368">
        <f t="shared" ca="1" si="6"/>
        <v>0.73977072109487174</v>
      </c>
      <c r="V47" s="368">
        <f t="shared" ca="1" si="6"/>
        <v>0.63162855380637684</v>
      </c>
      <c r="W47" s="368">
        <f t="shared" ca="1" si="6"/>
        <v>0.67991459278414057</v>
      </c>
      <c r="X47" s="368">
        <f t="shared" ca="1" si="6"/>
        <v>0.72046165690152664</v>
      </c>
      <c r="Y47" s="368">
        <f t="shared" ca="1" si="6"/>
        <v>0</v>
      </c>
      <c r="Z47" s="368">
        <f t="shared" ca="1" si="6"/>
        <v>0</v>
      </c>
      <c r="AA47" s="368">
        <f t="shared" ca="1" si="6"/>
        <v>0</v>
      </c>
      <c r="AB47" s="481">
        <f t="shared" ca="1" si="6"/>
        <v>0</v>
      </c>
      <c r="AC47">
        <v>23</v>
      </c>
      <c r="AE47" s="502" t="str">
        <f ca="1">B47</f>
        <v>Openwater A24LE</v>
      </c>
      <c r="AF47" s="325">
        <f ca="1">INDIRECT("'Profile Data'!"&amp;ADDRESS(42,AC47))</f>
        <v>0.89212540672859564</v>
      </c>
      <c r="AG47" s="380">
        <f ca="1">INDIRECT("'Profile Data'!"&amp;ADDRESS(42,AC47+1))</f>
        <v>8.3965188374999986E-2</v>
      </c>
      <c r="AH47" s="480">
        <f ca="1">+AF47*(1+3*AG47)*$D$12</f>
        <v>60.506196838119074</v>
      </c>
      <c r="AK47" s="368">
        <f ca="1">+(AK$32/$AH47)^2</f>
        <v>0.95522879513881975</v>
      </c>
    </row>
    <row r="48" spans="1:39" ht="15.75" thickBot="1" x14ac:dyDescent="0.3">
      <c r="A48" s="394"/>
      <c r="B48" s="395" t="str">
        <f ca="1">'Profile Data'!BR5</f>
        <v>Open A24LE</v>
      </c>
      <c r="C48" s="325">
        <f ca="1">INDEX('Profile Data'!$W$41:$AV$41,1,G48*2+1)/$C$45</f>
        <v>0.7989393763578011</v>
      </c>
      <c r="D48" s="380">
        <f ca="1">INDEX('Profile Data'!$W$41:$AV$41,1,G48*2+2)</f>
        <v>0.11976419783464566</v>
      </c>
      <c r="E48" s="465">
        <v>1</v>
      </c>
      <c r="F48" s="503">
        <f ca="1">+C48*(1+$D$33*D48*E48)*$D$12</f>
        <v>51.058903274244287</v>
      </c>
      <c r="G48" s="364">
        <v>1</v>
      </c>
      <c r="H48" s="368">
        <f t="shared" ca="1" si="5"/>
        <v>1.0599597624132295</v>
      </c>
      <c r="I48" s="382">
        <f t="shared" ca="1" si="5"/>
        <v>0.98268267795599484</v>
      </c>
      <c r="J48" s="368">
        <f t="shared" ca="1" si="5"/>
        <v>0.87540145300493755</v>
      </c>
      <c r="K48" s="368">
        <f t="shared" ca="1" si="5"/>
        <v>0.79692816805269107</v>
      </c>
      <c r="L48" s="368">
        <f t="shared" ca="1" si="5"/>
        <v>0.68043053330051007</v>
      </c>
      <c r="M48" s="368">
        <f t="shared" ca="1" si="5"/>
        <v>1.0599597624132295</v>
      </c>
      <c r="N48" s="368">
        <f t="shared" ca="1" si="5"/>
        <v>0.98268267795599484</v>
      </c>
      <c r="O48" s="368">
        <f t="shared" ca="1" si="5"/>
        <v>0.87540145300493755</v>
      </c>
      <c r="P48" s="368">
        <f t="shared" ca="1" si="5"/>
        <v>0.79692816805269107</v>
      </c>
      <c r="Q48" s="368">
        <f t="shared" ca="1" si="5"/>
        <v>0.68043053330051007</v>
      </c>
      <c r="R48" s="368">
        <f t="shared" ca="1" si="6"/>
        <v>1.0599597624132295</v>
      </c>
      <c r="S48" s="368">
        <f t="shared" ca="1" si="6"/>
        <v>0.98268267795599484</v>
      </c>
      <c r="T48" s="368">
        <f t="shared" ca="1" si="6"/>
        <v>0.87540145300493755</v>
      </c>
      <c r="U48" s="368">
        <f t="shared" ca="1" si="6"/>
        <v>0.79692816805269107</v>
      </c>
      <c r="V48" s="368">
        <f t="shared" ca="1" si="6"/>
        <v>0.68043053330051007</v>
      </c>
      <c r="W48" s="368">
        <f t="shared" ca="1" si="6"/>
        <v>0.73244733186766398</v>
      </c>
      <c r="X48" s="368">
        <f t="shared" ca="1" si="6"/>
        <v>0.77612721349255387</v>
      </c>
      <c r="Y48" s="368">
        <f t="shared" ca="1" si="6"/>
        <v>0</v>
      </c>
      <c r="Z48" s="368">
        <f t="shared" ca="1" si="6"/>
        <v>0</v>
      </c>
      <c r="AA48" s="368">
        <f t="shared" ca="1" si="6"/>
        <v>0</v>
      </c>
      <c r="AB48" s="368">
        <f t="shared" ca="1" si="6"/>
        <v>0</v>
      </c>
      <c r="AC48">
        <f>AC47+2</f>
        <v>25</v>
      </c>
      <c r="AE48" s="514" t="str">
        <f ca="1">B48</f>
        <v>Open A24LE</v>
      </c>
      <c r="AF48" s="325">
        <f ca="1">INDIRECT("'Profile Data'!"&amp;ADDRESS(42,AC48))</f>
        <v>0.84312888649928941</v>
      </c>
      <c r="AG48" s="380">
        <f t="shared" ref="AG48:AG59" ca="1" si="7">INDIRECT("'Profile Data'!"&amp;ADDRESS(42,AC48+1))</f>
        <v>0.1081300508125</v>
      </c>
      <c r="AH48" s="480">
        <f t="shared" ref="AH48:AH59" ca="1" si="8">+AF48*(1+3*AG48)*$D$12</f>
        <v>60.494481540262946</v>
      </c>
      <c r="AK48" s="416">
        <f ca="1">+I48</f>
        <v>0.98268267795599484</v>
      </c>
      <c r="AL48" s="368">
        <f ca="1">+(AK$32/$AH48)^2</f>
        <v>0.95559880817700638</v>
      </c>
      <c r="AM48" t="s">
        <v>347</v>
      </c>
    </row>
    <row r="49" spans="1:37" ht="15.75" thickBot="1" x14ac:dyDescent="0.3">
      <c r="A49" s="494"/>
      <c r="B49" s="502" t="str">
        <f ca="1">'Profile Data'!BT5</f>
        <v>Opsub A24LE</v>
      </c>
      <c r="C49" s="325">
        <f ca="1">INDEX('Profile Data'!$W$41:$AV$41,1,G49*2+1)/$C$45</f>
        <v>0.74552962004366241</v>
      </c>
      <c r="D49" s="380">
        <f ca="1">INDEX('Profile Data'!$W$41:$AV$41,1,G49*2+2)</f>
        <v>0.15245989993438325</v>
      </c>
      <c r="E49" s="465">
        <v>1</v>
      </c>
      <c r="F49" s="503">
        <f ca="1">+C49*(1+$D$33*D49*E49)*$D$12</f>
        <v>49.62642843197554</v>
      </c>
      <c r="G49" s="494">
        <v>2</v>
      </c>
      <c r="H49" s="368">
        <f t="shared" ca="1" si="5"/>
        <v>1.122034736461363</v>
      </c>
      <c r="I49" s="368">
        <f t="shared" ca="1" si="5"/>
        <v>1.0402320339738012</v>
      </c>
      <c r="J49" s="382">
        <f t="shared" ca="1" si="5"/>
        <v>0.92666804293025862</v>
      </c>
      <c r="K49" s="368">
        <f t="shared" ca="1" si="5"/>
        <v>0.8435990862368582</v>
      </c>
      <c r="L49" s="368">
        <f t="shared" ca="1" si="5"/>
        <v>0.7202789399985372</v>
      </c>
      <c r="M49" s="368">
        <f t="shared" ca="1" si="5"/>
        <v>1.122034736461363</v>
      </c>
      <c r="N49" s="368">
        <f t="shared" ca="1" si="5"/>
        <v>1.0402320339738012</v>
      </c>
      <c r="O49" s="368">
        <f t="shared" ca="1" si="5"/>
        <v>0.92666804293025862</v>
      </c>
      <c r="P49" s="368">
        <f t="shared" ca="1" si="5"/>
        <v>0.8435990862368582</v>
      </c>
      <c r="Q49" s="368">
        <f t="shared" ca="1" si="5"/>
        <v>0.7202789399985372</v>
      </c>
      <c r="R49" s="368">
        <f t="shared" ca="1" si="6"/>
        <v>1.122034736461363</v>
      </c>
      <c r="S49" s="368">
        <f t="shared" ca="1" si="6"/>
        <v>1.0402320339738012</v>
      </c>
      <c r="T49" s="368">
        <f t="shared" ca="1" si="6"/>
        <v>0.92666804293025862</v>
      </c>
      <c r="U49" s="368">
        <f t="shared" ca="1" si="6"/>
        <v>0.8435990862368582</v>
      </c>
      <c r="V49" s="368">
        <f t="shared" ca="1" si="6"/>
        <v>0.7202789399985372</v>
      </c>
      <c r="W49" s="368">
        <f t="shared" ca="1" si="6"/>
        <v>0.77534202535470254</v>
      </c>
      <c r="X49" s="368">
        <f t="shared" ca="1" si="6"/>
        <v>0.8215799545720005</v>
      </c>
      <c r="Y49" s="368">
        <f t="shared" ca="1" si="6"/>
        <v>0</v>
      </c>
      <c r="Z49" s="368">
        <f t="shared" ca="1" si="6"/>
        <v>0</v>
      </c>
      <c r="AA49" s="368">
        <f t="shared" ca="1" si="6"/>
        <v>0</v>
      </c>
      <c r="AB49" s="368">
        <f t="shared" ca="1" si="6"/>
        <v>0</v>
      </c>
      <c r="AC49">
        <f t="shared" ref="AC49:AC61" si="9">AC48+2</f>
        <v>27</v>
      </c>
      <c r="AE49" s="514" t="str">
        <f ca="1">B49</f>
        <v>Opsub A24LE</v>
      </c>
      <c r="AF49" s="325">
        <f t="shared" ref="AF49:AF59" ca="1" si="10">INDIRECT("'Profile Data'!"&amp;ADDRESS(42,AC49))</f>
        <v>0.79466622194179259</v>
      </c>
      <c r="AG49" s="380">
        <f t="shared" ca="1" si="7"/>
        <v>0.13735828507916664</v>
      </c>
      <c r="AH49" s="480">
        <f t="shared" ca="1" si="8"/>
        <v>60.792264367211772</v>
      </c>
      <c r="AK49" s="368">
        <f ca="1">+(AK$32/$AH49)^2</f>
        <v>0.94625998931333766</v>
      </c>
    </row>
    <row r="50" spans="1:37" ht="15.75" thickBot="1" x14ac:dyDescent="0.3">
      <c r="A50" s="394"/>
      <c r="B50" s="395" t="str">
        <f ca="1">'Profile Data'!BV5</f>
        <v>Suburban A24LE</v>
      </c>
      <c r="C50" s="325">
        <f ca="1">INDEX('Profile Data'!$W$41:$AV$41,1,G50*2+1)/$C$45</f>
        <v>0.68292863240363244</v>
      </c>
      <c r="D50" s="380">
        <f ca="1">INDEX('Profile Data'!$W$41:$AV$41,1,G50*2+2)</f>
        <v>0.18028681649168851</v>
      </c>
      <c r="E50" s="465">
        <v>1</v>
      </c>
      <c r="F50" s="503">
        <f ca="1">+C50*(1+$D$33*D50*E50)*$D$12</f>
        <v>47.003693531556188</v>
      </c>
      <c r="G50" s="364">
        <v>3</v>
      </c>
      <c r="H50" s="368">
        <f t="shared" ca="1" si="5"/>
        <v>1.2507438364202776</v>
      </c>
      <c r="I50" s="368">
        <f t="shared" ca="1" si="5"/>
        <v>1.1595575098173114</v>
      </c>
      <c r="J50" s="368">
        <f t="shared" ca="1" si="5"/>
        <v>1.0329665432265995</v>
      </c>
      <c r="K50" s="382">
        <f t="shared" ca="1" si="5"/>
        <v>0.94036870983883503</v>
      </c>
      <c r="L50" s="368">
        <f t="shared" ca="1" si="5"/>
        <v>0.80290245518394732</v>
      </c>
      <c r="M50" s="368">
        <f t="shared" ca="1" si="5"/>
        <v>1.2507438364202776</v>
      </c>
      <c r="N50" s="368">
        <f t="shared" ca="1" si="5"/>
        <v>1.1595575098173114</v>
      </c>
      <c r="O50" s="368">
        <f t="shared" ca="1" si="5"/>
        <v>1.0329665432265995</v>
      </c>
      <c r="P50" s="368">
        <f t="shared" ca="1" si="5"/>
        <v>0.94036870983883503</v>
      </c>
      <c r="Q50" s="368">
        <f t="shared" ca="1" si="5"/>
        <v>0.80290245518394732</v>
      </c>
      <c r="R50" s="368">
        <f t="shared" ca="1" si="6"/>
        <v>1.2507438364202776</v>
      </c>
      <c r="S50" s="368">
        <f t="shared" ca="1" si="6"/>
        <v>1.1595575098173114</v>
      </c>
      <c r="T50" s="368">
        <f t="shared" ca="1" si="6"/>
        <v>1.0329665432265995</v>
      </c>
      <c r="U50" s="368">
        <f t="shared" ca="1" si="6"/>
        <v>0.94036870983883503</v>
      </c>
      <c r="V50" s="368">
        <f t="shared" ca="1" si="6"/>
        <v>0.80290245518394732</v>
      </c>
      <c r="W50" s="368">
        <f t="shared" ca="1" si="6"/>
        <v>0.86428185136976132</v>
      </c>
      <c r="X50" s="368">
        <f t="shared" ca="1" si="6"/>
        <v>0.91582375386001824</v>
      </c>
      <c r="Y50" s="368">
        <f t="shared" ca="1" si="6"/>
        <v>0</v>
      </c>
      <c r="Z50" s="368">
        <f t="shared" ca="1" si="6"/>
        <v>0</v>
      </c>
      <c r="AA50" s="368">
        <f t="shared" ca="1" si="6"/>
        <v>0</v>
      </c>
      <c r="AB50" s="368">
        <f t="shared" ca="1" si="6"/>
        <v>0</v>
      </c>
      <c r="AC50">
        <f t="shared" si="9"/>
        <v>29</v>
      </c>
      <c r="AE50" s="514" t="str">
        <f ca="1">B50</f>
        <v>Suburban A24LE</v>
      </c>
      <c r="AF50" s="325">
        <f t="shared" ca="1" si="10"/>
        <v>0.74246128653316523</v>
      </c>
      <c r="AG50" s="380">
        <f ca="1">INDIRECT("'Profile Data'!"&amp;ADDRESS(42,AC50+1))</f>
        <v>0.16359747458333332</v>
      </c>
      <c r="AH50" s="480">
        <f t="shared" ca="1" si="8"/>
        <v>59.964861888574163</v>
      </c>
      <c r="AK50" s="368">
        <f ca="1">+(AK$32/$AH50)^2</f>
        <v>0.97255336752901822</v>
      </c>
    </row>
    <row r="51" spans="1:37" ht="15.75" thickBot="1" x14ac:dyDescent="0.3">
      <c r="A51" s="494"/>
      <c r="B51" s="502" t="str">
        <f ca="1">'Profile Data'!BX$5</f>
        <v>Light Urban A24LE</v>
      </c>
      <c r="C51" s="325">
        <f ca="1">INDEX('Profile Data'!$W$41:$AV$41,1,G51*2+1)/$C$45</f>
        <v>0.66216998108328229</v>
      </c>
      <c r="D51" s="380">
        <f ca="1">INDEX('Profile Data'!$W$41:$AV$41,1,G51*2+2)</f>
        <v>0.20670500738188974</v>
      </c>
      <c r="E51" s="465">
        <v>1</v>
      </c>
      <c r="F51" s="503">
        <f ca="1">+C51*(1+$D$33*D51*E51)*$D$12</f>
        <v>46.996519638438699</v>
      </c>
      <c r="G51" s="494">
        <v>4</v>
      </c>
      <c r="H51" s="368">
        <f t="shared" ca="1" si="5"/>
        <v>1.2511257109717728</v>
      </c>
      <c r="I51" s="368">
        <f t="shared" ca="1" si="5"/>
        <v>1.1599115435459613</v>
      </c>
      <c r="J51" s="368">
        <f t="shared" ca="1" si="5"/>
        <v>1.0332819264600939</v>
      </c>
      <c r="K51" s="368">
        <f t="shared" ca="1" si="5"/>
        <v>0.94065582129111869</v>
      </c>
      <c r="L51" s="382">
        <f t="shared" ca="1" si="5"/>
        <v>0.80314759572035399</v>
      </c>
      <c r="M51" s="368">
        <f t="shared" ca="1" si="5"/>
        <v>1.2511257109717728</v>
      </c>
      <c r="N51" s="368">
        <f t="shared" ca="1" si="5"/>
        <v>1.1599115435459613</v>
      </c>
      <c r="O51" s="368">
        <f t="shared" ca="1" si="5"/>
        <v>1.0332819264600939</v>
      </c>
      <c r="P51" s="368">
        <f t="shared" ca="1" si="5"/>
        <v>0.94065582129111869</v>
      </c>
      <c r="Q51" s="368">
        <f t="shared" ca="1" si="5"/>
        <v>0.80314759572035399</v>
      </c>
      <c r="R51" s="368">
        <f t="shared" ca="1" si="6"/>
        <v>1.2511257109717728</v>
      </c>
      <c r="S51" s="368">
        <f t="shared" ca="1" si="6"/>
        <v>1.1599115435459613</v>
      </c>
      <c r="T51" s="368">
        <f t="shared" ca="1" si="6"/>
        <v>1.0332819264600939</v>
      </c>
      <c r="U51" s="368">
        <f t="shared" ca="1" si="6"/>
        <v>0.94065582129111869</v>
      </c>
      <c r="V51" s="368">
        <f t="shared" ca="1" si="6"/>
        <v>0.80314759572035399</v>
      </c>
      <c r="W51" s="368">
        <f t="shared" ca="1" si="6"/>
        <v>0.86454573213794617</v>
      </c>
      <c r="X51" s="368">
        <f t="shared" ca="1" si="6"/>
        <v>0.91610337129651465</v>
      </c>
      <c r="Y51" s="368">
        <f t="shared" ca="1" si="6"/>
        <v>0</v>
      </c>
      <c r="Z51" s="368">
        <f t="shared" ca="1" si="6"/>
        <v>0</v>
      </c>
      <c r="AA51" s="368">
        <f t="shared" ca="1" si="6"/>
        <v>0</v>
      </c>
      <c r="AB51" s="368">
        <f t="shared" ca="1" si="6"/>
        <v>0</v>
      </c>
      <c r="AC51">
        <f t="shared" si="9"/>
        <v>31</v>
      </c>
      <c r="AE51" s="514" t="str">
        <f ca="1">B51</f>
        <v>Light Urban A24LE</v>
      </c>
      <c r="AF51" s="325">
        <f t="shared" ca="1" si="10"/>
        <v>0.73760327287260918</v>
      </c>
      <c r="AG51" s="380">
        <f t="shared" ca="1" si="7"/>
        <v>0.18621365875000001</v>
      </c>
      <c r="AH51" s="480">
        <f t="shared" ca="1" si="8"/>
        <v>62.283752723837942</v>
      </c>
      <c r="AK51" s="368">
        <f ca="1">+(AK$32/$AH51)^2</f>
        <v>0.90148306753430829</v>
      </c>
    </row>
    <row r="52" spans="1:37" ht="15.75" thickBot="1" x14ac:dyDescent="0.3">
      <c r="A52" s="394"/>
      <c r="B52" s="395" t="str">
        <f ca="1">'Profile Data'!BZ$5</f>
        <v>Urban A24LE</v>
      </c>
      <c r="C52" s="325">
        <f ca="1">INDEX('Profile Data'!$W$41:$AV$41,1,G52*2+1)/$C$45</f>
        <v>0.63281169329142495</v>
      </c>
      <c r="D52" s="380">
        <f ca="1">INDEX('Profile Data'!$W$41:$AV$41,1,G52*2+2)</f>
        <v>0.22746968503937004</v>
      </c>
      <c r="E52" s="465">
        <v>1</v>
      </c>
      <c r="F52" s="503">
        <f t="shared" ref="F52:F59" ca="1" si="11">+C52*(1+$D$33*D52*E52)*$D$12</f>
        <v>45.980676180506023</v>
      </c>
      <c r="G52" s="364">
        <v>5</v>
      </c>
      <c r="H52" s="368">
        <f t="shared" ca="1" si="5"/>
        <v>1.3070182030179003</v>
      </c>
      <c r="I52" s="368">
        <f t="shared" ca="1" si="5"/>
        <v>1.2117291555999088</v>
      </c>
      <c r="J52" s="368">
        <f t="shared" ca="1" si="5"/>
        <v>1.0794425171582267</v>
      </c>
      <c r="K52" s="368">
        <f t="shared" ca="1" si="5"/>
        <v>0.98267845542659737</v>
      </c>
      <c r="L52" s="368">
        <f t="shared" ca="1" si="5"/>
        <v>0.83902722013539355</v>
      </c>
      <c r="M52" s="368">
        <f t="shared" ca="1" si="5"/>
        <v>1.3070182030179003</v>
      </c>
      <c r="N52" s="368">
        <f t="shared" ca="1" si="5"/>
        <v>1.2117291555999088</v>
      </c>
      <c r="O52" s="368">
        <f t="shared" ca="1" si="5"/>
        <v>1.0794425171582267</v>
      </c>
      <c r="P52" s="368">
        <f t="shared" ca="1" si="5"/>
        <v>0.98267845542659737</v>
      </c>
      <c r="Q52" s="368">
        <f t="shared" ca="1" si="5"/>
        <v>0.83902722013539355</v>
      </c>
      <c r="R52" s="368">
        <f t="shared" ca="1" si="6"/>
        <v>1.3070182030179003</v>
      </c>
      <c r="S52" s="368">
        <f t="shared" ca="1" si="6"/>
        <v>1.2117291555999088</v>
      </c>
      <c r="T52" s="368">
        <f t="shared" ca="1" si="6"/>
        <v>1.0794425171582267</v>
      </c>
      <c r="U52" s="368">
        <f t="shared" ca="1" si="6"/>
        <v>0.98267845542659737</v>
      </c>
      <c r="V52" s="368">
        <f t="shared" ca="1" si="6"/>
        <v>0.83902722013539355</v>
      </c>
      <c r="W52" s="368">
        <f t="shared" ca="1" si="6"/>
        <v>0.90316824227683656</v>
      </c>
      <c r="X52" s="368">
        <f t="shared" ca="1" si="6"/>
        <v>0.95702915512830133</v>
      </c>
      <c r="Y52" s="368">
        <f t="shared" ca="1" si="6"/>
        <v>0</v>
      </c>
      <c r="Z52" s="368">
        <f t="shared" ca="1" si="6"/>
        <v>0</v>
      </c>
      <c r="AA52" s="368">
        <f t="shared" ca="1" si="6"/>
        <v>0</v>
      </c>
      <c r="AB52" s="368">
        <f t="shared" ca="1" si="6"/>
        <v>0</v>
      </c>
      <c r="AC52">
        <f t="shared" si="9"/>
        <v>33</v>
      </c>
      <c r="AE52" s="514" t="str">
        <f t="shared" ref="AE52:AE60" ca="1" si="12">B52</f>
        <v>Urban A24LE</v>
      </c>
      <c r="AF52" s="325">
        <f t="shared" ca="1" si="10"/>
        <v>0.70161947530864199</v>
      </c>
      <c r="AG52" s="380">
        <f t="shared" ca="1" si="7"/>
        <v>0.21155250999999997</v>
      </c>
      <c r="AH52" s="480">
        <f t="shared" ca="1" si="8"/>
        <v>62.134708051732161</v>
      </c>
      <c r="AK52" s="368">
        <f t="shared" ref="AK52:AK61" ca="1" si="13">+(AK$32/$AH52)^2</f>
        <v>0.9058130917965268</v>
      </c>
    </row>
    <row r="53" spans="1:37" ht="15.75" thickBot="1" x14ac:dyDescent="0.3">
      <c r="A53" s="494"/>
      <c r="B53" s="502" t="e">
        <f ca="1">'Profile Data'!CB$5</f>
        <v>#REF!</v>
      </c>
      <c r="C53" s="325" t="e">
        <f ca="1">INDEX('Profile Data'!$W$41:$AV$41,1,G53*2+1)/$C$45</f>
        <v>#VALUE!</v>
      </c>
      <c r="D53" s="380" t="e">
        <f ca="1">INDEX('Profile Data'!$W$41:$AV$41,1,G53*2+2)</f>
        <v>#VALUE!</v>
      </c>
      <c r="E53" s="465">
        <v>1</v>
      </c>
      <c r="F53" s="503" t="e">
        <f t="shared" ca="1" si="11"/>
        <v>#VALUE!</v>
      </c>
      <c r="G53" s="494">
        <v>6</v>
      </c>
      <c r="H53" s="368" t="e">
        <f t="shared" ca="1" si="5"/>
        <v>#VALUE!</v>
      </c>
      <c r="I53" s="368" t="e">
        <f t="shared" ca="1" si="5"/>
        <v>#VALUE!</v>
      </c>
      <c r="J53" s="368" t="e">
        <f t="shared" ca="1" si="5"/>
        <v>#VALUE!</v>
      </c>
      <c r="K53" s="368" t="e">
        <f t="shared" ca="1" si="5"/>
        <v>#VALUE!</v>
      </c>
      <c r="L53" s="368" t="e">
        <f t="shared" ca="1" si="5"/>
        <v>#VALUE!</v>
      </c>
      <c r="M53" s="368" t="e">
        <f t="shared" ca="1" si="5"/>
        <v>#VALUE!</v>
      </c>
      <c r="N53" s="368" t="e">
        <f t="shared" ca="1" si="5"/>
        <v>#VALUE!</v>
      </c>
      <c r="O53" s="368" t="e">
        <f t="shared" ca="1" si="5"/>
        <v>#VALUE!</v>
      </c>
      <c r="P53" s="368" t="e">
        <f t="shared" ca="1" si="5"/>
        <v>#VALUE!</v>
      </c>
      <c r="Q53" s="368" t="e">
        <f t="shared" ca="1" si="5"/>
        <v>#VALUE!</v>
      </c>
      <c r="R53" s="368" t="e">
        <f t="shared" ca="1" si="6"/>
        <v>#VALUE!</v>
      </c>
      <c r="S53" s="368" t="e">
        <f t="shared" ca="1" si="6"/>
        <v>#VALUE!</v>
      </c>
      <c r="T53" s="368" t="e">
        <f t="shared" ca="1" si="6"/>
        <v>#VALUE!</v>
      </c>
      <c r="U53" s="368" t="e">
        <f t="shared" ca="1" si="6"/>
        <v>#VALUE!</v>
      </c>
      <c r="V53" s="368" t="e">
        <f t="shared" ca="1" si="6"/>
        <v>#VALUE!</v>
      </c>
      <c r="W53" s="368" t="e">
        <f t="shared" ca="1" si="6"/>
        <v>#VALUE!</v>
      </c>
      <c r="X53" s="368" t="e">
        <f t="shared" ca="1" si="6"/>
        <v>#VALUE!</v>
      </c>
      <c r="Y53" s="368" t="e">
        <f t="shared" ca="1" si="6"/>
        <v>#VALUE!</v>
      </c>
      <c r="Z53" s="368" t="e">
        <f t="shared" ca="1" si="6"/>
        <v>#VALUE!</v>
      </c>
      <c r="AA53" s="368" t="e">
        <f t="shared" ca="1" si="6"/>
        <v>#VALUE!</v>
      </c>
      <c r="AB53" s="368" t="e">
        <f t="shared" ca="1" si="6"/>
        <v>#VALUE!</v>
      </c>
      <c r="AC53">
        <f t="shared" si="9"/>
        <v>35</v>
      </c>
      <c r="AE53" s="514" t="e">
        <f t="shared" ca="1" si="12"/>
        <v>#REF!</v>
      </c>
      <c r="AF53" s="325" t="e">
        <f t="shared" ca="1" si="10"/>
        <v>#VALUE!</v>
      </c>
      <c r="AG53" s="380" t="e">
        <f t="shared" ca="1" si="7"/>
        <v>#VALUE!</v>
      </c>
      <c r="AH53" s="480" t="e">
        <f t="shared" ca="1" si="8"/>
        <v>#VALUE!</v>
      </c>
      <c r="AK53" s="368" t="e">
        <f t="shared" ca="1" si="13"/>
        <v>#VALUE!</v>
      </c>
    </row>
    <row r="54" spans="1:37" ht="15.75" thickBot="1" x14ac:dyDescent="0.3">
      <c r="A54" s="394"/>
      <c r="B54" s="395" t="e">
        <f ca="1">'Profile Data'!CD$5</f>
        <v>#REF!</v>
      </c>
      <c r="C54" s="325" t="e">
        <f ca="1">INDEX('Profile Data'!$W$41:$AV$41,1,G54*2+1)/$C$45</f>
        <v>#VALUE!</v>
      </c>
      <c r="D54" s="380" t="e">
        <f ca="1">INDEX('Profile Data'!$W$41:$AV$41,1,G54*2+2)</f>
        <v>#VALUE!</v>
      </c>
      <c r="E54" s="465">
        <v>1</v>
      </c>
      <c r="F54" s="503" t="e">
        <f t="shared" ca="1" si="11"/>
        <v>#VALUE!</v>
      </c>
      <c r="G54" s="364">
        <v>7</v>
      </c>
      <c r="H54" s="368" t="e">
        <f t="shared" ca="1" si="5"/>
        <v>#VALUE!</v>
      </c>
      <c r="I54" s="368" t="e">
        <f t="shared" ca="1" si="5"/>
        <v>#VALUE!</v>
      </c>
      <c r="J54" s="368" t="e">
        <f t="shared" ca="1" si="5"/>
        <v>#VALUE!</v>
      </c>
      <c r="K54" s="368" t="e">
        <f t="shared" ca="1" si="5"/>
        <v>#VALUE!</v>
      </c>
      <c r="L54" s="368" t="e">
        <f t="shared" ca="1" si="5"/>
        <v>#VALUE!</v>
      </c>
      <c r="M54" s="368" t="e">
        <f t="shared" ca="1" si="5"/>
        <v>#VALUE!</v>
      </c>
      <c r="N54" s="368" t="e">
        <f t="shared" ca="1" si="5"/>
        <v>#VALUE!</v>
      </c>
      <c r="O54" s="368" t="e">
        <f t="shared" ca="1" si="5"/>
        <v>#VALUE!</v>
      </c>
      <c r="P54" s="368" t="e">
        <f t="shared" ca="1" si="5"/>
        <v>#VALUE!</v>
      </c>
      <c r="Q54" s="368" t="e">
        <f t="shared" ca="1" si="5"/>
        <v>#VALUE!</v>
      </c>
      <c r="R54" s="368" t="e">
        <f t="shared" ca="1" si="6"/>
        <v>#VALUE!</v>
      </c>
      <c r="S54" s="368" t="e">
        <f t="shared" ca="1" si="6"/>
        <v>#VALUE!</v>
      </c>
      <c r="T54" s="368" t="e">
        <f t="shared" ca="1" si="6"/>
        <v>#VALUE!</v>
      </c>
      <c r="U54" s="368" t="e">
        <f t="shared" ca="1" si="6"/>
        <v>#VALUE!</v>
      </c>
      <c r="V54" s="368" t="e">
        <f t="shared" ca="1" si="6"/>
        <v>#VALUE!</v>
      </c>
      <c r="W54" s="368" t="e">
        <f t="shared" ca="1" si="6"/>
        <v>#VALUE!</v>
      </c>
      <c r="X54" s="368" t="e">
        <f t="shared" ca="1" si="6"/>
        <v>#VALUE!</v>
      </c>
      <c r="Y54" s="368" t="e">
        <f t="shared" ca="1" si="6"/>
        <v>#VALUE!</v>
      </c>
      <c r="Z54" s="368" t="e">
        <f t="shared" ca="1" si="6"/>
        <v>#VALUE!</v>
      </c>
      <c r="AA54" s="368" t="e">
        <f t="shared" ca="1" si="6"/>
        <v>#VALUE!</v>
      </c>
      <c r="AB54" s="368" t="e">
        <f t="shared" ca="1" si="6"/>
        <v>#VALUE!</v>
      </c>
      <c r="AC54">
        <f t="shared" si="9"/>
        <v>37</v>
      </c>
      <c r="AE54" s="514" t="e">
        <f t="shared" ca="1" si="12"/>
        <v>#REF!</v>
      </c>
      <c r="AF54" s="325" t="e">
        <f t="shared" ca="1" si="10"/>
        <v>#VALUE!</v>
      </c>
      <c r="AG54" s="380" t="e">
        <f t="shared" ca="1" si="7"/>
        <v>#VALUE!</v>
      </c>
      <c r="AH54" s="480" t="e">
        <f t="shared" ca="1" si="8"/>
        <v>#VALUE!</v>
      </c>
      <c r="AK54" s="368" t="e">
        <f t="shared" ca="1" si="13"/>
        <v>#VALUE!</v>
      </c>
    </row>
    <row r="55" spans="1:37" ht="15.75" thickBot="1" x14ac:dyDescent="0.3">
      <c r="A55" s="494"/>
      <c r="B55" s="502" t="e">
        <f ca="1">'Profile Data'!CF$5</f>
        <v>#REF!</v>
      </c>
      <c r="C55" s="325" t="e">
        <f ca="1">INDEX('Profile Data'!$W$41:$AV$41,1,G55*2+1)/$C$45</f>
        <v>#VALUE!</v>
      </c>
      <c r="D55" s="380" t="e">
        <f ca="1">INDEX('Profile Data'!$W$41:$AV$41,1,G55*2+2)</f>
        <v>#VALUE!</v>
      </c>
      <c r="E55" s="465">
        <v>1</v>
      </c>
      <c r="F55" s="503" t="e">
        <f t="shared" ca="1" si="11"/>
        <v>#VALUE!</v>
      </c>
      <c r="G55" s="494">
        <v>8</v>
      </c>
      <c r="H55" s="368" t="e">
        <f t="shared" ca="1" si="5"/>
        <v>#VALUE!</v>
      </c>
      <c r="I55" s="368" t="e">
        <f t="shared" ca="1" si="5"/>
        <v>#VALUE!</v>
      </c>
      <c r="J55" s="368" t="e">
        <f t="shared" ca="1" si="5"/>
        <v>#VALUE!</v>
      </c>
      <c r="K55" s="368" t="e">
        <f t="shared" ca="1" si="5"/>
        <v>#VALUE!</v>
      </c>
      <c r="L55" s="368" t="e">
        <f t="shared" ca="1" si="5"/>
        <v>#VALUE!</v>
      </c>
      <c r="M55" s="368" t="e">
        <f t="shared" ca="1" si="5"/>
        <v>#VALUE!</v>
      </c>
      <c r="N55" s="368" t="e">
        <f t="shared" ca="1" si="5"/>
        <v>#VALUE!</v>
      </c>
      <c r="O55" s="368" t="e">
        <f t="shared" ca="1" si="5"/>
        <v>#VALUE!</v>
      </c>
      <c r="P55" s="368" t="e">
        <f t="shared" ca="1" si="5"/>
        <v>#VALUE!</v>
      </c>
      <c r="Q55" s="368" t="e">
        <f t="shared" ca="1" si="5"/>
        <v>#VALUE!</v>
      </c>
      <c r="R55" s="368" t="e">
        <f t="shared" ca="1" si="6"/>
        <v>#VALUE!</v>
      </c>
      <c r="S55" s="368" t="e">
        <f t="shared" ca="1" si="6"/>
        <v>#VALUE!</v>
      </c>
      <c r="T55" s="368" t="e">
        <f t="shared" ca="1" si="6"/>
        <v>#VALUE!</v>
      </c>
      <c r="U55" s="368" t="e">
        <f t="shared" ca="1" si="6"/>
        <v>#VALUE!</v>
      </c>
      <c r="V55" s="368" t="e">
        <f t="shared" ca="1" si="6"/>
        <v>#VALUE!</v>
      </c>
      <c r="W55" s="368" t="e">
        <f t="shared" ca="1" si="6"/>
        <v>#VALUE!</v>
      </c>
      <c r="X55" s="368" t="e">
        <f t="shared" ca="1" si="6"/>
        <v>#VALUE!</v>
      </c>
      <c r="Y55" s="368" t="e">
        <f t="shared" ca="1" si="6"/>
        <v>#VALUE!</v>
      </c>
      <c r="Z55" s="368" t="e">
        <f t="shared" ca="1" si="6"/>
        <v>#VALUE!</v>
      </c>
      <c r="AA55" s="368" t="e">
        <f t="shared" ca="1" si="6"/>
        <v>#VALUE!</v>
      </c>
      <c r="AB55" s="368" t="e">
        <f t="shared" ca="1" si="6"/>
        <v>#VALUE!</v>
      </c>
      <c r="AC55">
        <f t="shared" si="9"/>
        <v>39</v>
      </c>
      <c r="AE55" s="514" t="e">
        <f t="shared" ca="1" si="12"/>
        <v>#REF!</v>
      </c>
      <c r="AF55" s="325" t="e">
        <f t="shared" ca="1" si="10"/>
        <v>#VALUE!</v>
      </c>
      <c r="AG55" s="380" t="e">
        <f t="shared" ca="1" si="7"/>
        <v>#VALUE!</v>
      </c>
      <c r="AH55" s="480" t="e">
        <f t="shared" ca="1" si="8"/>
        <v>#VALUE!</v>
      </c>
      <c r="AK55" s="368" t="e">
        <f t="shared" ca="1" si="13"/>
        <v>#VALUE!</v>
      </c>
    </row>
    <row r="56" spans="1:37" ht="15.75" thickBot="1" x14ac:dyDescent="0.3">
      <c r="A56" s="394"/>
      <c r="B56" s="395" t="e">
        <f ca="1">'Profile Data'!CH$5</f>
        <v>#REF!</v>
      </c>
      <c r="C56" s="325" t="e">
        <f ca="1">INDEX('Profile Data'!$W$41:$AV$41,1,G56*2+1)/$C$45</f>
        <v>#VALUE!</v>
      </c>
      <c r="D56" s="380" t="e">
        <f ca="1">INDEX('Profile Data'!$W$41:$AV$41,1,G56*2+2)</f>
        <v>#VALUE!</v>
      </c>
      <c r="E56" s="465">
        <v>1</v>
      </c>
      <c r="F56" s="503" t="e">
        <f t="shared" ca="1" si="11"/>
        <v>#VALUE!</v>
      </c>
      <c r="G56" s="364">
        <v>9</v>
      </c>
      <c r="H56" s="368" t="e">
        <f t="shared" ca="1" si="5"/>
        <v>#VALUE!</v>
      </c>
      <c r="I56" s="368" t="e">
        <f t="shared" ca="1" si="5"/>
        <v>#VALUE!</v>
      </c>
      <c r="J56" s="368" t="e">
        <f t="shared" ca="1" si="5"/>
        <v>#VALUE!</v>
      </c>
      <c r="K56" s="368" t="e">
        <f t="shared" ca="1" si="5"/>
        <v>#VALUE!</v>
      </c>
      <c r="L56" s="368" t="e">
        <f t="shared" ca="1" si="5"/>
        <v>#VALUE!</v>
      </c>
      <c r="M56" s="368" t="e">
        <f t="shared" ca="1" si="5"/>
        <v>#VALUE!</v>
      </c>
      <c r="N56" s="368" t="e">
        <f t="shared" ca="1" si="5"/>
        <v>#VALUE!</v>
      </c>
      <c r="O56" s="368" t="e">
        <f t="shared" ca="1" si="5"/>
        <v>#VALUE!</v>
      </c>
      <c r="P56" s="368" t="e">
        <f t="shared" ca="1" si="5"/>
        <v>#VALUE!</v>
      </c>
      <c r="Q56" s="368" t="e">
        <f t="shared" ca="1" si="5"/>
        <v>#VALUE!</v>
      </c>
      <c r="R56" s="368" t="e">
        <f t="shared" ca="1" si="6"/>
        <v>#VALUE!</v>
      </c>
      <c r="S56" s="368" t="e">
        <f t="shared" ca="1" si="6"/>
        <v>#VALUE!</v>
      </c>
      <c r="T56" s="368" t="e">
        <f t="shared" ca="1" si="6"/>
        <v>#VALUE!</v>
      </c>
      <c r="U56" s="368" t="e">
        <f t="shared" ca="1" si="6"/>
        <v>#VALUE!</v>
      </c>
      <c r="V56" s="368" t="e">
        <f t="shared" ca="1" si="6"/>
        <v>#VALUE!</v>
      </c>
      <c r="W56" s="368" t="e">
        <f t="shared" ca="1" si="6"/>
        <v>#VALUE!</v>
      </c>
      <c r="X56" s="368" t="e">
        <f t="shared" ca="1" si="6"/>
        <v>#VALUE!</v>
      </c>
      <c r="Y56" s="368" t="e">
        <f t="shared" ca="1" si="6"/>
        <v>#VALUE!</v>
      </c>
      <c r="Z56" s="368" t="e">
        <f t="shared" ca="1" si="6"/>
        <v>#VALUE!</v>
      </c>
      <c r="AA56" s="368" t="e">
        <f t="shared" ca="1" si="6"/>
        <v>#VALUE!</v>
      </c>
      <c r="AB56" s="368" t="e">
        <f t="shared" ca="1" si="6"/>
        <v>#VALUE!</v>
      </c>
      <c r="AC56">
        <f t="shared" si="9"/>
        <v>41</v>
      </c>
      <c r="AE56" s="514" t="e">
        <f t="shared" ca="1" si="12"/>
        <v>#REF!</v>
      </c>
      <c r="AF56" s="325" t="e">
        <f t="shared" ca="1" si="10"/>
        <v>#VALUE!</v>
      </c>
      <c r="AG56" s="380" t="e">
        <f t="shared" ca="1" si="7"/>
        <v>#VALUE!</v>
      </c>
      <c r="AH56" s="480" t="e">
        <f t="shared" ca="1" si="8"/>
        <v>#VALUE!</v>
      </c>
      <c r="AK56" s="368" t="e">
        <f t="shared" ca="1" si="13"/>
        <v>#VALUE!</v>
      </c>
    </row>
    <row r="57" spans="1:37" ht="15.75" thickBot="1" x14ac:dyDescent="0.3">
      <c r="A57" s="494"/>
      <c r="B57" s="502" t="e">
        <f ca="1">'Profile Data'!CJ$5</f>
        <v>#REF!</v>
      </c>
      <c r="C57" s="325" t="e">
        <f ca="1">INDEX('Profile Data'!$W$41:$AV$41,1,G57*2+1)/$C$45</f>
        <v>#VALUE!</v>
      </c>
      <c r="D57" s="380" t="e">
        <f ca="1">INDEX('Profile Data'!$W$41:$AV$41,1,G57*2+2)</f>
        <v>#VALUE!</v>
      </c>
      <c r="E57" s="465">
        <v>1</v>
      </c>
      <c r="F57" s="503" t="e">
        <f t="shared" ca="1" si="11"/>
        <v>#VALUE!</v>
      </c>
      <c r="G57" s="494">
        <v>10</v>
      </c>
      <c r="H57" s="368" t="e">
        <f t="shared" ca="1" si="5"/>
        <v>#VALUE!</v>
      </c>
      <c r="I57" s="368" t="e">
        <f t="shared" ca="1" si="5"/>
        <v>#VALUE!</v>
      </c>
      <c r="J57" s="368" t="e">
        <f t="shared" ca="1" si="5"/>
        <v>#VALUE!</v>
      </c>
      <c r="K57" s="368" t="e">
        <f t="shared" ca="1" si="5"/>
        <v>#VALUE!</v>
      </c>
      <c r="L57" s="368" t="e">
        <f t="shared" ca="1" si="5"/>
        <v>#VALUE!</v>
      </c>
      <c r="M57" s="368" t="e">
        <f t="shared" ca="1" si="5"/>
        <v>#VALUE!</v>
      </c>
      <c r="N57" s="368" t="e">
        <f t="shared" ca="1" si="5"/>
        <v>#VALUE!</v>
      </c>
      <c r="O57" s="368" t="e">
        <f t="shared" ca="1" si="5"/>
        <v>#VALUE!</v>
      </c>
      <c r="P57" s="368" t="e">
        <f t="shared" ca="1" si="5"/>
        <v>#VALUE!</v>
      </c>
      <c r="Q57" s="368" t="e">
        <f t="shared" ca="1" si="5"/>
        <v>#VALUE!</v>
      </c>
      <c r="R57" s="368" t="e">
        <f t="shared" ca="1" si="6"/>
        <v>#VALUE!</v>
      </c>
      <c r="S57" s="368" t="e">
        <f t="shared" ca="1" si="6"/>
        <v>#VALUE!</v>
      </c>
      <c r="T57" s="368" t="e">
        <f t="shared" ca="1" si="6"/>
        <v>#VALUE!</v>
      </c>
      <c r="U57" s="368" t="e">
        <f t="shared" ca="1" si="6"/>
        <v>#VALUE!</v>
      </c>
      <c r="V57" s="368" t="e">
        <f t="shared" ca="1" si="6"/>
        <v>#VALUE!</v>
      </c>
      <c r="W57" s="368" t="e">
        <f t="shared" ca="1" si="6"/>
        <v>#VALUE!</v>
      </c>
      <c r="X57" s="368" t="e">
        <f t="shared" ca="1" si="6"/>
        <v>#VALUE!</v>
      </c>
      <c r="Y57" s="368" t="e">
        <f t="shared" ca="1" si="6"/>
        <v>#VALUE!</v>
      </c>
      <c r="Z57" s="368" t="e">
        <f t="shared" ca="1" si="6"/>
        <v>#VALUE!</v>
      </c>
      <c r="AA57" s="368" t="e">
        <f t="shared" ca="1" si="6"/>
        <v>#VALUE!</v>
      </c>
      <c r="AB57" s="368" t="e">
        <f t="shared" ca="1" si="6"/>
        <v>#VALUE!</v>
      </c>
      <c r="AC57">
        <f t="shared" si="9"/>
        <v>43</v>
      </c>
      <c r="AE57" s="514" t="e">
        <f t="shared" ca="1" si="12"/>
        <v>#REF!</v>
      </c>
      <c r="AF57" s="325" t="e">
        <f t="shared" ca="1" si="10"/>
        <v>#VALUE!</v>
      </c>
      <c r="AG57" s="380" t="e">
        <f t="shared" ca="1" si="7"/>
        <v>#VALUE!</v>
      </c>
      <c r="AH57" s="480" t="e">
        <f t="shared" ca="1" si="8"/>
        <v>#VALUE!</v>
      </c>
      <c r="AK57" s="368" t="e">
        <f t="shared" ca="1" si="13"/>
        <v>#VALUE!</v>
      </c>
    </row>
    <row r="58" spans="1:37" ht="15.75" thickBot="1" x14ac:dyDescent="0.3">
      <c r="A58" s="394"/>
      <c r="B58" s="395" t="e">
        <f ca="1">'Profile Data'!CL$5</f>
        <v>#REF!</v>
      </c>
      <c r="C58" s="325" t="e">
        <f ca="1">INDEX('Profile Data'!$W$41:$AV$41,1,G58*2+1)/$C$45</f>
        <v>#VALUE!</v>
      </c>
      <c r="D58" s="380" t="e">
        <f ca="1">INDEX('Profile Data'!$W$41:$AV$41,1,G58*2+2)</f>
        <v>#VALUE!</v>
      </c>
      <c r="E58" s="465">
        <v>1</v>
      </c>
      <c r="F58" s="503" t="e">
        <f t="shared" ca="1" si="11"/>
        <v>#VALUE!</v>
      </c>
      <c r="G58" s="364">
        <v>11</v>
      </c>
      <c r="H58" s="368" t="e">
        <f t="shared" ca="1" si="5"/>
        <v>#VALUE!</v>
      </c>
      <c r="I58" s="368" t="e">
        <f t="shared" ca="1" si="5"/>
        <v>#VALUE!</v>
      </c>
      <c r="J58" s="368" t="e">
        <f t="shared" ca="1" si="5"/>
        <v>#VALUE!</v>
      </c>
      <c r="K58" s="368" t="e">
        <f t="shared" ca="1" si="5"/>
        <v>#VALUE!</v>
      </c>
      <c r="L58" s="368" t="e">
        <f t="shared" ca="1" si="5"/>
        <v>#VALUE!</v>
      </c>
      <c r="M58" s="368" t="e">
        <f t="shared" ca="1" si="5"/>
        <v>#VALUE!</v>
      </c>
      <c r="N58" s="368" t="e">
        <f t="shared" ca="1" si="5"/>
        <v>#VALUE!</v>
      </c>
      <c r="O58" s="368" t="e">
        <f t="shared" ca="1" si="5"/>
        <v>#VALUE!</v>
      </c>
      <c r="P58" s="368" t="e">
        <f t="shared" ca="1" si="5"/>
        <v>#VALUE!</v>
      </c>
      <c r="Q58" s="368" t="e">
        <f t="shared" ca="1" si="5"/>
        <v>#VALUE!</v>
      </c>
      <c r="R58" s="368" t="e">
        <f t="shared" ca="1" si="6"/>
        <v>#VALUE!</v>
      </c>
      <c r="S58" s="368" t="e">
        <f t="shared" ca="1" si="6"/>
        <v>#VALUE!</v>
      </c>
      <c r="T58" s="368" t="e">
        <f t="shared" ca="1" si="6"/>
        <v>#VALUE!</v>
      </c>
      <c r="U58" s="368" t="e">
        <f t="shared" ca="1" si="6"/>
        <v>#VALUE!</v>
      </c>
      <c r="V58" s="368" t="e">
        <f t="shared" ca="1" si="6"/>
        <v>#VALUE!</v>
      </c>
      <c r="W58" s="368" t="e">
        <f t="shared" ca="1" si="6"/>
        <v>#VALUE!</v>
      </c>
      <c r="X58" s="368" t="e">
        <f t="shared" ca="1" si="6"/>
        <v>#VALUE!</v>
      </c>
      <c r="Y58" s="368" t="e">
        <f t="shared" ca="1" si="6"/>
        <v>#VALUE!</v>
      </c>
      <c r="Z58" s="368" t="e">
        <f t="shared" ca="1" si="6"/>
        <v>#VALUE!</v>
      </c>
      <c r="AA58" s="368" t="e">
        <f t="shared" ca="1" si="6"/>
        <v>#VALUE!</v>
      </c>
      <c r="AB58" s="368" t="e">
        <f t="shared" ca="1" si="6"/>
        <v>#VALUE!</v>
      </c>
      <c r="AC58">
        <f t="shared" si="9"/>
        <v>45</v>
      </c>
      <c r="AE58" s="514" t="e">
        <f t="shared" ca="1" si="12"/>
        <v>#REF!</v>
      </c>
      <c r="AF58" s="325" t="e">
        <f t="shared" ca="1" si="10"/>
        <v>#VALUE!</v>
      </c>
      <c r="AG58" s="380" t="e">
        <f t="shared" ca="1" si="7"/>
        <v>#VALUE!</v>
      </c>
      <c r="AH58" s="480" t="e">
        <f t="shared" ca="1" si="8"/>
        <v>#VALUE!</v>
      </c>
      <c r="AK58" s="368" t="e">
        <f t="shared" ca="1" si="13"/>
        <v>#VALUE!</v>
      </c>
    </row>
    <row r="59" spans="1:37" ht="15.75" thickBot="1" x14ac:dyDescent="0.3">
      <c r="A59" s="494"/>
      <c r="B59" s="502" t="e">
        <f ca="1">'Profile Data'!CN$5</f>
        <v>#REF!</v>
      </c>
      <c r="C59" s="325" t="e">
        <f ca="1">INDEX('Profile Data'!$W$41:$AV$41,1,G59*2+1)/$C$45</f>
        <v>#VALUE!</v>
      </c>
      <c r="D59" s="380" t="e">
        <f ca="1">INDEX('Profile Data'!$W$41:$AV$41,1,G59*2+2)</f>
        <v>#VALUE!</v>
      </c>
      <c r="E59" s="465">
        <v>1</v>
      </c>
      <c r="F59" s="503" t="e">
        <f t="shared" ca="1" si="11"/>
        <v>#VALUE!</v>
      </c>
      <c r="G59" s="494">
        <v>12</v>
      </c>
      <c r="H59" s="368" t="e">
        <f t="shared" ca="1" si="5"/>
        <v>#VALUE!</v>
      </c>
      <c r="I59" s="368" t="e">
        <f t="shared" ca="1" si="5"/>
        <v>#VALUE!</v>
      </c>
      <c r="J59" s="368" t="e">
        <f t="shared" ca="1" si="5"/>
        <v>#VALUE!</v>
      </c>
      <c r="K59" s="368" t="e">
        <f t="shared" ca="1" si="5"/>
        <v>#VALUE!</v>
      </c>
      <c r="L59" s="368" t="e">
        <f t="shared" ca="1" si="5"/>
        <v>#VALUE!</v>
      </c>
      <c r="M59" s="368" t="e">
        <f t="shared" ca="1" si="5"/>
        <v>#VALUE!</v>
      </c>
      <c r="N59" s="368" t="e">
        <f t="shared" ca="1" si="5"/>
        <v>#VALUE!</v>
      </c>
      <c r="O59" s="368" t="e">
        <f t="shared" ca="1" si="5"/>
        <v>#VALUE!</v>
      </c>
      <c r="P59" s="368" t="e">
        <f t="shared" ca="1" si="5"/>
        <v>#VALUE!</v>
      </c>
      <c r="Q59" s="368" t="e">
        <f t="shared" ca="1" si="5"/>
        <v>#VALUE!</v>
      </c>
      <c r="R59" s="368" t="e">
        <f t="shared" ca="1" si="6"/>
        <v>#VALUE!</v>
      </c>
      <c r="S59" s="368" t="e">
        <f t="shared" ca="1" si="6"/>
        <v>#VALUE!</v>
      </c>
      <c r="T59" s="368" t="e">
        <f t="shared" ca="1" si="6"/>
        <v>#VALUE!</v>
      </c>
      <c r="U59" s="368" t="e">
        <f t="shared" ca="1" si="6"/>
        <v>#VALUE!</v>
      </c>
      <c r="V59" s="368" t="e">
        <f t="shared" ca="1" si="6"/>
        <v>#VALUE!</v>
      </c>
      <c r="W59" s="368" t="e">
        <f t="shared" ca="1" si="6"/>
        <v>#VALUE!</v>
      </c>
      <c r="X59" s="368" t="e">
        <f t="shared" ca="1" si="6"/>
        <v>#VALUE!</v>
      </c>
      <c r="Y59" s="368" t="e">
        <f t="shared" ca="1" si="6"/>
        <v>#VALUE!</v>
      </c>
      <c r="Z59" s="368" t="e">
        <f t="shared" ca="1" si="6"/>
        <v>#VALUE!</v>
      </c>
      <c r="AA59" s="368" t="e">
        <f t="shared" ca="1" si="6"/>
        <v>#VALUE!</v>
      </c>
      <c r="AB59" s="368" t="e">
        <f t="shared" ca="1" si="6"/>
        <v>#VALUE!</v>
      </c>
      <c r="AC59">
        <f t="shared" si="9"/>
        <v>47</v>
      </c>
      <c r="AE59" s="514" t="e">
        <f t="shared" ca="1" si="12"/>
        <v>#REF!</v>
      </c>
      <c r="AF59" s="325" t="e">
        <f t="shared" ca="1" si="10"/>
        <v>#VALUE!</v>
      </c>
      <c r="AG59" s="380" t="e">
        <f t="shared" ca="1" si="7"/>
        <v>#VALUE!</v>
      </c>
      <c r="AH59" s="480" t="e">
        <f t="shared" ca="1" si="8"/>
        <v>#VALUE!</v>
      </c>
      <c r="AK59" s="368" t="e">
        <f t="shared" ca="1" si="13"/>
        <v>#VALUE!</v>
      </c>
    </row>
    <row r="60" spans="1:37" ht="15.75" thickBot="1" x14ac:dyDescent="0.3">
      <c r="A60" s="394"/>
      <c r="B60" s="395" t="e">
        <f ca="1">'Profile Data'!CP$5</f>
        <v>#REF!</v>
      </c>
      <c r="C60" s="325" t="e">
        <f ca="1">INDEX('Profile Data'!$W$41:$AZ$41,1,G60*2+1)/$C$45</f>
        <v>#VALUE!</v>
      </c>
      <c r="D60" s="380" t="e">
        <f ca="1">INDEX('Profile Data'!$W$41:$AZ$41,1,G60*2+2)</f>
        <v>#VALUE!</v>
      </c>
      <c r="E60" s="465">
        <v>1</v>
      </c>
      <c r="F60" s="503" t="e">
        <f t="shared" ref="F60" ca="1" si="14">+C60*(1+$D$33*D60*E60)*$D$12</f>
        <v>#VALUE!</v>
      </c>
      <c r="G60" s="364">
        <v>13</v>
      </c>
      <c r="H60" s="368" t="e">
        <f t="shared" ca="1" si="5"/>
        <v>#VALUE!</v>
      </c>
      <c r="I60" s="368" t="e">
        <f t="shared" ca="1" si="5"/>
        <v>#VALUE!</v>
      </c>
      <c r="J60" s="368" t="e">
        <f t="shared" ca="1" si="5"/>
        <v>#VALUE!</v>
      </c>
      <c r="K60" s="368" t="e">
        <f t="shared" ca="1" si="5"/>
        <v>#VALUE!</v>
      </c>
      <c r="L60" s="368" t="e">
        <f t="shared" ca="1" si="5"/>
        <v>#VALUE!</v>
      </c>
      <c r="M60" s="368" t="e">
        <f t="shared" ca="1" si="5"/>
        <v>#VALUE!</v>
      </c>
      <c r="N60" s="368" t="e">
        <f t="shared" ca="1" si="5"/>
        <v>#VALUE!</v>
      </c>
      <c r="O60" s="368" t="e">
        <f t="shared" ca="1" si="5"/>
        <v>#VALUE!</v>
      </c>
      <c r="P60" s="368" t="e">
        <f t="shared" ca="1" si="5"/>
        <v>#VALUE!</v>
      </c>
      <c r="Q60" s="368" t="e">
        <f t="shared" ca="1" si="5"/>
        <v>#VALUE!</v>
      </c>
      <c r="R60" s="368" t="e">
        <f t="shared" ca="1" si="6"/>
        <v>#VALUE!</v>
      </c>
      <c r="S60" s="368" t="e">
        <f t="shared" ca="1" si="6"/>
        <v>#VALUE!</v>
      </c>
      <c r="T60" s="368" t="e">
        <f t="shared" ca="1" si="6"/>
        <v>#VALUE!</v>
      </c>
      <c r="U60" s="368" t="e">
        <f t="shared" ca="1" si="6"/>
        <v>#VALUE!</v>
      </c>
      <c r="V60" s="368" t="e">
        <f t="shared" ca="1" si="6"/>
        <v>#VALUE!</v>
      </c>
      <c r="W60" s="368" t="e">
        <f t="shared" ca="1" si="6"/>
        <v>#VALUE!</v>
      </c>
      <c r="X60" s="368" t="e">
        <f t="shared" ca="1" si="6"/>
        <v>#VALUE!</v>
      </c>
      <c r="Y60" s="368" t="e">
        <f t="shared" ca="1" si="6"/>
        <v>#VALUE!</v>
      </c>
      <c r="Z60" s="368" t="e">
        <f t="shared" ca="1" si="6"/>
        <v>#VALUE!</v>
      </c>
      <c r="AA60" s="368" t="e">
        <f t="shared" ca="1" si="6"/>
        <v>#VALUE!</v>
      </c>
      <c r="AB60" s="368" t="e">
        <f t="shared" ca="1" si="6"/>
        <v>#VALUE!</v>
      </c>
      <c r="AC60">
        <f t="shared" si="9"/>
        <v>49</v>
      </c>
      <c r="AE60" s="514" t="e">
        <f t="shared" ca="1" si="12"/>
        <v>#REF!</v>
      </c>
      <c r="AF60" s="325" t="e">
        <f t="shared" ref="AF60" ca="1" si="15">INDIRECT("'Profile Data'!"&amp;ADDRESS(42,AC60))</f>
        <v>#VALUE!</v>
      </c>
      <c r="AG60" s="380" t="e">
        <f t="shared" ref="AG60" ca="1" si="16">INDIRECT("'Profile Data'!"&amp;ADDRESS(42,AC60+1))</f>
        <v>#VALUE!</v>
      </c>
      <c r="AH60" s="480" t="e">
        <f t="shared" ref="AH60" ca="1" si="17">+AF60*(1+3*AG60)*$D$12</f>
        <v>#VALUE!</v>
      </c>
      <c r="AK60" s="368" t="e">
        <f t="shared" ca="1" si="13"/>
        <v>#VALUE!</v>
      </c>
    </row>
    <row r="61" spans="1:37" ht="15.75" thickBot="1" x14ac:dyDescent="0.3">
      <c r="A61" s="494"/>
      <c r="B61" s="502" t="e">
        <f ca="1">'Profile Data'!CR$5</f>
        <v>#REF!</v>
      </c>
      <c r="C61" s="325" t="e">
        <f ca="1">INDEX('Profile Data'!$W$41:$AZ$41,1,G61*2+1)/$C$45</f>
        <v>#VALUE!</v>
      </c>
      <c r="D61" s="380" t="e">
        <f ca="1">INDEX('Profile Data'!$W$41:$AZ$41,1,G61*2+2)</f>
        <v>#VALUE!</v>
      </c>
      <c r="E61" s="465">
        <v>1</v>
      </c>
      <c r="F61" s="503" t="e">
        <f t="shared" ref="F61" ca="1" si="18">+C61*(1+$D$33*D61*E61)*$D$12</f>
        <v>#VALUE!</v>
      </c>
      <c r="G61" s="494">
        <v>14</v>
      </c>
      <c r="H61" s="368" t="e">
        <f t="shared" ca="1" si="5"/>
        <v>#VALUE!</v>
      </c>
      <c r="I61" s="368" t="e">
        <f t="shared" ca="1" si="5"/>
        <v>#VALUE!</v>
      </c>
      <c r="J61" s="368" t="e">
        <f t="shared" ca="1" si="5"/>
        <v>#VALUE!</v>
      </c>
      <c r="K61" s="368" t="e">
        <f t="shared" ca="1" si="5"/>
        <v>#VALUE!</v>
      </c>
      <c r="L61" s="368" t="e">
        <f t="shared" ca="1" si="5"/>
        <v>#VALUE!</v>
      </c>
      <c r="M61" s="368" t="e">
        <f t="shared" ca="1" si="5"/>
        <v>#VALUE!</v>
      </c>
      <c r="N61" s="368" t="e">
        <f t="shared" ca="1" si="5"/>
        <v>#VALUE!</v>
      </c>
      <c r="O61" s="368" t="e">
        <f t="shared" ca="1" si="5"/>
        <v>#VALUE!</v>
      </c>
      <c r="P61" s="368" t="e">
        <f t="shared" ca="1" si="5"/>
        <v>#VALUE!</v>
      </c>
      <c r="Q61" s="368" t="e">
        <f t="shared" ca="1" si="5"/>
        <v>#VALUE!</v>
      </c>
      <c r="R61" s="368" t="e">
        <f t="shared" ca="1" si="6"/>
        <v>#VALUE!</v>
      </c>
      <c r="S61" s="368" t="e">
        <f t="shared" ca="1" si="6"/>
        <v>#VALUE!</v>
      </c>
      <c r="T61" s="368" t="e">
        <f t="shared" ca="1" si="6"/>
        <v>#VALUE!</v>
      </c>
      <c r="U61" s="368" t="e">
        <f t="shared" ca="1" si="6"/>
        <v>#VALUE!</v>
      </c>
      <c r="V61" s="368" t="e">
        <f t="shared" ca="1" si="6"/>
        <v>#VALUE!</v>
      </c>
      <c r="W61" s="368" t="e">
        <f t="shared" ca="1" si="6"/>
        <v>#VALUE!</v>
      </c>
      <c r="X61" s="368" t="e">
        <f t="shared" ca="1" si="6"/>
        <v>#VALUE!</v>
      </c>
      <c r="Y61" s="368" t="e">
        <f t="shared" ca="1" si="6"/>
        <v>#VALUE!</v>
      </c>
      <c r="Z61" s="368" t="e">
        <f t="shared" ca="1" si="6"/>
        <v>#VALUE!</v>
      </c>
      <c r="AA61" s="368" t="e">
        <f t="shared" ca="1" si="6"/>
        <v>#VALUE!</v>
      </c>
      <c r="AB61" s="368" t="e">
        <f t="shared" ca="1" si="6"/>
        <v>#VALUE!</v>
      </c>
      <c r="AC61">
        <f t="shared" si="9"/>
        <v>51</v>
      </c>
      <c r="AE61" s="514" t="e">
        <f t="shared" ref="AE61" ca="1" si="19">B61</f>
        <v>#REF!</v>
      </c>
      <c r="AF61" s="325" t="e">
        <f t="shared" ref="AF61" ca="1" si="20">INDIRECT("'Profile Data'!"&amp;ADDRESS(42,AC61))</f>
        <v>#VALUE!</v>
      </c>
      <c r="AG61" s="380" t="e">
        <f t="shared" ref="AG61" ca="1" si="21">INDIRECT("'Profile Data'!"&amp;ADDRESS(42,AC61+1))</f>
        <v>#VALUE!</v>
      </c>
      <c r="AH61" s="480" t="e">
        <f t="shared" ref="AH61" ca="1" si="22">+AF61*(1+3*AG61)*$D$12</f>
        <v>#VALUE!</v>
      </c>
      <c r="AK61" s="368" t="e">
        <f t="shared" ca="1" si="13"/>
        <v>#VALUE!</v>
      </c>
    </row>
    <row r="62" spans="1:37" ht="18" x14ac:dyDescent="0.25">
      <c r="B62" s="274"/>
      <c r="F62" s="279"/>
      <c r="G62" t="s">
        <v>326</v>
      </c>
      <c r="J62" s="281"/>
      <c r="AE62" s="514"/>
      <c r="AF62" s="325"/>
      <c r="AG62" s="380"/>
      <c r="AH62" s="480"/>
      <c r="AK62" s="1113"/>
    </row>
    <row r="63" spans="1:37" ht="18" x14ac:dyDescent="0.25">
      <c r="B63" s="274"/>
      <c r="F63" s="279"/>
      <c r="G63" t="s">
        <v>326</v>
      </c>
      <c r="J63" s="281"/>
    </row>
    <row r="64" spans="1:37" ht="18" x14ac:dyDescent="0.25">
      <c r="B64" s="274"/>
      <c r="F64" s="279"/>
      <c r="H64" s="281"/>
      <c r="I64" s="281" t="s">
        <v>253</v>
      </c>
      <c r="J64" s="281"/>
      <c r="K64" s="281"/>
    </row>
    <row r="65" spans="1:28" ht="15" x14ac:dyDescent="0.25">
      <c r="A65" s="494"/>
      <c r="B65" s="502" t="str">
        <f ca="1">B47</f>
        <v>Openwater A24LE</v>
      </c>
      <c r="C65" s="504"/>
      <c r="D65" s="505"/>
      <c r="F65" s="279"/>
      <c r="G65" s="494"/>
      <c r="H65" s="483">
        <f t="shared" ref="H65:AB65" ca="1" si="23">(H47)^0.5</f>
        <v>0.9919360407919583</v>
      </c>
      <c r="I65" s="277">
        <f t="shared" ca="1" si="23"/>
        <v>0.95509293139740015</v>
      </c>
      <c r="J65" s="277">
        <f t="shared" ca="1" si="23"/>
        <v>0.9014520114056136</v>
      </c>
      <c r="K65" s="277">
        <f t="shared" ca="1" si="23"/>
        <v>0.86009925072335214</v>
      </c>
      <c r="L65" s="277">
        <f t="shared" ca="1" si="23"/>
        <v>0.79475062365900462</v>
      </c>
      <c r="M65" s="277">
        <f t="shared" ca="1" si="23"/>
        <v>0.9919360407919583</v>
      </c>
      <c r="N65" s="277">
        <f t="shared" ca="1" si="23"/>
        <v>0.95509293139740015</v>
      </c>
      <c r="O65" s="277">
        <f t="shared" ca="1" si="23"/>
        <v>0.9014520114056136</v>
      </c>
      <c r="P65" s="277">
        <f t="shared" ca="1" si="23"/>
        <v>0.86009925072335214</v>
      </c>
      <c r="Q65" s="277">
        <f t="shared" ca="1" si="23"/>
        <v>0.79475062365900462</v>
      </c>
      <c r="R65" s="277">
        <f t="shared" ca="1" si="23"/>
        <v>0.9919360407919583</v>
      </c>
      <c r="S65" s="277">
        <f t="shared" ca="1" si="23"/>
        <v>0.95509293139740015</v>
      </c>
      <c r="T65" s="277">
        <f t="shared" ca="1" si="23"/>
        <v>0.9014520114056136</v>
      </c>
      <c r="U65" s="277">
        <f t="shared" ca="1" si="23"/>
        <v>0.86009925072335214</v>
      </c>
      <c r="V65" s="277">
        <f t="shared" ca="1" si="23"/>
        <v>0.79475062365900462</v>
      </c>
      <c r="W65" s="277">
        <f t="shared" ca="1" si="23"/>
        <v>0.82456933776617025</v>
      </c>
      <c r="X65" s="277">
        <f t="shared" ca="1" si="23"/>
        <v>0.8488001277695042</v>
      </c>
      <c r="Y65" s="277">
        <f t="shared" ca="1" si="23"/>
        <v>0</v>
      </c>
      <c r="Z65" s="277">
        <f t="shared" ca="1" si="23"/>
        <v>0</v>
      </c>
      <c r="AA65" s="277">
        <f t="shared" ca="1" si="23"/>
        <v>0</v>
      </c>
      <c r="AB65" s="277">
        <f t="shared" ca="1" si="23"/>
        <v>0</v>
      </c>
    </row>
    <row r="66" spans="1:28" x14ac:dyDescent="0.2">
      <c r="A66" s="396"/>
      <c r="B66" s="395" t="str">
        <f ca="1">IF(ISERROR(B48)=TRUE,"",B48)</f>
        <v>Open A24LE</v>
      </c>
      <c r="C66" s="325"/>
      <c r="D66" s="325"/>
      <c r="F66" s="482" t="s">
        <v>254</v>
      </c>
      <c r="H66" s="277">
        <f t="shared" ref="H66:AB66" ca="1" si="24">(H48)^0.5</f>
        <v>1.0295434728136688</v>
      </c>
      <c r="I66" s="483">
        <f t="shared" ca="1" si="24"/>
        <v>0.99130352463612015</v>
      </c>
      <c r="J66" s="277">
        <f t="shared" ca="1" si="24"/>
        <v>0.93562890774330909</v>
      </c>
      <c r="K66" s="277">
        <f t="shared" ca="1" si="24"/>
        <v>0.89270833313725206</v>
      </c>
      <c r="L66" s="277">
        <f t="shared" ca="1" si="24"/>
        <v>0.82488213297446933</v>
      </c>
      <c r="M66" s="277">
        <f t="shared" ca="1" si="24"/>
        <v>1.0295434728136688</v>
      </c>
      <c r="N66" s="277">
        <f t="shared" ca="1" si="24"/>
        <v>0.99130352463612015</v>
      </c>
      <c r="O66" s="277">
        <f t="shared" ca="1" si="24"/>
        <v>0.93562890774330909</v>
      </c>
      <c r="P66" s="277">
        <f t="shared" ca="1" si="24"/>
        <v>0.89270833313725206</v>
      </c>
      <c r="Q66" s="277">
        <f t="shared" ca="1" si="24"/>
        <v>0.82488213297446933</v>
      </c>
      <c r="R66" s="277">
        <f t="shared" ca="1" si="24"/>
        <v>1.0295434728136688</v>
      </c>
      <c r="S66" s="277">
        <f t="shared" ca="1" si="24"/>
        <v>0.99130352463612015</v>
      </c>
      <c r="T66" s="277">
        <f t="shared" ca="1" si="24"/>
        <v>0.93562890774330909</v>
      </c>
      <c r="U66" s="277">
        <f t="shared" ca="1" si="24"/>
        <v>0.89270833313725206</v>
      </c>
      <c r="V66" s="277">
        <f t="shared" ca="1" si="24"/>
        <v>0.82488213297446933</v>
      </c>
      <c r="W66" s="277">
        <f t="shared" ca="1" si="24"/>
        <v>0.85583136882663047</v>
      </c>
      <c r="X66" s="277">
        <f t="shared" ca="1" si="24"/>
        <v>0.8809808247019647</v>
      </c>
      <c r="Y66" s="277">
        <f t="shared" ca="1" si="24"/>
        <v>0</v>
      </c>
      <c r="Z66" s="277">
        <f t="shared" ca="1" si="24"/>
        <v>0</v>
      </c>
      <c r="AA66" s="277">
        <f t="shared" ca="1" si="24"/>
        <v>0</v>
      </c>
      <c r="AB66" s="277">
        <f t="shared" ca="1" si="24"/>
        <v>0</v>
      </c>
    </row>
    <row r="67" spans="1:28" x14ac:dyDescent="0.2">
      <c r="A67" s="519"/>
      <c r="B67" s="514" t="str">
        <f t="shared" ref="B67:B79" ca="1" si="25">IF(ISERROR(B49)=TRUE,"",B49)</f>
        <v>Opsub A24LE</v>
      </c>
      <c r="C67" s="325"/>
      <c r="D67" s="325"/>
      <c r="H67" s="277">
        <f t="shared" ref="H67:AB67" ca="1" si="26">(H49)^0.5</f>
        <v>1.0592614108242417</v>
      </c>
      <c r="I67" s="277">
        <f t="shared" ca="1" si="26"/>
        <v>1.0199176603892106</v>
      </c>
      <c r="J67" s="483">
        <f t="shared" ca="1" si="26"/>
        <v>0.96263598672097161</v>
      </c>
      <c r="K67" s="277">
        <f t="shared" ca="1" si="26"/>
        <v>0.91847650282239568</v>
      </c>
      <c r="L67" s="277">
        <f t="shared" ca="1" si="26"/>
        <v>0.84869248847773904</v>
      </c>
      <c r="M67" s="277">
        <f t="shared" ca="1" si="26"/>
        <v>1.0592614108242417</v>
      </c>
      <c r="N67" s="277">
        <f t="shared" ca="1" si="26"/>
        <v>1.0199176603892106</v>
      </c>
      <c r="O67" s="277">
        <f t="shared" ca="1" si="26"/>
        <v>0.96263598672097161</v>
      </c>
      <c r="P67" s="277">
        <f t="shared" ca="1" si="26"/>
        <v>0.91847650282239568</v>
      </c>
      <c r="Q67" s="277">
        <f t="shared" ca="1" si="26"/>
        <v>0.84869248847773904</v>
      </c>
      <c r="R67" s="277">
        <f t="shared" ca="1" si="26"/>
        <v>1.0592614108242417</v>
      </c>
      <c r="S67" s="277">
        <f t="shared" ca="1" si="26"/>
        <v>1.0199176603892106</v>
      </c>
      <c r="T67" s="277">
        <f t="shared" ca="1" si="26"/>
        <v>0.96263598672097161</v>
      </c>
      <c r="U67" s="277">
        <f t="shared" ca="1" si="26"/>
        <v>0.91847650282239568</v>
      </c>
      <c r="V67" s="277">
        <f t="shared" ca="1" si="26"/>
        <v>0.84869248847773904</v>
      </c>
      <c r="W67" s="277">
        <f t="shared" ca="1" si="26"/>
        <v>0.8805350790029336</v>
      </c>
      <c r="X67" s="277">
        <f t="shared" ca="1" si="26"/>
        <v>0.9064104779690052</v>
      </c>
      <c r="Y67" s="277">
        <f t="shared" ca="1" si="26"/>
        <v>0</v>
      </c>
      <c r="Z67" s="277">
        <f t="shared" ca="1" si="26"/>
        <v>0</v>
      </c>
      <c r="AA67" s="277">
        <f t="shared" ca="1" si="26"/>
        <v>0</v>
      </c>
      <c r="AB67" s="277">
        <f t="shared" ca="1" si="26"/>
        <v>0</v>
      </c>
    </row>
    <row r="68" spans="1:28" x14ac:dyDescent="0.2">
      <c r="A68" s="519"/>
      <c r="B68" s="514" t="str">
        <f t="shared" ca="1" si="25"/>
        <v>Suburban A24LE</v>
      </c>
      <c r="C68" s="325"/>
      <c r="D68" s="325"/>
      <c r="H68" s="277">
        <f t="shared" ref="H68:AB68" ca="1" si="27">(H50)^0.5</f>
        <v>1.1183665930365936</v>
      </c>
      <c r="I68" s="277">
        <f t="shared" ca="1" si="27"/>
        <v>1.0768275209230638</v>
      </c>
      <c r="J68" s="277">
        <f t="shared" ca="1" si="27"/>
        <v>1.0163496166313044</v>
      </c>
      <c r="K68" s="483">
        <f t="shared" ca="1" si="27"/>
        <v>0.96972610042157525</v>
      </c>
      <c r="L68" s="277">
        <f t="shared" ca="1" si="27"/>
        <v>0.89604824378152059</v>
      </c>
      <c r="M68" s="277">
        <f t="shared" ca="1" si="27"/>
        <v>1.1183665930365936</v>
      </c>
      <c r="N68" s="277">
        <f t="shared" ca="1" si="27"/>
        <v>1.0768275209230638</v>
      </c>
      <c r="O68" s="277">
        <f t="shared" ca="1" si="27"/>
        <v>1.0163496166313044</v>
      </c>
      <c r="P68" s="277">
        <f t="shared" ca="1" si="27"/>
        <v>0.96972610042157525</v>
      </c>
      <c r="Q68" s="277">
        <f t="shared" ca="1" si="27"/>
        <v>0.89604824378152059</v>
      </c>
      <c r="R68" s="277">
        <f t="shared" ca="1" si="27"/>
        <v>1.1183665930365936</v>
      </c>
      <c r="S68" s="277">
        <f t="shared" ca="1" si="27"/>
        <v>1.0768275209230638</v>
      </c>
      <c r="T68" s="277">
        <f t="shared" ca="1" si="27"/>
        <v>1.0163496166313044</v>
      </c>
      <c r="U68" s="277">
        <f t="shared" ca="1" si="27"/>
        <v>0.96972610042157525</v>
      </c>
      <c r="V68" s="277">
        <f t="shared" ca="1" si="27"/>
        <v>0.89604824378152059</v>
      </c>
      <c r="W68" s="277">
        <f t="shared" ca="1" si="27"/>
        <v>0.92966760262459469</v>
      </c>
      <c r="X68" s="277">
        <f t="shared" ca="1" si="27"/>
        <v>0.9569868096583245</v>
      </c>
      <c r="Y68" s="277">
        <f t="shared" ca="1" si="27"/>
        <v>0</v>
      </c>
      <c r="Z68" s="277">
        <f t="shared" ca="1" si="27"/>
        <v>0</v>
      </c>
      <c r="AA68" s="277">
        <f t="shared" ca="1" si="27"/>
        <v>0</v>
      </c>
      <c r="AB68" s="277">
        <f t="shared" ca="1" si="27"/>
        <v>0</v>
      </c>
    </row>
    <row r="69" spans="1:28" x14ac:dyDescent="0.2">
      <c r="A69" s="519"/>
      <c r="B69" s="514" t="str">
        <f t="shared" ca="1" si="25"/>
        <v>Light Urban A24LE</v>
      </c>
      <c r="C69" s="325"/>
      <c r="D69" s="325"/>
      <c r="F69" s="276"/>
      <c r="H69" s="277">
        <f t="shared" ref="H69:AB69" ca="1" si="28">(H51)^0.5</f>
        <v>1.1185373087080166</v>
      </c>
      <c r="I69" s="277">
        <f t="shared" ca="1" si="28"/>
        <v>1.076991895766148</v>
      </c>
      <c r="J69" s="277">
        <f t="shared" ca="1" si="28"/>
        <v>1.0165047596839347</v>
      </c>
      <c r="K69" s="277">
        <f t="shared" ca="1" si="28"/>
        <v>0.96987412651906468</v>
      </c>
      <c r="L69" s="483">
        <f t="shared" ca="1" si="28"/>
        <v>0.89618502315110915</v>
      </c>
      <c r="M69" s="277">
        <f t="shared" ca="1" si="28"/>
        <v>1.1185373087080166</v>
      </c>
      <c r="N69" s="277">
        <f t="shared" ca="1" si="28"/>
        <v>1.076991895766148</v>
      </c>
      <c r="O69" s="277">
        <f t="shared" ca="1" si="28"/>
        <v>1.0165047596839347</v>
      </c>
      <c r="P69" s="277">
        <f t="shared" ca="1" si="28"/>
        <v>0.96987412651906468</v>
      </c>
      <c r="Q69" s="277">
        <f t="shared" ca="1" si="28"/>
        <v>0.89618502315110915</v>
      </c>
      <c r="R69" s="277">
        <f t="shared" ca="1" si="28"/>
        <v>1.1185373087080166</v>
      </c>
      <c r="S69" s="277">
        <f t="shared" ca="1" si="28"/>
        <v>1.076991895766148</v>
      </c>
      <c r="T69" s="277">
        <f t="shared" ca="1" si="28"/>
        <v>1.0165047596839347</v>
      </c>
      <c r="U69" s="277">
        <f t="shared" ca="1" si="28"/>
        <v>0.96987412651906468</v>
      </c>
      <c r="V69" s="277">
        <f t="shared" ca="1" si="28"/>
        <v>0.89618502315110915</v>
      </c>
      <c r="W69" s="277">
        <f t="shared" ca="1" si="28"/>
        <v>0.92980951389945787</v>
      </c>
      <c r="X69" s="277">
        <f t="shared" ca="1" si="28"/>
        <v>0.95713289113712663</v>
      </c>
      <c r="Y69" s="277">
        <f t="shared" ca="1" si="28"/>
        <v>0</v>
      </c>
      <c r="Z69" s="277">
        <f t="shared" ca="1" si="28"/>
        <v>0</v>
      </c>
      <c r="AA69" s="277">
        <f t="shared" ca="1" si="28"/>
        <v>0</v>
      </c>
      <c r="AB69" s="277">
        <f t="shared" ca="1" si="28"/>
        <v>0</v>
      </c>
    </row>
    <row r="70" spans="1:28" x14ac:dyDescent="0.2">
      <c r="A70" s="519"/>
      <c r="B70" s="514" t="str">
        <f t="shared" ca="1" si="25"/>
        <v>Urban A24LE</v>
      </c>
      <c r="C70" s="325"/>
      <c r="D70" s="325"/>
      <c r="F70" s="276"/>
      <c r="H70" s="277">
        <f t="shared" ref="H70:AB70" ca="1" si="29">(H52)^0.5</f>
        <v>1.1432489680808378</v>
      </c>
      <c r="I70" s="277">
        <f t="shared" ca="1" si="29"/>
        <v>1.1007856992166589</v>
      </c>
      <c r="J70" s="277">
        <f t="shared" ca="1" si="29"/>
        <v>1.0389622308622324</v>
      </c>
      <c r="K70" s="277">
        <f t="shared" ca="1" si="29"/>
        <v>0.99130139484749913</v>
      </c>
      <c r="L70" s="1116">
        <f t="shared" ca="1" si="29"/>
        <v>0.91598429033220519</v>
      </c>
      <c r="M70" s="277">
        <f t="shared" ca="1" si="29"/>
        <v>1.1432489680808378</v>
      </c>
      <c r="N70" s="277">
        <f t="shared" ca="1" si="29"/>
        <v>1.1007856992166589</v>
      </c>
      <c r="O70" s="277">
        <f t="shared" ca="1" si="29"/>
        <v>1.0389622308622324</v>
      </c>
      <c r="P70" s="277">
        <f t="shared" ca="1" si="29"/>
        <v>0.99130139484749913</v>
      </c>
      <c r="Q70" s="277">
        <f t="shared" ca="1" si="29"/>
        <v>0.91598429033220519</v>
      </c>
      <c r="R70" s="277">
        <f t="shared" ca="1" si="29"/>
        <v>1.1432489680808378</v>
      </c>
      <c r="S70" s="277">
        <f t="shared" ca="1" si="29"/>
        <v>1.1007856992166589</v>
      </c>
      <c r="T70" s="277">
        <f t="shared" ca="1" si="29"/>
        <v>1.0389622308622324</v>
      </c>
      <c r="U70" s="277">
        <f t="shared" ca="1" si="29"/>
        <v>0.99130139484749913</v>
      </c>
      <c r="V70" s="277">
        <f t="shared" ca="1" si="29"/>
        <v>0.91598429033220519</v>
      </c>
      <c r="W70" s="277">
        <f t="shared" ca="1" si="29"/>
        <v>0.95035164138167116</v>
      </c>
      <c r="X70" s="277">
        <f t="shared" ca="1" si="29"/>
        <v>0.97827866946402409</v>
      </c>
      <c r="Y70" s="277">
        <f t="shared" ca="1" si="29"/>
        <v>0</v>
      </c>
      <c r="Z70" s="277">
        <f t="shared" ca="1" si="29"/>
        <v>0</v>
      </c>
      <c r="AA70" s="277">
        <f t="shared" ca="1" si="29"/>
        <v>0</v>
      </c>
      <c r="AB70" s="277">
        <f t="shared" ca="1" si="29"/>
        <v>0</v>
      </c>
    </row>
    <row r="71" spans="1:28" x14ac:dyDescent="0.2">
      <c r="A71" s="519"/>
      <c r="B71" s="514" t="str">
        <f t="shared" ca="1" si="25"/>
        <v/>
      </c>
      <c r="C71" s="325"/>
      <c r="D71" s="325"/>
      <c r="F71" s="276"/>
      <c r="H71" s="277" t="e">
        <f t="shared" ref="H71:AB71" ca="1" si="30">(H53)^0.5</f>
        <v>#VALUE!</v>
      </c>
      <c r="I71" s="277" t="e">
        <f t="shared" ca="1" si="30"/>
        <v>#VALUE!</v>
      </c>
      <c r="J71" s="277" t="e">
        <f t="shared" ca="1" si="30"/>
        <v>#VALUE!</v>
      </c>
      <c r="K71" s="277" t="e">
        <f t="shared" ca="1" si="30"/>
        <v>#VALUE!</v>
      </c>
      <c r="L71" s="1116" t="e">
        <f t="shared" ca="1" si="30"/>
        <v>#VALUE!</v>
      </c>
      <c r="M71" s="277" t="e">
        <f t="shared" ca="1" si="30"/>
        <v>#VALUE!</v>
      </c>
      <c r="N71" s="277" t="e">
        <f t="shared" ca="1" si="30"/>
        <v>#VALUE!</v>
      </c>
      <c r="O71" s="277" t="e">
        <f t="shared" ca="1" si="30"/>
        <v>#VALUE!</v>
      </c>
      <c r="P71" s="277" t="e">
        <f t="shared" ca="1" si="30"/>
        <v>#VALUE!</v>
      </c>
      <c r="Q71" s="277" t="e">
        <f t="shared" ca="1" si="30"/>
        <v>#VALUE!</v>
      </c>
      <c r="R71" s="277" t="e">
        <f t="shared" ca="1" si="30"/>
        <v>#VALUE!</v>
      </c>
      <c r="S71" s="277" t="e">
        <f t="shared" ca="1" si="30"/>
        <v>#VALUE!</v>
      </c>
      <c r="T71" s="277" t="e">
        <f t="shared" ca="1" si="30"/>
        <v>#VALUE!</v>
      </c>
      <c r="U71" s="277" t="e">
        <f t="shared" ca="1" si="30"/>
        <v>#VALUE!</v>
      </c>
      <c r="V71" s="277" t="e">
        <f t="shared" ca="1" si="30"/>
        <v>#VALUE!</v>
      </c>
      <c r="W71" s="277" t="e">
        <f t="shared" ca="1" si="30"/>
        <v>#VALUE!</v>
      </c>
      <c r="X71" s="277" t="e">
        <f t="shared" ca="1" si="30"/>
        <v>#VALUE!</v>
      </c>
      <c r="Y71" s="277" t="e">
        <f t="shared" ca="1" si="30"/>
        <v>#VALUE!</v>
      </c>
      <c r="Z71" s="277" t="e">
        <f t="shared" ca="1" si="30"/>
        <v>#VALUE!</v>
      </c>
      <c r="AA71" s="277" t="e">
        <f t="shared" ca="1" si="30"/>
        <v>#VALUE!</v>
      </c>
      <c r="AB71" s="277" t="e">
        <f t="shared" ca="1" si="30"/>
        <v>#VALUE!</v>
      </c>
    </row>
    <row r="72" spans="1:28" x14ac:dyDescent="0.2">
      <c r="A72" s="519"/>
      <c r="B72" s="514" t="str">
        <f t="shared" ca="1" si="25"/>
        <v/>
      </c>
      <c r="C72" s="325"/>
      <c r="D72" s="325"/>
      <c r="F72" s="276"/>
      <c r="H72" s="277" t="e">
        <f t="shared" ref="H72:AB72" ca="1" si="31">(H54)^0.5</f>
        <v>#VALUE!</v>
      </c>
      <c r="I72" s="277" t="e">
        <f t="shared" ca="1" si="31"/>
        <v>#VALUE!</v>
      </c>
      <c r="J72" s="277" t="e">
        <f t="shared" ca="1" si="31"/>
        <v>#VALUE!</v>
      </c>
      <c r="K72" s="277" t="e">
        <f t="shared" ca="1" si="31"/>
        <v>#VALUE!</v>
      </c>
      <c r="L72" s="1116" t="e">
        <f t="shared" ca="1" si="31"/>
        <v>#VALUE!</v>
      </c>
      <c r="M72" s="277" t="e">
        <f t="shared" ca="1" si="31"/>
        <v>#VALUE!</v>
      </c>
      <c r="N72" s="277" t="e">
        <f t="shared" ca="1" si="31"/>
        <v>#VALUE!</v>
      </c>
      <c r="O72" s="277" t="e">
        <f t="shared" ca="1" si="31"/>
        <v>#VALUE!</v>
      </c>
      <c r="P72" s="277" t="e">
        <f t="shared" ca="1" si="31"/>
        <v>#VALUE!</v>
      </c>
      <c r="Q72" s="277" t="e">
        <f t="shared" ca="1" si="31"/>
        <v>#VALUE!</v>
      </c>
      <c r="R72" s="277" t="e">
        <f t="shared" ca="1" si="31"/>
        <v>#VALUE!</v>
      </c>
      <c r="S72" s="277" t="e">
        <f t="shared" ca="1" si="31"/>
        <v>#VALUE!</v>
      </c>
      <c r="T72" s="277" t="e">
        <f t="shared" ca="1" si="31"/>
        <v>#VALUE!</v>
      </c>
      <c r="U72" s="277" t="e">
        <f t="shared" ca="1" si="31"/>
        <v>#VALUE!</v>
      </c>
      <c r="V72" s="277" t="e">
        <f t="shared" ca="1" si="31"/>
        <v>#VALUE!</v>
      </c>
      <c r="W72" s="277" t="e">
        <f t="shared" ca="1" si="31"/>
        <v>#VALUE!</v>
      </c>
      <c r="X72" s="277" t="e">
        <f t="shared" ca="1" si="31"/>
        <v>#VALUE!</v>
      </c>
      <c r="Y72" s="277" t="e">
        <f t="shared" ca="1" si="31"/>
        <v>#VALUE!</v>
      </c>
      <c r="Z72" s="277" t="e">
        <f t="shared" ca="1" si="31"/>
        <v>#VALUE!</v>
      </c>
      <c r="AA72" s="277" t="e">
        <f t="shared" ca="1" si="31"/>
        <v>#VALUE!</v>
      </c>
      <c r="AB72" s="277" t="e">
        <f t="shared" ca="1" si="31"/>
        <v>#VALUE!</v>
      </c>
    </row>
    <row r="73" spans="1:28" x14ac:dyDescent="0.2">
      <c r="A73" s="519"/>
      <c r="B73" s="514" t="str">
        <f t="shared" ca="1" si="25"/>
        <v/>
      </c>
      <c r="C73" s="325"/>
      <c r="D73" s="325"/>
      <c r="F73" s="276"/>
      <c r="H73" s="277" t="e">
        <f t="shared" ref="H73:AB73" ca="1" si="32">(H55)^0.5</f>
        <v>#VALUE!</v>
      </c>
      <c r="I73" s="277" t="e">
        <f t="shared" ca="1" si="32"/>
        <v>#VALUE!</v>
      </c>
      <c r="J73" s="277" t="e">
        <f t="shared" ca="1" si="32"/>
        <v>#VALUE!</v>
      </c>
      <c r="K73" s="277" t="e">
        <f t="shared" ca="1" si="32"/>
        <v>#VALUE!</v>
      </c>
      <c r="L73" s="1116" t="e">
        <f t="shared" ca="1" si="32"/>
        <v>#VALUE!</v>
      </c>
      <c r="M73" s="277" t="e">
        <f t="shared" ca="1" si="32"/>
        <v>#VALUE!</v>
      </c>
      <c r="N73" s="277" t="e">
        <f t="shared" ca="1" si="32"/>
        <v>#VALUE!</v>
      </c>
      <c r="O73" s="277" t="e">
        <f t="shared" ca="1" si="32"/>
        <v>#VALUE!</v>
      </c>
      <c r="P73" s="277" t="e">
        <f t="shared" ca="1" si="32"/>
        <v>#VALUE!</v>
      </c>
      <c r="Q73" s="277" t="e">
        <f t="shared" ca="1" si="32"/>
        <v>#VALUE!</v>
      </c>
      <c r="R73" s="277" t="e">
        <f t="shared" ca="1" si="32"/>
        <v>#VALUE!</v>
      </c>
      <c r="S73" s="277" t="e">
        <f t="shared" ca="1" si="32"/>
        <v>#VALUE!</v>
      </c>
      <c r="T73" s="277" t="e">
        <f t="shared" ca="1" si="32"/>
        <v>#VALUE!</v>
      </c>
      <c r="U73" s="277" t="e">
        <f t="shared" ca="1" si="32"/>
        <v>#VALUE!</v>
      </c>
      <c r="V73" s="277" t="e">
        <f t="shared" ca="1" si="32"/>
        <v>#VALUE!</v>
      </c>
      <c r="W73" s="277" t="e">
        <f t="shared" ca="1" si="32"/>
        <v>#VALUE!</v>
      </c>
      <c r="X73" s="277" t="e">
        <f t="shared" ca="1" si="32"/>
        <v>#VALUE!</v>
      </c>
      <c r="Y73" s="277" t="e">
        <f t="shared" ca="1" si="32"/>
        <v>#VALUE!</v>
      </c>
      <c r="Z73" s="277" t="e">
        <f t="shared" ca="1" si="32"/>
        <v>#VALUE!</v>
      </c>
      <c r="AA73" s="277" t="e">
        <f t="shared" ca="1" si="32"/>
        <v>#VALUE!</v>
      </c>
      <c r="AB73" s="277" t="e">
        <f t="shared" ca="1" si="32"/>
        <v>#VALUE!</v>
      </c>
    </row>
    <row r="74" spans="1:28" x14ac:dyDescent="0.2">
      <c r="A74" s="519"/>
      <c r="B74" s="514" t="str">
        <f t="shared" ca="1" si="25"/>
        <v/>
      </c>
      <c r="C74" s="325"/>
      <c r="D74" s="325"/>
      <c r="F74" s="276"/>
      <c r="H74" s="277" t="e">
        <f t="shared" ref="H74:AB74" ca="1" si="33">(H56)^0.5</f>
        <v>#VALUE!</v>
      </c>
      <c r="I74" s="277" t="e">
        <f t="shared" ca="1" si="33"/>
        <v>#VALUE!</v>
      </c>
      <c r="J74" s="277" t="e">
        <f t="shared" ca="1" si="33"/>
        <v>#VALUE!</v>
      </c>
      <c r="K74" s="277" t="e">
        <f t="shared" ca="1" si="33"/>
        <v>#VALUE!</v>
      </c>
      <c r="L74" s="1116" t="e">
        <f t="shared" ca="1" si="33"/>
        <v>#VALUE!</v>
      </c>
      <c r="M74" s="277" t="e">
        <f t="shared" ca="1" si="33"/>
        <v>#VALUE!</v>
      </c>
      <c r="N74" s="277" t="e">
        <f t="shared" ca="1" si="33"/>
        <v>#VALUE!</v>
      </c>
      <c r="O74" s="277" t="e">
        <f t="shared" ca="1" si="33"/>
        <v>#VALUE!</v>
      </c>
      <c r="P74" s="277" t="e">
        <f t="shared" ca="1" si="33"/>
        <v>#VALUE!</v>
      </c>
      <c r="Q74" s="277" t="e">
        <f t="shared" ca="1" si="33"/>
        <v>#VALUE!</v>
      </c>
      <c r="R74" s="277" t="e">
        <f t="shared" ca="1" si="33"/>
        <v>#VALUE!</v>
      </c>
      <c r="S74" s="277" t="e">
        <f t="shared" ca="1" si="33"/>
        <v>#VALUE!</v>
      </c>
      <c r="T74" s="277" t="e">
        <f t="shared" ca="1" si="33"/>
        <v>#VALUE!</v>
      </c>
      <c r="U74" s="277" t="e">
        <f t="shared" ca="1" si="33"/>
        <v>#VALUE!</v>
      </c>
      <c r="V74" s="277" t="e">
        <f t="shared" ca="1" si="33"/>
        <v>#VALUE!</v>
      </c>
      <c r="W74" s="277" t="e">
        <f t="shared" ca="1" si="33"/>
        <v>#VALUE!</v>
      </c>
      <c r="X74" s="277" t="e">
        <f t="shared" ca="1" si="33"/>
        <v>#VALUE!</v>
      </c>
      <c r="Y74" s="277" t="e">
        <f t="shared" ca="1" si="33"/>
        <v>#VALUE!</v>
      </c>
      <c r="Z74" s="277" t="e">
        <f t="shared" ca="1" si="33"/>
        <v>#VALUE!</v>
      </c>
      <c r="AA74" s="277" t="e">
        <f t="shared" ca="1" si="33"/>
        <v>#VALUE!</v>
      </c>
      <c r="AB74" s="277" t="e">
        <f t="shared" ca="1" si="33"/>
        <v>#VALUE!</v>
      </c>
    </row>
    <row r="75" spans="1:28" x14ac:dyDescent="0.2">
      <c r="A75" s="519"/>
      <c r="B75" s="514" t="str">
        <f t="shared" ca="1" si="25"/>
        <v/>
      </c>
      <c r="C75" s="325"/>
      <c r="D75" s="325"/>
      <c r="F75" s="276"/>
      <c r="H75" s="277" t="e">
        <f t="shared" ref="H75:AB75" ca="1" si="34">(H57)^0.5</f>
        <v>#VALUE!</v>
      </c>
      <c r="I75" s="277" t="e">
        <f t="shared" ca="1" si="34"/>
        <v>#VALUE!</v>
      </c>
      <c r="J75" s="277" t="e">
        <f t="shared" ca="1" si="34"/>
        <v>#VALUE!</v>
      </c>
      <c r="K75" s="277" t="e">
        <f t="shared" ca="1" si="34"/>
        <v>#VALUE!</v>
      </c>
      <c r="L75" s="1116" t="e">
        <f t="shared" ca="1" si="34"/>
        <v>#VALUE!</v>
      </c>
      <c r="M75" s="277" t="e">
        <f t="shared" ca="1" si="34"/>
        <v>#VALUE!</v>
      </c>
      <c r="N75" s="277" t="e">
        <f t="shared" ca="1" si="34"/>
        <v>#VALUE!</v>
      </c>
      <c r="O75" s="277" t="e">
        <f t="shared" ca="1" si="34"/>
        <v>#VALUE!</v>
      </c>
      <c r="P75" s="277" t="e">
        <f t="shared" ca="1" si="34"/>
        <v>#VALUE!</v>
      </c>
      <c r="Q75" s="277" t="e">
        <f t="shared" ca="1" si="34"/>
        <v>#VALUE!</v>
      </c>
      <c r="R75" s="277" t="e">
        <f t="shared" ca="1" si="34"/>
        <v>#VALUE!</v>
      </c>
      <c r="S75" s="277" t="e">
        <f t="shared" ca="1" si="34"/>
        <v>#VALUE!</v>
      </c>
      <c r="T75" s="277" t="e">
        <f t="shared" ca="1" si="34"/>
        <v>#VALUE!</v>
      </c>
      <c r="U75" s="277" t="e">
        <f t="shared" ca="1" si="34"/>
        <v>#VALUE!</v>
      </c>
      <c r="V75" s="277" t="e">
        <f t="shared" ca="1" si="34"/>
        <v>#VALUE!</v>
      </c>
      <c r="W75" s="277" t="e">
        <f t="shared" ca="1" si="34"/>
        <v>#VALUE!</v>
      </c>
      <c r="X75" s="277" t="e">
        <f t="shared" ca="1" si="34"/>
        <v>#VALUE!</v>
      </c>
      <c r="Y75" s="277" t="e">
        <f t="shared" ca="1" si="34"/>
        <v>#VALUE!</v>
      </c>
      <c r="Z75" s="277" t="e">
        <f t="shared" ca="1" si="34"/>
        <v>#VALUE!</v>
      </c>
      <c r="AA75" s="277" t="e">
        <f t="shared" ca="1" si="34"/>
        <v>#VALUE!</v>
      </c>
      <c r="AB75" s="277" t="e">
        <f t="shared" ca="1" si="34"/>
        <v>#VALUE!</v>
      </c>
    </row>
    <row r="76" spans="1:28" x14ac:dyDescent="0.2">
      <c r="A76" s="519"/>
      <c r="B76" s="514" t="str">
        <f t="shared" ca="1" si="25"/>
        <v/>
      </c>
      <c r="C76" s="325"/>
      <c r="D76" s="325"/>
      <c r="F76" s="276"/>
      <c r="H76" s="277" t="e">
        <f t="shared" ref="H76:AB76" ca="1" si="35">(H58)^0.5</f>
        <v>#VALUE!</v>
      </c>
      <c r="I76" s="277" t="e">
        <f t="shared" ca="1" si="35"/>
        <v>#VALUE!</v>
      </c>
      <c r="J76" s="277" t="e">
        <f t="shared" ca="1" si="35"/>
        <v>#VALUE!</v>
      </c>
      <c r="K76" s="277" t="e">
        <f t="shared" ca="1" si="35"/>
        <v>#VALUE!</v>
      </c>
      <c r="L76" s="1116" t="e">
        <f t="shared" ca="1" si="35"/>
        <v>#VALUE!</v>
      </c>
      <c r="M76" s="277" t="e">
        <f t="shared" ca="1" si="35"/>
        <v>#VALUE!</v>
      </c>
      <c r="N76" s="277" t="e">
        <f t="shared" ca="1" si="35"/>
        <v>#VALUE!</v>
      </c>
      <c r="O76" s="277" t="e">
        <f t="shared" ca="1" si="35"/>
        <v>#VALUE!</v>
      </c>
      <c r="P76" s="277" t="e">
        <f t="shared" ca="1" si="35"/>
        <v>#VALUE!</v>
      </c>
      <c r="Q76" s="277" t="e">
        <f t="shared" ca="1" si="35"/>
        <v>#VALUE!</v>
      </c>
      <c r="R76" s="277" t="e">
        <f t="shared" ca="1" si="35"/>
        <v>#VALUE!</v>
      </c>
      <c r="S76" s="277" t="e">
        <f t="shared" ca="1" si="35"/>
        <v>#VALUE!</v>
      </c>
      <c r="T76" s="277" t="e">
        <f t="shared" ca="1" si="35"/>
        <v>#VALUE!</v>
      </c>
      <c r="U76" s="277" t="e">
        <f t="shared" ca="1" si="35"/>
        <v>#VALUE!</v>
      </c>
      <c r="V76" s="277" t="e">
        <f t="shared" ca="1" si="35"/>
        <v>#VALUE!</v>
      </c>
      <c r="W76" s="277" t="e">
        <f t="shared" ca="1" si="35"/>
        <v>#VALUE!</v>
      </c>
      <c r="X76" s="277" t="e">
        <f t="shared" ca="1" si="35"/>
        <v>#VALUE!</v>
      </c>
      <c r="Y76" s="277" t="e">
        <f t="shared" ca="1" si="35"/>
        <v>#VALUE!</v>
      </c>
      <c r="Z76" s="277" t="e">
        <f t="shared" ca="1" si="35"/>
        <v>#VALUE!</v>
      </c>
      <c r="AA76" s="277" t="e">
        <f t="shared" ca="1" si="35"/>
        <v>#VALUE!</v>
      </c>
      <c r="AB76" s="277" t="e">
        <f t="shared" ca="1" si="35"/>
        <v>#VALUE!</v>
      </c>
    </row>
    <row r="77" spans="1:28" x14ac:dyDescent="0.2">
      <c r="A77" s="519"/>
      <c r="B77" s="514" t="str">
        <f t="shared" ca="1" si="25"/>
        <v/>
      </c>
      <c r="C77" s="325"/>
      <c r="D77" s="325"/>
      <c r="F77" s="276"/>
      <c r="H77" s="277" t="e">
        <f t="shared" ref="H77:AB79" ca="1" si="36">(H59)^0.5</f>
        <v>#VALUE!</v>
      </c>
      <c r="I77" s="277" t="e">
        <f t="shared" ca="1" si="36"/>
        <v>#VALUE!</v>
      </c>
      <c r="J77" s="277" t="e">
        <f t="shared" ca="1" si="36"/>
        <v>#VALUE!</v>
      </c>
      <c r="K77" s="277" t="e">
        <f t="shared" ca="1" si="36"/>
        <v>#VALUE!</v>
      </c>
      <c r="L77" s="1116" t="e">
        <f t="shared" ca="1" si="36"/>
        <v>#VALUE!</v>
      </c>
      <c r="M77" s="277" t="e">
        <f t="shared" ca="1" si="36"/>
        <v>#VALUE!</v>
      </c>
      <c r="N77" s="277" t="e">
        <f t="shared" ca="1" si="36"/>
        <v>#VALUE!</v>
      </c>
      <c r="O77" s="277" t="e">
        <f t="shared" ca="1" si="36"/>
        <v>#VALUE!</v>
      </c>
      <c r="P77" s="277" t="e">
        <f t="shared" ca="1" si="36"/>
        <v>#VALUE!</v>
      </c>
      <c r="Q77" s="277" t="e">
        <f t="shared" ca="1" si="36"/>
        <v>#VALUE!</v>
      </c>
      <c r="R77" s="277" t="e">
        <f t="shared" ca="1" si="36"/>
        <v>#VALUE!</v>
      </c>
      <c r="S77" s="277" t="e">
        <f t="shared" ca="1" si="36"/>
        <v>#VALUE!</v>
      </c>
      <c r="T77" s="277" t="e">
        <f t="shared" ca="1" si="36"/>
        <v>#VALUE!</v>
      </c>
      <c r="U77" s="277" t="e">
        <f t="shared" ca="1" si="36"/>
        <v>#VALUE!</v>
      </c>
      <c r="V77" s="277" t="e">
        <f t="shared" ca="1" si="36"/>
        <v>#VALUE!</v>
      </c>
      <c r="W77" s="277" t="e">
        <f t="shared" ca="1" si="36"/>
        <v>#VALUE!</v>
      </c>
      <c r="X77" s="277" t="e">
        <f t="shared" ca="1" si="36"/>
        <v>#VALUE!</v>
      </c>
      <c r="Y77" s="277" t="e">
        <f t="shared" ca="1" si="36"/>
        <v>#VALUE!</v>
      </c>
      <c r="Z77" s="277" t="e">
        <f t="shared" ca="1" si="36"/>
        <v>#VALUE!</v>
      </c>
      <c r="AA77" s="277" t="e">
        <f t="shared" ca="1" si="36"/>
        <v>#VALUE!</v>
      </c>
      <c r="AB77" s="277" t="e">
        <f t="shared" ca="1" si="36"/>
        <v>#VALUE!</v>
      </c>
    </row>
    <row r="78" spans="1:28" x14ac:dyDescent="0.2">
      <c r="A78" s="276"/>
      <c r="B78" s="514" t="str">
        <f t="shared" ca="1" si="25"/>
        <v/>
      </c>
      <c r="C78" s="325"/>
      <c r="D78" s="325"/>
      <c r="F78" s="276"/>
      <c r="H78" s="277" t="e">
        <f t="shared" ca="1" si="36"/>
        <v>#VALUE!</v>
      </c>
      <c r="I78" s="277" t="e">
        <f t="shared" ca="1" si="36"/>
        <v>#VALUE!</v>
      </c>
      <c r="J78" s="277" t="e">
        <f t="shared" ca="1" si="36"/>
        <v>#VALUE!</v>
      </c>
      <c r="K78" s="277" t="e">
        <f t="shared" ca="1" si="36"/>
        <v>#VALUE!</v>
      </c>
      <c r="L78" s="1116" t="e">
        <f t="shared" ca="1" si="36"/>
        <v>#VALUE!</v>
      </c>
      <c r="M78" s="277" t="e">
        <f t="shared" ca="1" si="36"/>
        <v>#VALUE!</v>
      </c>
      <c r="N78" s="277" t="e">
        <f t="shared" ca="1" si="36"/>
        <v>#VALUE!</v>
      </c>
      <c r="O78" s="277" t="e">
        <f t="shared" ca="1" si="36"/>
        <v>#VALUE!</v>
      </c>
      <c r="P78" s="277" t="e">
        <f t="shared" ca="1" si="36"/>
        <v>#VALUE!</v>
      </c>
      <c r="Q78" s="277" t="e">
        <f t="shared" ca="1" si="36"/>
        <v>#VALUE!</v>
      </c>
      <c r="R78" s="277" t="e">
        <f t="shared" ca="1" si="36"/>
        <v>#VALUE!</v>
      </c>
      <c r="S78" s="277" t="e">
        <f t="shared" ca="1" si="36"/>
        <v>#VALUE!</v>
      </c>
      <c r="T78" s="277" t="e">
        <f t="shared" ca="1" si="36"/>
        <v>#VALUE!</v>
      </c>
      <c r="U78" s="277" t="e">
        <f t="shared" ca="1" si="36"/>
        <v>#VALUE!</v>
      </c>
      <c r="V78" s="277" t="e">
        <f t="shared" ca="1" si="36"/>
        <v>#VALUE!</v>
      </c>
      <c r="W78" s="277" t="e">
        <f t="shared" ca="1" si="36"/>
        <v>#VALUE!</v>
      </c>
      <c r="X78" s="277" t="e">
        <f t="shared" ca="1" si="36"/>
        <v>#VALUE!</v>
      </c>
      <c r="Y78" s="277" t="e">
        <f t="shared" ca="1" si="36"/>
        <v>#VALUE!</v>
      </c>
      <c r="Z78" s="277" t="e">
        <f t="shared" ca="1" si="36"/>
        <v>#VALUE!</v>
      </c>
      <c r="AA78" s="277" t="e">
        <f t="shared" ca="1" si="36"/>
        <v>#VALUE!</v>
      </c>
      <c r="AB78" s="277" t="e">
        <f t="shared" ca="1" si="36"/>
        <v>#VALUE!</v>
      </c>
    </row>
    <row r="79" spans="1:28" x14ac:dyDescent="0.2">
      <c r="A79" s="276"/>
      <c r="B79" s="514" t="str">
        <f t="shared" ca="1" si="25"/>
        <v/>
      </c>
      <c r="C79" s="325"/>
      <c r="D79" s="325"/>
      <c r="F79" s="276"/>
      <c r="H79" s="277" t="e">
        <f t="shared" ca="1" si="36"/>
        <v>#VALUE!</v>
      </c>
      <c r="I79" s="277" t="e">
        <f t="shared" ca="1" si="36"/>
        <v>#VALUE!</v>
      </c>
      <c r="J79" s="277" t="e">
        <f t="shared" ca="1" si="36"/>
        <v>#VALUE!</v>
      </c>
      <c r="K79" s="277" t="e">
        <f t="shared" ca="1" si="36"/>
        <v>#VALUE!</v>
      </c>
      <c r="L79" s="1116" t="e">
        <f t="shared" ca="1" si="36"/>
        <v>#VALUE!</v>
      </c>
      <c r="M79" s="277" t="e">
        <f t="shared" ca="1" si="36"/>
        <v>#VALUE!</v>
      </c>
      <c r="N79" s="277" t="e">
        <f t="shared" ca="1" si="36"/>
        <v>#VALUE!</v>
      </c>
      <c r="O79" s="277" t="e">
        <f t="shared" ca="1" si="36"/>
        <v>#VALUE!</v>
      </c>
      <c r="P79" s="277" t="e">
        <f t="shared" ca="1" si="36"/>
        <v>#VALUE!</v>
      </c>
      <c r="Q79" s="277" t="e">
        <f t="shared" ca="1" si="36"/>
        <v>#VALUE!</v>
      </c>
      <c r="R79" s="277" t="e">
        <f t="shared" ca="1" si="36"/>
        <v>#VALUE!</v>
      </c>
      <c r="S79" s="277" t="e">
        <f t="shared" ca="1" si="36"/>
        <v>#VALUE!</v>
      </c>
      <c r="T79" s="277" t="e">
        <f t="shared" ca="1" si="36"/>
        <v>#VALUE!</v>
      </c>
      <c r="U79" s="277" t="e">
        <f t="shared" ca="1" si="36"/>
        <v>#VALUE!</v>
      </c>
      <c r="V79" s="277" t="e">
        <f t="shared" ca="1" si="36"/>
        <v>#VALUE!</v>
      </c>
      <c r="W79" s="277" t="e">
        <f t="shared" ca="1" si="36"/>
        <v>#VALUE!</v>
      </c>
      <c r="X79" s="277" t="e">
        <f t="shared" ca="1" si="36"/>
        <v>#VALUE!</v>
      </c>
      <c r="Y79" s="277" t="e">
        <f t="shared" ca="1" si="36"/>
        <v>#VALUE!</v>
      </c>
      <c r="Z79" s="277" t="e">
        <f t="shared" ca="1" si="36"/>
        <v>#VALUE!</v>
      </c>
      <c r="AA79" s="277" t="e">
        <f t="shared" ca="1" si="36"/>
        <v>#VALUE!</v>
      </c>
      <c r="AB79" s="277" t="e">
        <f t="shared" ca="1" si="36"/>
        <v>#VALUE!</v>
      </c>
    </row>
    <row r="80" spans="1:28" x14ac:dyDescent="0.2">
      <c r="A80" s="276"/>
      <c r="B80" s="289"/>
      <c r="C80" s="325"/>
      <c r="D80" s="325"/>
      <c r="F80" s="276"/>
      <c r="H80" s="277"/>
      <c r="I80" s="277"/>
      <c r="J80" s="277"/>
      <c r="K80" s="277"/>
      <c r="L80" s="1114"/>
    </row>
    <row r="81" spans="6:28" x14ac:dyDescent="0.2">
      <c r="F81" s="279"/>
      <c r="M81" s="388" t="str">
        <f t="shared" ref="M81:AB81" si="37">+M12</f>
        <v>10-30</v>
      </c>
      <c r="N81" s="388" t="str">
        <f t="shared" si="37"/>
        <v>40-60</v>
      </c>
      <c r="O81" s="388" t="str">
        <f t="shared" si="37"/>
        <v>70-90</v>
      </c>
      <c r="P81" s="388" t="str">
        <f t="shared" si="37"/>
        <v>100-120</v>
      </c>
      <c r="Q81" s="388" t="str">
        <f t="shared" si="37"/>
        <v>130-150</v>
      </c>
      <c r="R81" s="388" t="str">
        <f t="shared" si="37"/>
        <v>160-180.</v>
      </c>
      <c r="S81" s="388" t="str">
        <f t="shared" si="37"/>
        <v>190-210</v>
      </c>
      <c r="T81" s="388" t="str">
        <f t="shared" si="37"/>
        <v>220-240</v>
      </c>
      <c r="U81" s="388" t="str">
        <f t="shared" si="37"/>
        <v>250-270</v>
      </c>
      <c r="V81" s="388" t="str">
        <f t="shared" si="37"/>
        <v>280-300</v>
      </c>
      <c r="W81" s="388" t="str">
        <f t="shared" si="37"/>
        <v>310-330</v>
      </c>
      <c r="X81" s="388" t="str">
        <f t="shared" si="37"/>
        <v>340-360</v>
      </c>
      <c r="Y81" s="388">
        <f t="shared" si="37"/>
        <v>0</v>
      </c>
      <c r="Z81" s="388">
        <f t="shared" si="37"/>
        <v>0</v>
      </c>
      <c r="AA81" s="388">
        <f t="shared" si="37"/>
        <v>0</v>
      </c>
      <c r="AB81" s="388">
        <f t="shared" si="37"/>
        <v>0</v>
      </c>
    </row>
    <row r="82" spans="6:28" x14ac:dyDescent="0.2">
      <c r="F82" s="391"/>
      <c r="I82" s="274" t="s">
        <v>286</v>
      </c>
      <c r="J82" s="274"/>
    </row>
    <row r="83" spans="6:28" x14ac:dyDescent="0.2">
      <c r="G83" s="276" t="s">
        <v>281</v>
      </c>
      <c r="H83" s="58" t="str">
        <f>H46</f>
        <v>A</v>
      </c>
      <c r="I83" s="58" t="str">
        <f t="shared" ref="I83" si="38">I46</f>
        <v>B</v>
      </c>
      <c r="J83" s="466" t="str">
        <f t="shared" ref="J83:AB83" si="39">J46</f>
        <v>C</v>
      </c>
      <c r="K83" s="466" t="str">
        <f t="shared" si="39"/>
        <v>D</v>
      </c>
      <c r="L83" s="466" t="str">
        <f t="shared" si="39"/>
        <v>E</v>
      </c>
      <c r="M83" s="466" t="str">
        <f t="shared" si="39"/>
        <v>F</v>
      </c>
      <c r="N83" s="466" t="str">
        <f t="shared" si="39"/>
        <v>G</v>
      </c>
      <c r="O83" s="466" t="str">
        <f t="shared" si="39"/>
        <v>H</v>
      </c>
      <c r="P83" s="466" t="str">
        <f t="shared" si="39"/>
        <v>I</v>
      </c>
      <c r="Q83" s="466" t="str">
        <f t="shared" si="39"/>
        <v>J</v>
      </c>
      <c r="R83" s="466" t="str">
        <f t="shared" si="39"/>
        <v>K</v>
      </c>
      <c r="S83" s="466" t="str">
        <f t="shared" si="39"/>
        <v>L</v>
      </c>
      <c r="T83" s="466" t="str">
        <f t="shared" si="39"/>
        <v>M</v>
      </c>
      <c r="U83" s="466" t="str">
        <f t="shared" si="39"/>
        <v>N</v>
      </c>
      <c r="V83" s="466" t="str">
        <f t="shared" si="39"/>
        <v>O</v>
      </c>
      <c r="W83" s="466" t="str">
        <f t="shared" si="39"/>
        <v>P</v>
      </c>
      <c r="X83" s="466" t="str">
        <f t="shared" si="39"/>
        <v>Q</v>
      </c>
      <c r="Y83" s="466" t="str">
        <f t="shared" si="39"/>
        <v>R</v>
      </c>
      <c r="Z83" s="466" t="str">
        <f t="shared" si="39"/>
        <v>S</v>
      </c>
      <c r="AA83" s="466" t="str">
        <f t="shared" si="39"/>
        <v>T</v>
      </c>
      <c r="AB83" s="466" t="str">
        <f t="shared" si="39"/>
        <v>U</v>
      </c>
    </row>
    <row r="84" spans="6:28" x14ac:dyDescent="0.2">
      <c r="F84" s="494"/>
      <c r="G84" s="506" t="str">
        <f ca="1">+B65</f>
        <v>Openwater A24LE</v>
      </c>
      <c r="H84" s="1115">
        <f ca="1">IF(ISERROR('Profile Data'!W103)=TRUE,"",'Profile Data'!W103)</f>
        <v>2.4557582800121335E-2</v>
      </c>
      <c r="I84" s="1115">
        <f ca="1">IF(ISERROR('Profile Data'!X103)=TRUE,"",'Profile Data'!X103)</f>
        <v>0.10714085583217377</v>
      </c>
      <c r="J84" s="1115">
        <f ca="1">IF(ISERROR('Profile Data'!Y103)=TRUE,"",'Profile Data'!Y103)</f>
        <v>0.24103629788775963</v>
      </c>
      <c r="K84" s="1115">
        <f ca="1">IF(ISERROR('Profile Data'!Z103)=TRUE,"",'Profile Data'!Z103)</f>
        <v>0.38173793039868126</v>
      </c>
      <c r="L84" s="1115">
        <f ca="1">IF(ISERROR('Profile Data'!AA103)=TRUE,"",'Profile Data'!AA103)</f>
        <v>0.65171568500220034</v>
      </c>
      <c r="M84" s="1115">
        <f ca="1">IF(ISERROR('Profile Data'!AB103)=TRUE,"",'Profile Data'!AB103)</f>
        <v>2.4557582800121335E-2</v>
      </c>
      <c r="N84" s="1115">
        <f ca="1">IF(ISERROR('Profile Data'!AC103)=TRUE,"",'Profile Data'!AC103)</f>
        <v>0.10714085583217377</v>
      </c>
      <c r="O84" s="1115">
        <f ca="1">IF(ISERROR('Profile Data'!AD103)=TRUE,"",'Profile Data'!AD103)</f>
        <v>0.24103629788775963</v>
      </c>
      <c r="P84" s="1115">
        <f ca="1">IF(ISERROR('Profile Data'!AE103)=TRUE,"",'Profile Data'!AE103)</f>
        <v>0.38173793039868126</v>
      </c>
      <c r="Q84" s="1115">
        <f ca="1">IF(ISERROR('Profile Data'!AF103)=TRUE,"",'Profile Data'!AF103)</f>
        <v>0.65171568500220034</v>
      </c>
      <c r="R84" s="1115">
        <f ca="1">IF(ISERROR('Profile Data'!AG103)=TRUE,"",'Profile Data'!AG103)</f>
        <v>2.4557582800121335E-2</v>
      </c>
      <c r="S84" s="1115">
        <f ca="1">IF(ISERROR('Profile Data'!AH103)=TRUE,"",'Profile Data'!AH103)</f>
        <v>0.10714085583217377</v>
      </c>
      <c r="T84" s="1115">
        <f ca="1">IF(ISERROR('Profile Data'!AI103)=TRUE,"",'Profile Data'!AI103)</f>
        <v>0.24103629788775963</v>
      </c>
      <c r="U84" s="1115">
        <f ca="1">IF(ISERROR('Profile Data'!AJ103)=TRUE,"",'Profile Data'!AJ103)</f>
        <v>0.38173793039868126</v>
      </c>
      <c r="V84" s="1115">
        <f ca="1">IF(ISERROR('Profile Data'!AK103)=TRUE,"",'Profile Data'!AK103)</f>
        <v>0.65171568500220034</v>
      </c>
      <c r="W84" s="1115">
        <f ca="1">IF(ISERROR('Profile Data'!AL103)=TRUE,"",'Profile Data'!AL103)</f>
        <v>0.53075971189735283</v>
      </c>
      <c r="X84" s="1115">
        <f ca="1">IF(ISERROR('Profile Data'!AM103)=TRUE,"",'Profile Data'!AM103)</f>
        <v>0.42234306312547654</v>
      </c>
      <c r="Y84" s="1115" t="str">
        <f ca="1">IF(ISERROR('Profile Data'!AN103)=TRUE,"",'Profile Data'!AN103)</f>
        <v/>
      </c>
      <c r="Z84" s="1115" t="str">
        <f ca="1">IF(ISERROR('Profile Data'!AO103)=TRUE,"",'Profile Data'!AO103)</f>
        <v/>
      </c>
      <c r="AA84" s="1115" t="str">
        <f ca="1">IF(ISERROR('Profile Data'!AP103)=TRUE,"",'Profile Data'!AP103)</f>
        <v/>
      </c>
      <c r="AB84" s="1115" t="str">
        <f ca="1">IF(ISERROR('Profile Data'!AQ103)=TRUE,"",'Profile Data'!AQ103)</f>
        <v/>
      </c>
    </row>
    <row r="85" spans="6:28" x14ac:dyDescent="0.2">
      <c r="G85" s="276" t="str">
        <f ca="1">+B66</f>
        <v>Open A24LE</v>
      </c>
      <c r="H85" s="1115">
        <f ca="1">IF(ISERROR('Profile Data'!W104)=TRUE,"",'Profile Data'!W104)</f>
        <v>8.436415588253024E-2</v>
      </c>
      <c r="I85" s="1115">
        <f ca="1">IF(ISERROR('Profile Data'!X104)=TRUE,"",'Profile Data'!X104)</f>
        <v>8.9431664940248564E-3</v>
      </c>
      <c r="J85" s="1115">
        <f ca="1">IF(ISERROR('Profile Data'!Y104)=TRUE,"",'Profile Data'!Y104)</f>
        <v>0.13449391791024864</v>
      </c>
      <c r="K85" s="1115">
        <f ca="1">IF(ISERROR('Profile Data'!Z104)=TRUE,"",'Profile Data'!Z104)</f>
        <v>0.27519555042117028</v>
      </c>
      <c r="L85" s="1115">
        <f ca="1">IF(ISERROR('Profile Data'!AA104)=TRUE,"",'Profile Data'!AA104)</f>
        <v>0.54517330502468919</v>
      </c>
      <c r="M85" s="1115">
        <f ca="1">IF(ISERROR('Profile Data'!AB104)=TRUE,"",'Profile Data'!AB104)</f>
        <v>8.436415588253024E-2</v>
      </c>
      <c r="N85" s="1115">
        <f ca="1">IF(ISERROR('Profile Data'!AC104)=TRUE,"",'Profile Data'!AC104)</f>
        <v>8.9431664940248564E-3</v>
      </c>
      <c r="O85" s="1115">
        <f ca="1">IF(ISERROR('Profile Data'!AD104)=TRUE,"",'Profile Data'!AD104)</f>
        <v>0.13449391791024864</v>
      </c>
      <c r="P85" s="1115">
        <f ca="1">IF(ISERROR('Profile Data'!AE104)=TRUE,"",'Profile Data'!AE104)</f>
        <v>0.27519555042117028</v>
      </c>
      <c r="Q85" s="1115">
        <f ca="1">IF(ISERROR('Profile Data'!AF104)=TRUE,"",'Profile Data'!AF104)</f>
        <v>0.54517330502468919</v>
      </c>
      <c r="R85" s="1115">
        <f ca="1">IF(ISERROR('Profile Data'!AG104)=TRUE,"",'Profile Data'!AG104)</f>
        <v>8.436415588253024E-2</v>
      </c>
      <c r="S85" s="1115">
        <f ca="1">IF(ISERROR('Profile Data'!AH104)=TRUE,"",'Profile Data'!AH104)</f>
        <v>8.9431664940248564E-3</v>
      </c>
      <c r="T85" s="1115">
        <f ca="1">IF(ISERROR('Profile Data'!AI104)=TRUE,"",'Profile Data'!AI104)</f>
        <v>0.13449391791024864</v>
      </c>
      <c r="U85" s="1115">
        <f ca="1">IF(ISERROR('Profile Data'!AJ104)=TRUE,"",'Profile Data'!AJ104)</f>
        <v>0.27519555042117028</v>
      </c>
      <c r="V85" s="1115">
        <f ca="1">IF(ISERROR('Profile Data'!AK104)=TRUE,"",'Profile Data'!AK104)</f>
        <v>0.54517330502468919</v>
      </c>
      <c r="W85" s="1115">
        <f ca="1">IF(ISERROR('Profile Data'!AL104)=TRUE,"",'Profile Data'!AL104)</f>
        <v>0.42421733191984179</v>
      </c>
      <c r="X85" s="1115">
        <f ca="1">IF(ISERROR('Profile Data'!AM104)=TRUE,"",'Profile Data'!AM104)</f>
        <v>0.31580068314796556</v>
      </c>
      <c r="Y85" s="1115" t="str">
        <f ca="1">IF(ISERROR('Profile Data'!AN104)=TRUE,"",'Profile Data'!AN104)</f>
        <v/>
      </c>
      <c r="Z85" s="1115" t="str">
        <f ca="1">IF(ISERROR('Profile Data'!AO104)=TRUE,"",'Profile Data'!AO104)</f>
        <v/>
      </c>
      <c r="AA85" s="1115" t="str">
        <f ca="1">IF(ISERROR('Profile Data'!AP104)=TRUE,"",'Profile Data'!AP104)</f>
        <v/>
      </c>
      <c r="AB85" s="1115" t="str">
        <f ca="1">IF(ISERROR('Profile Data'!AQ104)=TRUE,"",'Profile Data'!AQ104)</f>
        <v/>
      </c>
    </row>
    <row r="86" spans="6:28" x14ac:dyDescent="0.2">
      <c r="G86" s="276" t="str">
        <f t="shared" ref="G86:G98" ca="1" si="40">+B67</f>
        <v>Opsub A24LE</v>
      </c>
      <c r="H86" s="1115">
        <f ca="1">IF(ISERROR('Profile Data'!W105)=TRUE,"",'Profile Data'!W105)</f>
        <v>0.23585342011818466</v>
      </c>
      <c r="I86" s="1115">
        <f ca="1">IF(ISERROR('Profile Data'!X105)=TRUE,"",'Profile Data'!X105)</f>
        <v>0.1520450507950411</v>
      </c>
      <c r="J86" s="1115">
        <f ca="1">IF(ISERROR('Profile Data'!Y105)=TRUE,"",'Profile Data'!Y105)</f>
        <v>2.4387146566162608E-2</v>
      </c>
      <c r="K86" s="1115">
        <f ca="1">IF(ISERROR('Profile Data'!Z105)=TRUE,"",'Profile Data'!Z105)</f>
        <v>0.12255202377146637</v>
      </c>
      <c r="L86" s="1115">
        <f ca="1">IF(ISERROR('Profile Data'!AA105)=TRUE,"",'Profile Data'!AA105)</f>
        <v>0.39252977837498543</v>
      </c>
      <c r="M86" s="1115">
        <f ca="1">IF(ISERROR('Profile Data'!AB105)=TRUE,"",'Profile Data'!AB105)</f>
        <v>0.23585342011818466</v>
      </c>
      <c r="N86" s="1115">
        <f ca="1">IF(ISERROR('Profile Data'!AC105)=TRUE,"",'Profile Data'!AC105)</f>
        <v>0.1520450507950411</v>
      </c>
      <c r="O86" s="1115">
        <f ca="1">IF(ISERROR('Profile Data'!AD105)=TRUE,"",'Profile Data'!AD105)</f>
        <v>2.4387146566162608E-2</v>
      </c>
      <c r="P86" s="1115">
        <f ca="1">IF(ISERROR('Profile Data'!AE105)=TRUE,"",'Profile Data'!AE105)</f>
        <v>0.12255202377146637</v>
      </c>
      <c r="Q86" s="1115">
        <f ca="1">IF(ISERROR('Profile Data'!AF105)=TRUE,"",'Profile Data'!AF105)</f>
        <v>0.39252977837498543</v>
      </c>
      <c r="R86" s="1115">
        <f ca="1">IF(ISERROR('Profile Data'!AG105)=TRUE,"",'Profile Data'!AG105)</f>
        <v>0.23585342011818466</v>
      </c>
      <c r="S86" s="1115">
        <f ca="1">IF(ISERROR('Profile Data'!AH105)=TRUE,"",'Profile Data'!AH105)</f>
        <v>0.1520450507950411</v>
      </c>
      <c r="T86" s="1115">
        <f ca="1">IF(ISERROR('Profile Data'!AI105)=TRUE,"",'Profile Data'!AI105)</f>
        <v>2.4387146566162608E-2</v>
      </c>
      <c r="U86" s="1115">
        <f ca="1">IF(ISERROR('Profile Data'!AJ105)=TRUE,"",'Profile Data'!AJ105)</f>
        <v>0.12255202377146637</v>
      </c>
      <c r="V86" s="1115">
        <f ca="1">IF(ISERROR('Profile Data'!AK105)=TRUE,"",'Profile Data'!AK105)</f>
        <v>0.39252977837498543</v>
      </c>
      <c r="W86" s="1115">
        <f ca="1">IF(ISERROR('Profile Data'!AL105)=TRUE,"",'Profile Data'!AL105)</f>
        <v>0.27157380527013791</v>
      </c>
      <c r="X86" s="1115">
        <f ca="1">IF(ISERROR('Profile Data'!AM105)=TRUE,"",'Profile Data'!AM105)</f>
        <v>0.16315715649826162</v>
      </c>
      <c r="Y86" s="1115" t="str">
        <f ca="1">IF(ISERROR('Profile Data'!AN105)=TRUE,"",'Profile Data'!AN105)</f>
        <v/>
      </c>
      <c r="Z86" s="1115" t="str">
        <f ca="1">IF(ISERROR('Profile Data'!AO105)=TRUE,"",'Profile Data'!AO105)</f>
        <v/>
      </c>
      <c r="AA86" s="1115" t="str">
        <f ca="1">IF(ISERROR('Profile Data'!AP105)=TRUE,"",'Profile Data'!AP105)</f>
        <v/>
      </c>
      <c r="AB86" s="1115" t="str">
        <f ca="1">IF(ISERROR('Profile Data'!AQ105)=TRUE,"",'Profile Data'!AQ105)</f>
        <v/>
      </c>
    </row>
    <row r="87" spans="6:28" x14ac:dyDescent="0.2">
      <c r="G87" s="276" t="str">
        <f t="shared" ca="1" si="40"/>
        <v>Suburban A24LE</v>
      </c>
      <c r="H87" s="1115">
        <f ca="1">IF(ISERROR('Profile Data'!W106)=TRUE,"",'Profile Data'!W106)</f>
        <v>0.36477538374184798</v>
      </c>
      <c r="I87" s="1115">
        <f ca="1">IF(ISERROR('Profile Data'!X106)=TRUE,"",'Profile Data'!X106)</f>
        <v>0.28096701441870442</v>
      </c>
      <c r="J87" s="1115">
        <f ca="1">IF(ISERROR('Profile Data'!Y106)=TRUE,"",'Profile Data'!Y106)</f>
        <v>0.14707157236311857</v>
      </c>
      <c r="K87" s="1115">
        <f ca="1">IF(ISERROR('Profile Data'!Z106)=TRUE,"",'Profile Data'!Z106)</f>
        <v>1.4409756084898849E-2</v>
      </c>
      <c r="L87" s="1115">
        <f ca="1">IF(ISERROR('Profile Data'!AA106)=TRUE,"",'Profile Data'!AA106)</f>
        <v>0.26360781475132211</v>
      </c>
      <c r="M87" s="1115">
        <f ca="1">IF(ISERROR('Profile Data'!AB106)=TRUE,"",'Profile Data'!AB106)</f>
        <v>0.36477538374184798</v>
      </c>
      <c r="N87" s="1115">
        <f ca="1">IF(ISERROR('Profile Data'!AC106)=TRUE,"",'Profile Data'!AC106)</f>
        <v>0.28096701441870442</v>
      </c>
      <c r="O87" s="1115">
        <f ca="1">IF(ISERROR('Profile Data'!AD106)=TRUE,"",'Profile Data'!AD106)</f>
        <v>0.14707157236311857</v>
      </c>
      <c r="P87" s="1115">
        <f ca="1">IF(ISERROR('Profile Data'!AE106)=TRUE,"",'Profile Data'!AE106)</f>
        <v>1.4409756084898849E-2</v>
      </c>
      <c r="Q87" s="1115">
        <f ca="1">IF(ISERROR('Profile Data'!AF106)=TRUE,"",'Profile Data'!AF106)</f>
        <v>0.26360781475132211</v>
      </c>
      <c r="R87" s="1115">
        <f ca="1">IF(ISERROR('Profile Data'!AG106)=TRUE,"",'Profile Data'!AG106)</f>
        <v>0.36477538374184798</v>
      </c>
      <c r="S87" s="1115">
        <f ca="1">IF(ISERROR('Profile Data'!AH106)=TRUE,"",'Profile Data'!AH106)</f>
        <v>0.28096701441870442</v>
      </c>
      <c r="T87" s="1115">
        <f ca="1">IF(ISERROR('Profile Data'!AI106)=TRUE,"",'Profile Data'!AI106)</f>
        <v>0.14707157236311857</v>
      </c>
      <c r="U87" s="1115">
        <f ca="1">IF(ISERROR('Profile Data'!AJ106)=TRUE,"",'Profile Data'!AJ106)</f>
        <v>1.4409756084898849E-2</v>
      </c>
      <c r="V87" s="1115">
        <f ca="1">IF(ISERROR('Profile Data'!AK106)=TRUE,"",'Profile Data'!AK106)</f>
        <v>0.26360781475132211</v>
      </c>
      <c r="W87" s="1115">
        <f ca="1">IF(ISERROR('Profile Data'!AL106)=TRUE,"",'Profile Data'!AL106)</f>
        <v>0.14454156992916933</v>
      </c>
      <c r="X87" s="1115">
        <f ca="1">IF(ISERROR('Profile Data'!AM106)=TRUE,"",'Profile Data'!AM106)</f>
        <v>3.9949826415253686E-2</v>
      </c>
      <c r="Y87" s="1115" t="str">
        <f ca="1">IF(ISERROR('Profile Data'!AN106)=TRUE,"",'Profile Data'!AN106)</f>
        <v/>
      </c>
      <c r="Z87" s="1115" t="str">
        <f ca="1">IF(ISERROR('Profile Data'!AO106)=TRUE,"",'Profile Data'!AO106)</f>
        <v/>
      </c>
      <c r="AA87" s="1115" t="str">
        <f ca="1">IF(ISERROR('Profile Data'!AP106)=TRUE,"",'Profile Data'!AP106)</f>
        <v/>
      </c>
      <c r="AB87" s="1115" t="str">
        <f ca="1">IF(ISERROR('Profile Data'!AQ106)=TRUE,"",'Profile Data'!AQ106)</f>
        <v/>
      </c>
    </row>
    <row r="88" spans="6:28" x14ac:dyDescent="0.2">
      <c r="G88" s="276" t="str">
        <f t="shared" ca="1" si="40"/>
        <v>Light Urban A24LE</v>
      </c>
      <c r="H88" s="1115">
        <f ca="1">IF(ISERROR('Profile Data'!W107)=TRUE,"",'Profile Data'!W107)</f>
        <v>0.48410735561583612</v>
      </c>
      <c r="I88" s="1115">
        <f ca="1">IF(ISERROR('Profile Data'!X107)=TRUE,"",'Profile Data'!X107)</f>
        <v>0.40029898629269256</v>
      </c>
      <c r="J88" s="1115">
        <f ca="1">IF(ISERROR('Profile Data'!Y107)=TRUE,"",'Profile Data'!Y107)</f>
        <v>0.26640354423710666</v>
      </c>
      <c r="K88" s="1115">
        <f ca="1">IF(ISERROR('Profile Data'!Z107)=TRUE,"",'Profile Data'!Z107)</f>
        <v>0.12570191172618503</v>
      </c>
      <c r="L88" s="1115">
        <f ca="1">IF(ISERROR('Profile Data'!AA107)=TRUE,"",'Profile Data'!AA107)</f>
        <v>0.15108169553045214</v>
      </c>
      <c r="M88" s="1115">
        <f ca="1">IF(ISERROR('Profile Data'!AB107)=TRUE,"",'Profile Data'!AB107)</f>
        <v>0.48410735561583612</v>
      </c>
      <c r="N88" s="1115">
        <f ca="1">IF(ISERROR('Profile Data'!AC107)=TRUE,"",'Profile Data'!AC107)</f>
        <v>0.40029898629269256</v>
      </c>
      <c r="O88" s="1115">
        <f ca="1">IF(ISERROR('Profile Data'!AD107)=TRUE,"",'Profile Data'!AD107)</f>
        <v>0.26640354423710666</v>
      </c>
      <c r="P88" s="1115">
        <f ca="1">IF(ISERROR('Profile Data'!AE107)=TRUE,"",'Profile Data'!AE107)</f>
        <v>0.12570191172618503</v>
      </c>
      <c r="Q88" s="1115">
        <f ca="1">IF(ISERROR('Profile Data'!AF107)=TRUE,"",'Profile Data'!AF107)</f>
        <v>0.15108169553045214</v>
      </c>
      <c r="R88" s="1115">
        <f ca="1">IF(ISERROR('Profile Data'!AG107)=TRUE,"",'Profile Data'!AG107)</f>
        <v>0.48410735561583612</v>
      </c>
      <c r="S88" s="1115">
        <f ca="1">IF(ISERROR('Profile Data'!AH107)=TRUE,"",'Profile Data'!AH107)</f>
        <v>0.40029898629269256</v>
      </c>
      <c r="T88" s="1115">
        <f ca="1">IF(ISERROR('Profile Data'!AI107)=TRUE,"",'Profile Data'!AI107)</f>
        <v>0.26640354423710666</v>
      </c>
      <c r="U88" s="1115">
        <f ca="1">IF(ISERROR('Profile Data'!AJ107)=TRUE,"",'Profile Data'!AJ107)</f>
        <v>0.12570191172618503</v>
      </c>
      <c r="V88" s="1115">
        <f ca="1">IF(ISERROR('Profile Data'!AK107)=TRUE,"",'Profile Data'!AK107)</f>
        <v>0.15108169553045214</v>
      </c>
      <c r="W88" s="1115">
        <f ca="1">IF(ISERROR('Profile Data'!AL107)=TRUE,"",'Profile Data'!AL107)</f>
        <v>3.5951770947211845E-2</v>
      </c>
      <c r="X88" s="1115">
        <f ca="1">IF(ISERROR('Profile Data'!AM107)=TRUE,"",'Profile Data'!AM107)</f>
        <v>8.5096778999389736E-2</v>
      </c>
      <c r="Y88" s="1115" t="str">
        <f ca="1">IF(ISERROR('Profile Data'!AN107)=TRUE,"",'Profile Data'!AN107)</f>
        <v/>
      </c>
      <c r="Z88" s="1115" t="str">
        <f ca="1">IF(ISERROR('Profile Data'!AO107)=TRUE,"",'Profile Data'!AO107)</f>
        <v/>
      </c>
      <c r="AA88" s="1115" t="str">
        <f ca="1">IF(ISERROR('Profile Data'!AP107)=TRUE,"",'Profile Data'!AP107)</f>
        <v/>
      </c>
      <c r="AB88" s="1115" t="str">
        <f ca="1">IF(ISERROR('Profile Data'!AQ107)=TRUE,"",'Profile Data'!AQ107)</f>
        <v/>
      </c>
    </row>
    <row r="89" spans="6:28" x14ac:dyDescent="0.2">
      <c r="G89" s="276" t="str">
        <f t="shared" ca="1" si="40"/>
        <v>Urban A24LE</v>
      </c>
      <c r="H89" s="1115">
        <f ca="1">IF(ISERROR('Profile Data'!W108)=TRUE,"",'Profile Data'!W108)</f>
        <v>0.57578574455969112</v>
      </c>
      <c r="I89" s="1115">
        <f ca="1">IF(ISERROR('Profile Data'!X108)=TRUE,"",'Profile Data'!X108)</f>
        <v>0.49197737523654761</v>
      </c>
      <c r="J89" s="1115">
        <f ca="1">IF(ISERROR('Profile Data'!Y108)=TRUE,"",'Profile Data'!Y108)</f>
        <v>0.35808193318096171</v>
      </c>
      <c r="K89" s="1115">
        <f ca="1">IF(ISERROR('Profile Data'!Z108)=TRUE,"",'Profile Data'!Z108)</f>
        <v>0.21738030067004008</v>
      </c>
      <c r="L89" s="1115">
        <f ca="1">IF(ISERROR('Profile Data'!AA108)=TRUE,"",'Profile Data'!AA108)</f>
        <v>5.8252115966445944E-2</v>
      </c>
      <c r="M89" s="1115">
        <f ca="1">IF(ISERROR('Profile Data'!AB108)=TRUE,"",'Profile Data'!AB108)</f>
        <v>0.57578574455969112</v>
      </c>
      <c r="N89" s="1115">
        <f ca="1">IF(ISERROR('Profile Data'!AC108)=TRUE,"",'Profile Data'!AC108)</f>
        <v>0.49197737523654761</v>
      </c>
      <c r="O89" s="1115">
        <f ca="1">IF(ISERROR('Profile Data'!AD108)=TRUE,"",'Profile Data'!AD108)</f>
        <v>0.35808193318096171</v>
      </c>
      <c r="P89" s="1115">
        <f ca="1">IF(ISERROR('Profile Data'!AE108)=TRUE,"",'Profile Data'!AE108)</f>
        <v>0.21738030067004008</v>
      </c>
      <c r="Q89" s="1115">
        <f ca="1">IF(ISERROR('Profile Data'!AF108)=TRUE,"",'Profile Data'!AF108)</f>
        <v>5.8252115966445944E-2</v>
      </c>
      <c r="R89" s="1115">
        <f ca="1">IF(ISERROR('Profile Data'!AG108)=TRUE,"",'Profile Data'!AG108)</f>
        <v>0.57578574455969112</v>
      </c>
      <c r="S89" s="1115">
        <f ca="1">IF(ISERROR('Profile Data'!AH108)=TRUE,"",'Profile Data'!AH108)</f>
        <v>0.49197737523654761</v>
      </c>
      <c r="T89" s="1115">
        <f ca="1">IF(ISERROR('Profile Data'!AI108)=TRUE,"",'Profile Data'!AI108)</f>
        <v>0.35808193318096171</v>
      </c>
      <c r="U89" s="1115">
        <f ca="1">IF(ISERROR('Profile Data'!AJ108)=TRUE,"",'Profile Data'!AJ108)</f>
        <v>0.21738030067004008</v>
      </c>
      <c r="V89" s="1115">
        <f ca="1">IF(ISERROR('Profile Data'!AK108)=TRUE,"",'Profile Data'!AK108)</f>
        <v>5.8252115966445944E-2</v>
      </c>
      <c r="W89" s="1115">
        <f ca="1">IF(ISERROR('Profile Data'!AL108)=TRUE,"",'Profile Data'!AL108)</f>
        <v>6.8358519171368565E-2</v>
      </c>
      <c r="X89" s="1115">
        <f ca="1">IF(ISERROR('Profile Data'!AM108)=TRUE,"",'Profile Data'!AM108)</f>
        <v>0.17677516794324483</v>
      </c>
      <c r="Y89" s="1115" t="str">
        <f ca="1">IF(ISERROR('Profile Data'!AN108)=TRUE,"",'Profile Data'!AN108)</f>
        <v/>
      </c>
      <c r="Z89" s="1115" t="str">
        <f ca="1">IF(ISERROR('Profile Data'!AO108)=TRUE,"",'Profile Data'!AO108)</f>
        <v/>
      </c>
      <c r="AA89" s="1115" t="str">
        <f ca="1">IF(ISERROR('Profile Data'!AP108)=TRUE,"",'Profile Data'!AP108)</f>
        <v/>
      </c>
      <c r="AB89" s="1115" t="str">
        <f ca="1">IF(ISERROR('Profile Data'!AQ108)=TRUE,"",'Profile Data'!AQ108)</f>
        <v/>
      </c>
    </row>
    <row r="90" spans="6:28" x14ac:dyDescent="0.2">
      <c r="G90" s="276" t="str">
        <f t="shared" ca="1" si="40"/>
        <v/>
      </c>
      <c r="H90" s="1115" t="str">
        <f ca="1">IF(ISERROR('Profile Data'!W109)=TRUE,"",'Profile Data'!W109)</f>
        <v/>
      </c>
      <c r="I90" s="1115" t="str">
        <f ca="1">IF(ISERROR('Profile Data'!X109)=TRUE,"",'Profile Data'!X109)</f>
        <v/>
      </c>
      <c r="J90" s="1115" t="str">
        <f ca="1">IF(ISERROR('Profile Data'!Y109)=TRUE,"",'Profile Data'!Y109)</f>
        <v/>
      </c>
      <c r="K90" s="1115" t="str">
        <f ca="1">IF(ISERROR('Profile Data'!Z109)=TRUE,"",'Profile Data'!Z109)</f>
        <v/>
      </c>
      <c r="L90" s="1115" t="str">
        <f ca="1">IF(ISERROR('Profile Data'!AA109)=TRUE,"",'Profile Data'!AA109)</f>
        <v/>
      </c>
      <c r="M90" s="1115" t="str">
        <f ca="1">IF(ISERROR('Profile Data'!AB109)=TRUE,"",'Profile Data'!AB109)</f>
        <v/>
      </c>
      <c r="N90" s="1115" t="str">
        <f ca="1">IF(ISERROR('Profile Data'!AC109)=TRUE,"",'Profile Data'!AC109)</f>
        <v/>
      </c>
      <c r="O90" s="1115" t="str">
        <f ca="1">IF(ISERROR('Profile Data'!AD109)=TRUE,"",'Profile Data'!AD109)</f>
        <v/>
      </c>
      <c r="P90" s="1115" t="str">
        <f ca="1">IF(ISERROR('Profile Data'!AE109)=TRUE,"",'Profile Data'!AE109)</f>
        <v/>
      </c>
      <c r="Q90" s="1115" t="str">
        <f ca="1">IF(ISERROR('Profile Data'!AF109)=TRUE,"",'Profile Data'!AF109)</f>
        <v/>
      </c>
      <c r="R90" s="1115" t="str">
        <f ca="1">IF(ISERROR('Profile Data'!AG109)=TRUE,"",'Profile Data'!AG109)</f>
        <v/>
      </c>
      <c r="S90" s="1115" t="str">
        <f ca="1">IF(ISERROR('Profile Data'!AH109)=TRUE,"",'Profile Data'!AH109)</f>
        <v/>
      </c>
      <c r="T90" s="1115" t="str">
        <f ca="1">IF(ISERROR('Profile Data'!AI109)=TRUE,"",'Profile Data'!AI109)</f>
        <v/>
      </c>
      <c r="U90" s="1115" t="str">
        <f ca="1">IF(ISERROR('Profile Data'!AJ109)=TRUE,"",'Profile Data'!AJ109)</f>
        <v/>
      </c>
      <c r="V90" s="1115" t="str">
        <f ca="1">IF(ISERROR('Profile Data'!AK109)=TRUE,"",'Profile Data'!AK109)</f>
        <v/>
      </c>
      <c r="W90" s="1115" t="str">
        <f ca="1">IF(ISERROR('Profile Data'!AL109)=TRUE,"",'Profile Data'!AL109)</f>
        <v/>
      </c>
      <c r="X90" s="1115" t="str">
        <f ca="1">IF(ISERROR('Profile Data'!AM109)=TRUE,"",'Profile Data'!AM109)</f>
        <v/>
      </c>
      <c r="Y90" s="1115" t="str">
        <f ca="1">IF(ISERROR('Profile Data'!AN109)=TRUE,"",'Profile Data'!AN109)</f>
        <v/>
      </c>
      <c r="Z90" s="1115" t="str">
        <f ca="1">IF(ISERROR('Profile Data'!AO109)=TRUE,"",'Profile Data'!AO109)</f>
        <v/>
      </c>
      <c r="AA90" s="1115" t="str">
        <f ca="1">IF(ISERROR('Profile Data'!AP109)=TRUE,"",'Profile Data'!AP109)</f>
        <v/>
      </c>
      <c r="AB90" s="1115" t="str">
        <f ca="1">IF(ISERROR('Profile Data'!AQ109)=TRUE,"",'Profile Data'!AQ109)</f>
        <v/>
      </c>
    </row>
    <row r="91" spans="6:28" x14ac:dyDescent="0.2">
      <c r="G91" s="276" t="str">
        <f t="shared" ca="1" si="40"/>
        <v/>
      </c>
      <c r="H91" s="1115" t="str">
        <f ca="1">IF(ISERROR('Profile Data'!W110)=TRUE,"",'Profile Data'!W110)</f>
        <v/>
      </c>
      <c r="I91" s="1115" t="str">
        <f ca="1">IF(ISERROR('Profile Data'!X110)=TRUE,"",'Profile Data'!X110)</f>
        <v/>
      </c>
      <c r="J91" s="1115" t="str">
        <f ca="1">IF(ISERROR('Profile Data'!Y110)=TRUE,"",'Profile Data'!Y110)</f>
        <v/>
      </c>
      <c r="K91" s="1115" t="str">
        <f ca="1">IF(ISERROR('Profile Data'!Z110)=TRUE,"",'Profile Data'!Z110)</f>
        <v/>
      </c>
      <c r="L91" s="1115" t="str">
        <f ca="1">IF(ISERROR('Profile Data'!AA110)=TRUE,"",'Profile Data'!AA110)</f>
        <v/>
      </c>
      <c r="M91" s="1115" t="str">
        <f ca="1">IF(ISERROR('Profile Data'!AB110)=TRUE,"",'Profile Data'!AB110)</f>
        <v/>
      </c>
      <c r="N91" s="1115" t="str">
        <f ca="1">IF(ISERROR('Profile Data'!AC110)=TRUE,"",'Profile Data'!AC110)</f>
        <v/>
      </c>
      <c r="O91" s="1115" t="str">
        <f ca="1">IF(ISERROR('Profile Data'!AD110)=TRUE,"",'Profile Data'!AD110)</f>
        <v/>
      </c>
      <c r="P91" s="1115" t="str">
        <f ca="1">IF(ISERROR('Profile Data'!AE110)=TRUE,"",'Profile Data'!AE110)</f>
        <v/>
      </c>
      <c r="Q91" s="1115" t="str">
        <f ca="1">IF(ISERROR('Profile Data'!AF110)=TRUE,"",'Profile Data'!AF110)</f>
        <v/>
      </c>
      <c r="R91" s="1115" t="str">
        <f ca="1">IF(ISERROR('Profile Data'!AG110)=TRUE,"",'Profile Data'!AG110)</f>
        <v/>
      </c>
      <c r="S91" s="1115" t="str">
        <f ca="1">IF(ISERROR('Profile Data'!AH110)=TRUE,"",'Profile Data'!AH110)</f>
        <v/>
      </c>
      <c r="T91" s="1115" t="str">
        <f ca="1">IF(ISERROR('Profile Data'!AI110)=TRUE,"",'Profile Data'!AI110)</f>
        <v/>
      </c>
      <c r="U91" s="1115" t="str">
        <f ca="1">IF(ISERROR('Profile Data'!AJ110)=TRUE,"",'Profile Data'!AJ110)</f>
        <v/>
      </c>
      <c r="V91" s="1115" t="str">
        <f ca="1">IF(ISERROR('Profile Data'!AK110)=TRUE,"",'Profile Data'!AK110)</f>
        <v/>
      </c>
      <c r="W91" s="1115" t="str">
        <f ca="1">IF(ISERROR('Profile Data'!AL110)=TRUE,"",'Profile Data'!AL110)</f>
        <v/>
      </c>
      <c r="X91" s="1115" t="str">
        <f ca="1">IF(ISERROR('Profile Data'!AM110)=TRUE,"",'Profile Data'!AM110)</f>
        <v/>
      </c>
      <c r="Y91" s="1115" t="str">
        <f ca="1">IF(ISERROR('Profile Data'!AN110)=TRUE,"",'Profile Data'!AN110)</f>
        <v/>
      </c>
      <c r="Z91" s="1115" t="str">
        <f ca="1">IF(ISERROR('Profile Data'!AO110)=TRUE,"",'Profile Data'!AO110)</f>
        <v/>
      </c>
      <c r="AA91" s="1115" t="str">
        <f ca="1">IF(ISERROR('Profile Data'!AP110)=TRUE,"",'Profile Data'!AP110)</f>
        <v/>
      </c>
      <c r="AB91" s="1115" t="str">
        <f ca="1">IF(ISERROR('Profile Data'!AQ110)=TRUE,"",'Profile Data'!AQ110)</f>
        <v/>
      </c>
    </row>
    <row r="92" spans="6:28" x14ac:dyDescent="0.2">
      <c r="G92" s="276" t="str">
        <f t="shared" ca="1" si="40"/>
        <v/>
      </c>
      <c r="H92" s="1115" t="str">
        <f ca="1">IF(ISERROR('Profile Data'!W111)=TRUE,"",'Profile Data'!W111)</f>
        <v/>
      </c>
      <c r="I92" s="1115" t="str">
        <f ca="1">IF(ISERROR('Profile Data'!X111)=TRUE,"",'Profile Data'!X111)</f>
        <v/>
      </c>
      <c r="J92" s="1115" t="str">
        <f ca="1">IF(ISERROR('Profile Data'!Y111)=TRUE,"",'Profile Data'!Y111)</f>
        <v/>
      </c>
      <c r="K92" s="1115" t="str">
        <f ca="1">IF(ISERROR('Profile Data'!Z111)=TRUE,"",'Profile Data'!Z111)</f>
        <v/>
      </c>
      <c r="L92" s="1115" t="str">
        <f ca="1">IF(ISERROR('Profile Data'!AA111)=TRUE,"",'Profile Data'!AA111)</f>
        <v/>
      </c>
      <c r="M92" s="1115" t="str">
        <f ca="1">IF(ISERROR('Profile Data'!AB111)=TRUE,"",'Profile Data'!AB111)</f>
        <v/>
      </c>
      <c r="N92" s="1115" t="str">
        <f ca="1">IF(ISERROR('Profile Data'!AC111)=TRUE,"",'Profile Data'!AC111)</f>
        <v/>
      </c>
      <c r="O92" s="1115" t="str">
        <f ca="1">IF(ISERROR('Profile Data'!AD111)=TRUE,"",'Profile Data'!AD111)</f>
        <v/>
      </c>
      <c r="P92" s="1115" t="str">
        <f ca="1">IF(ISERROR('Profile Data'!AE111)=TRUE,"",'Profile Data'!AE111)</f>
        <v/>
      </c>
      <c r="Q92" s="1115" t="str">
        <f ca="1">IF(ISERROR('Profile Data'!AF111)=TRUE,"",'Profile Data'!AF111)</f>
        <v/>
      </c>
      <c r="R92" s="1115" t="str">
        <f ca="1">IF(ISERROR('Profile Data'!AG111)=TRUE,"",'Profile Data'!AG111)</f>
        <v/>
      </c>
      <c r="S92" s="1115" t="str">
        <f ca="1">IF(ISERROR('Profile Data'!AH111)=TRUE,"",'Profile Data'!AH111)</f>
        <v/>
      </c>
      <c r="T92" s="1115" t="str">
        <f ca="1">IF(ISERROR('Profile Data'!AI111)=TRUE,"",'Profile Data'!AI111)</f>
        <v/>
      </c>
      <c r="U92" s="1115" t="str">
        <f ca="1">IF(ISERROR('Profile Data'!AJ111)=TRUE,"",'Profile Data'!AJ111)</f>
        <v/>
      </c>
      <c r="V92" s="1115" t="str">
        <f ca="1">IF(ISERROR('Profile Data'!AK111)=TRUE,"",'Profile Data'!AK111)</f>
        <v/>
      </c>
      <c r="W92" s="1115" t="str">
        <f ca="1">IF(ISERROR('Profile Data'!AL111)=TRUE,"",'Profile Data'!AL111)</f>
        <v/>
      </c>
      <c r="X92" s="1115" t="str">
        <f ca="1">IF(ISERROR('Profile Data'!AM111)=TRUE,"",'Profile Data'!AM111)</f>
        <v/>
      </c>
      <c r="Y92" s="1115" t="str">
        <f ca="1">IF(ISERROR('Profile Data'!AN111)=TRUE,"",'Profile Data'!AN111)</f>
        <v/>
      </c>
      <c r="Z92" s="1115" t="str">
        <f ca="1">IF(ISERROR('Profile Data'!AO111)=TRUE,"",'Profile Data'!AO111)</f>
        <v/>
      </c>
      <c r="AA92" s="1115" t="str">
        <f ca="1">IF(ISERROR('Profile Data'!AP111)=TRUE,"",'Profile Data'!AP111)</f>
        <v/>
      </c>
      <c r="AB92" s="1115" t="str">
        <f ca="1">IF(ISERROR('Profile Data'!AQ111)=TRUE,"",'Profile Data'!AQ111)</f>
        <v/>
      </c>
    </row>
    <row r="93" spans="6:28" x14ac:dyDescent="0.2">
      <c r="G93" s="276" t="str">
        <f t="shared" ca="1" si="40"/>
        <v/>
      </c>
      <c r="H93" s="1115" t="str">
        <f ca="1">IF(ISERROR('Profile Data'!W112)=TRUE,"",'Profile Data'!W112)</f>
        <v/>
      </c>
      <c r="I93" s="1115" t="str">
        <f ca="1">IF(ISERROR('Profile Data'!X112)=TRUE,"",'Profile Data'!X112)</f>
        <v/>
      </c>
      <c r="J93" s="1115" t="str">
        <f ca="1">IF(ISERROR('Profile Data'!Y112)=TRUE,"",'Profile Data'!Y112)</f>
        <v/>
      </c>
      <c r="K93" s="1115" t="str">
        <f ca="1">IF(ISERROR('Profile Data'!Z112)=TRUE,"",'Profile Data'!Z112)</f>
        <v/>
      </c>
      <c r="L93" s="1115" t="str">
        <f ca="1">IF(ISERROR('Profile Data'!AA112)=TRUE,"",'Profile Data'!AA112)</f>
        <v/>
      </c>
      <c r="M93" s="1115" t="str">
        <f ca="1">IF(ISERROR('Profile Data'!AB112)=TRUE,"",'Profile Data'!AB112)</f>
        <v/>
      </c>
      <c r="N93" s="1115" t="str">
        <f ca="1">IF(ISERROR('Profile Data'!AC112)=TRUE,"",'Profile Data'!AC112)</f>
        <v/>
      </c>
      <c r="O93" s="1115" t="str">
        <f ca="1">IF(ISERROR('Profile Data'!AD112)=TRUE,"",'Profile Data'!AD112)</f>
        <v/>
      </c>
      <c r="P93" s="1115" t="str">
        <f ca="1">IF(ISERROR('Profile Data'!AE112)=TRUE,"",'Profile Data'!AE112)</f>
        <v/>
      </c>
      <c r="Q93" s="1115" t="str">
        <f ca="1">IF(ISERROR('Profile Data'!AF112)=TRUE,"",'Profile Data'!AF112)</f>
        <v/>
      </c>
      <c r="R93" s="1115" t="str">
        <f ca="1">IF(ISERROR('Profile Data'!AG112)=TRUE,"",'Profile Data'!AG112)</f>
        <v/>
      </c>
      <c r="S93" s="1115" t="str">
        <f ca="1">IF(ISERROR('Profile Data'!AH112)=TRUE,"",'Profile Data'!AH112)</f>
        <v/>
      </c>
      <c r="T93" s="1115" t="str">
        <f ca="1">IF(ISERROR('Profile Data'!AI112)=TRUE,"",'Profile Data'!AI112)</f>
        <v/>
      </c>
      <c r="U93" s="1115" t="str">
        <f ca="1">IF(ISERROR('Profile Data'!AJ112)=TRUE,"",'Profile Data'!AJ112)</f>
        <v/>
      </c>
      <c r="V93" s="1115" t="str">
        <f ca="1">IF(ISERROR('Profile Data'!AK112)=TRUE,"",'Profile Data'!AK112)</f>
        <v/>
      </c>
      <c r="W93" s="1115" t="str">
        <f ca="1">IF(ISERROR('Profile Data'!AL112)=TRUE,"",'Profile Data'!AL112)</f>
        <v/>
      </c>
      <c r="X93" s="1115" t="str">
        <f ca="1">IF(ISERROR('Profile Data'!AM112)=TRUE,"",'Profile Data'!AM112)</f>
        <v/>
      </c>
      <c r="Y93" s="1115" t="str">
        <f ca="1">IF(ISERROR('Profile Data'!AN112)=TRUE,"",'Profile Data'!AN112)</f>
        <v/>
      </c>
      <c r="Z93" s="1115" t="str">
        <f ca="1">IF(ISERROR('Profile Data'!AO112)=TRUE,"",'Profile Data'!AO112)</f>
        <v/>
      </c>
      <c r="AA93" s="1115" t="str">
        <f ca="1">IF(ISERROR('Profile Data'!AP112)=TRUE,"",'Profile Data'!AP112)</f>
        <v/>
      </c>
      <c r="AB93" s="1115" t="str">
        <f ca="1">IF(ISERROR('Profile Data'!AQ112)=TRUE,"",'Profile Data'!AQ112)</f>
        <v/>
      </c>
    </row>
    <row r="94" spans="6:28" x14ac:dyDescent="0.2">
      <c r="G94" s="276" t="str">
        <f t="shared" ca="1" si="40"/>
        <v/>
      </c>
      <c r="H94" s="1115" t="str">
        <f ca="1">IF(ISERROR('Profile Data'!W113)=TRUE,"",'Profile Data'!W113)</f>
        <v/>
      </c>
      <c r="I94" s="1115" t="str">
        <f ca="1">IF(ISERROR('Profile Data'!X113)=TRUE,"",'Profile Data'!X113)</f>
        <v/>
      </c>
      <c r="J94" s="1115" t="str">
        <f ca="1">IF(ISERROR('Profile Data'!Y113)=TRUE,"",'Profile Data'!Y113)</f>
        <v/>
      </c>
      <c r="K94" s="1115" t="str">
        <f ca="1">IF(ISERROR('Profile Data'!Z113)=TRUE,"",'Profile Data'!Z113)</f>
        <v/>
      </c>
      <c r="L94" s="1115" t="str">
        <f ca="1">IF(ISERROR('Profile Data'!AA113)=TRUE,"",'Profile Data'!AA113)</f>
        <v/>
      </c>
      <c r="M94" s="1115" t="str">
        <f ca="1">IF(ISERROR('Profile Data'!AB113)=TRUE,"",'Profile Data'!AB113)</f>
        <v/>
      </c>
      <c r="N94" s="1115" t="str">
        <f ca="1">IF(ISERROR('Profile Data'!AC113)=TRUE,"",'Profile Data'!AC113)</f>
        <v/>
      </c>
      <c r="O94" s="1115" t="str">
        <f ca="1">IF(ISERROR('Profile Data'!AD113)=TRUE,"",'Profile Data'!AD113)</f>
        <v/>
      </c>
      <c r="P94" s="1115" t="str">
        <f ca="1">IF(ISERROR('Profile Data'!AE113)=TRUE,"",'Profile Data'!AE113)</f>
        <v/>
      </c>
      <c r="Q94" s="1115" t="str">
        <f ca="1">IF(ISERROR('Profile Data'!AF113)=TRUE,"",'Profile Data'!AF113)</f>
        <v/>
      </c>
      <c r="R94" s="1115" t="str">
        <f ca="1">IF(ISERROR('Profile Data'!AG113)=TRUE,"",'Profile Data'!AG113)</f>
        <v/>
      </c>
      <c r="S94" s="1115" t="str">
        <f ca="1">IF(ISERROR('Profile Data'!AH113)=TRUE,"",'Profile Data'!AH113)</f>
        <v/>
      </c>
      <c r="T94" s="1115" t="str">
        <f ca="1">IF(ISERROR('Profile Data'!AI113)=TRUE,"",'Profile Data'!AI113)</f>
        <v/>
      </c>
      <c r="U94" s="1115" t="str">
        <f ca="1">IF(ISERROR('Profile Data'!AJ113)=TRUE,"",'Profile Data'!AJ113)</f>
        <v/>
      </c>
      <c r="V94" s="1115" t="str">
        <f ca="1">IF(ISERROR('Profile Data'!AK113)=TRUE,"",'Profile Data'!AK113)</f>
        <v/>
      </c>
      <c r="W94" s="1115" t="str">
        <f ca="1">IF(ISERROR('Profile Data'!AL113)=TRUE,"",'Profile Data'!AL113)</f>
        <v/>
      </c>
      <c r="X94" s="1115" t="str">
        <f ca="1">IF(ISERROR('Profile Data'!AM113)=TRUE,"",'Profile Data'!AM113)</f>
        <v/>
      </c>
      <c r="Y94" s="1115" t="str">
        <f ca="1">IF(ISERROR('Profile Data'!AN113)=TRUE,"",'Profile Data'!AN113)</f>
        <v/>
      </c>
      <c r="Z94" s="1115" t="str">
        <f ca="1">IF(ISERROR('Profile Data'!AO113)=TRUE,"",'Profile Data'!AO113)</f>
        <v/>
      </c>
      <c r="AA94" s="1115" t="str">
        <f ca="1">IF(ISERROR('Profile Data'!AP113)=TRUE,"",'Profile Data'!AP113)</f>
        <v/>
      </c>
      <c r="AB94" s="1115" t="str">
        <f ca="1">IF(ISERROR('Profile Data'!AQ113)=TRUE,"",'Profile Data'!AQ113)</f>
        <v/>
      </c>
    </row>
    <row r="95" spans="6:28" x14ac:dyDescent="0.2">
      <c r="G95" s="276" t="str">
        <f t="shared" ca="1" si="40"/>
        <v/>
      </c>
      <c r="H95" s="1115" t="str">
        <f ca="1">IF(ISERROR('Profile Data'!W114)=TRUE,"",'Profile Data'!W114)</f>
        <v/>
      </c>
      <c r="I95" s="1115" t="str">
        <f ca="1">IF(ISERROR('Profile Data'!X114)=TRUE,"",'Profile Data'!X114)</f>
        <v/>
      </c>
      <c r="J95" s="1115" t="str">
        <f ca="1">IF(ISERROR('Profile Data'!Y114)=TRUE,"",'Profile Data'!Y114)</f>
        <v/>
      </c>
      <c r="K95" s="1115" t="str">
        <f ca="1">IF(ISERROR('Profile Data'!Z114)=TRUE,"",'Profile Data'!Z114)</f>
        <v/>
      </c>
      <c r="L95" s="1115" t="str">
        <f ca="1">IF(ISERROR('Profile Data'!AA114)=TRUE,"",'Profile Data'!AA114)</f>
        <v/>
      </c>
      <c r="M95" s="1115" t="str">
        <f ca="1">IF(ISERROR('Profile Data'!AB114)=TRUE,"",'Profile Data'!AB114)</f>
        <v/>
      </c>
      <c r="N95" s="1115" t="str">
        <f ca="1">IF(ISERROR('Profile Data'!AC114)=TRUE,"",'Profile Data'!AC114)</f>
        <v/>
      </c>
      <c r="O95" s="1115" t="str">
        <f ca="1">IF(ISERROR('Profile Data'!AD114)=TRUE,"",'Profile Data'!AD114)</f>
        <v/>
      </c>
      <c r="P95" s="1115" t="str">
        <f ca="1">IF(ISERROR('Profile Data'!AE114)=TRUE,"",'Profile Data'!AE114)</f>
        <v/>
      </c>
      <c r="Q95" s="1115" t="str">
        <f ca="1">IF(ISERROR('Profile Data'!AF114)=TRUE,"",'Profile Data'!AF114)</f>
        <v/>
      </c>
      <c r="R95" s="1115" t="str">
        <f ca="1">IF(ISERROR('Profile Data'!AG114)=TRUE,"",'Profile Data'!AG114)</f>
        <v/>
      </c>
      <c r="S95" s="1115" t="str">
        <f ca="1">IF(ISERROR('Profile Data'!AH114)=TRUE,"",'Profile Data'!AH114)</f>
        <v/>
      </c>
      <c r="T95" s="1115" t="str">
        <f ca="1">IF(ISERROR('Profile Data'!AI114)=TRUE,"",'Profile Data'!AI114)</f>
        <v/>
      </c>
      <c r="U95" s="1115" t="str">
        <f ca="1">IF(ISERROR('Profile Data'!AJ114)=TRUE,"",'Profile Data'!AJ114)</f>
        <v/>
      </c>
      <c r="V95" s="1115" t="str">
        <f ca="1">IF(ISERROR('Profile Data'!AK114)=TRUE,"",'Profile Data'!AK114)</f>
        <v/>
      </c>
      <c r="W95" s="1115" t="str">
        <f ca="1">IF(ISERROR('Profile Data'!AL114)=TRUE,"",'Profile Data'!AL114)</f>
        <v/>
      </c>
      <c r="X95" s="1115" t="str">
        <f ca="1">IF(ISERROR('Profile Data'!AM114)=TRUE,"",'Profile Data'!AM114)</f>
        <v/>
      </c>
      <c r="Y95" s="1115" t="str">
        <f ca="1">IF(ISERROR('Profile Data'!AN114)=TRUE,"",'Profile Data'!AN114)</f>
        <v/>
      </c>
      <c r="Z95" s="1115" t="str">
        <f ca="1">IF(ISERROR('Profile Data'!AO114)=TRUE,"",'Profile Data'!AO114)</f>
        <v/>
      </c>
      <c r="AA95" s="1115" t="str">
        <f ca="1">IF(ISERROR('Profile Data'!AP114)=TRUE,"",'Profile Data'!AP114)</f>
        <v/>
      </c>
      <c r="AB95" s="1115" t="str">
        <f ca="1">IF(ISERROR('Profile Data'!AQ114)=TRUE,"",'Profile Data'!AQ114)</f>
        <v/>
      </c>
    </row>
    <row r="96" spans="6:28" x14ac:dyDescent="0.2">
      <c r="G96" s="276" t="str">
        <f t="shared" ca="1" si="40"/>
        <v/>
      </c>
      <c r="H96" s="1115" t="str">
        <f ca="1">IF(ISERROR('Profile Data'!W115)=TRUE,"",'Profile Data'!W115)</f>
        <v/>
      </c>
      <c r="I96" s="1115" t="str">
        <f ca="1">IF(ISERROR('Profile Data'!X115)=TRUE,"",'Profile Data'!X115)</f>
        <v/>
      </c>
      <c r="J96" s="1115" t="str">
        <f ca="1">IF(ISERROR('Profile Data'!Y115)=TRUE,"",'Profile Data'!Y115)</f>
        <v/>
      </c>
      <c r="K96" s="1115" t="str">
        <f ca="1">IF(ISERROR('Profile Data'!Z115)=TRUE,"",'Profile Data'!Z115)</f>
        <v/>
      </c>
      <c r="L96" s="1115" t="str">
        <f ca="1">IF(ISERROR('Profile Data'!AA115)=TRUE,"",'Profile Data'!AA115)</f>
        <v/>
      </c>
      <c r="M96" s="1115" t="str">
        <f ca="1">IF(ISERROR('Profile Data'!AB115)=TRUE,"",'Profile Data'!AB115)</f>
        <v/>
      </c>
      <c r="N96" s="1115" t="str">
        <f ca="1">IF(ISERROR('Profile Data'!AC115)=TRUE,"",'Profile Data'!AC115)</f>
        <v/>
      </c>
      <c r="O96" s="1115" t="str">
        <f ca="1">IF(ISERROR('Profile Data'!AD115)=TRUE,"",'Profile Data'!AD115)</f>
        <v/>
      </c>
      <c r="P96" s="1115" t="str">
        <f ca="1">IF(ISERROR('Profile Data'!AE115)=TRUE,"",'Profile Data'!AE115)</f>
        <v/>
      </c>
      <c r="Q96" s="1115" t="str">
        <f ca="1">IF(ISERROR('Profile Data'!AF115)=TRUE,"",'Profile Data'!AF115)</f>
        <v/>
      </c>
      <c r="R96" s="1115" t="str">
        <f ca="1">IF(ISERROR('Profile Data'!AG115)=TRUE,"",'Profile Data'!AG115)</f>
        <v/>
      </c>
      <c r="S96" s="1115" t="str">
        <f ca="1">IF(ISERROR('Profile Data'!AH115)=TRUE,"",'Profile Data'!AH115)</f>
        <v/>
      </c>
      <c r="T96" s="1115" t="str">
        <f ca="1">IF(ISERROR('Profile Data'!AI115)=TRUE,"",'Profile Data'!AI115)</f>
        <v/>
      </c>
      <c r="U96" s="1115" t="str">
        <f ca="1">IF(ISERROR('Profile Data'!AJ115)=TRUE,"",'Profile Data'!AJ115)</f>
        <v/>
      </c>
      <c r="V96" s="1115" t="str">
        <f ca="1">IF(ISERROR('Profile Data'!AK115)=TRUE,"",'Profile Data'!AK115)</f>
        <v/>
      </c>
      <c r="W96" s="1115" t="str">
        <f ca="1">IF(ISERROR('Profile Data'!AL115)=TRUE,"",'Profile Data'!AL115)</f>
        <v/>
      </c>
      <c r="X96" s="1115" t="str">
        <f ca="1">IF(ISERROR('Profile Data'!AM115)=TRUE,"",'Profile Data'!AM115)</f>
        <v/>
      </c>
      <c r="Y96" s="1115" t="str">
        <f ca="1">IF(ISERROR('Profile Data'!AN115)=TRUE,"",'Profile Data'!AN115)</f>
        <v/>
      </c>
      <c r="Z96" s="1115" t="str">
        <f ca="1">IF(ISERROR('Profile Data'!AO115)=TRUE,"",'Profile Data'!AO115)</f>
        <v/>
      </c>
      <c r="AA96" s="1115" t="str">
        <f ca="1">IF(ISERROR('Profile Data'!AP115)=TRUE,"",'Profile Data'!AP115)</f>
        <v/>
      </c>
      <c r="AB96" s="1115" t="str">
        <f ca="1">IF(ISERROR('Profile Data'!AQ115)=TRUE,"",'Profile Data'!AQ115)</f>
        <v/>
      </c>
    </row>
    <row r="97" spans="1:58" x14ac:dyDescent="0.2">
      <c r="G97" s="276" t="str">
        <f t="shared" ca="1" si="40"/>
        <v/>
      </c>
      <c r="H97" s="1115" t="str">
        <f ca="1">IF(ISERROR('Profile Data'!W116)=TRUE,"",'Profile Data'!W116)</f>
        <v/>
      </c>
      <c r="I97" s="1115" t="str">
        <f ca="1">IF(ISERROR('Profile Data'!X116)=TRUE,"",'Profile Data'!X116)</f>
        <v/>
      </c>
      <c r="J97" s="1115" t="str">
        <f ca="1">IF(ISERROR('Profile Data'!Y116)=TRUE,"",'Profile Data'!Y116)</f>
        <v/>
      </c>
      <c r="K97" s="1115" t="str">
        <f ca="1">IF(ISERROR('Profile Data'!Z116)=TRUE,"",'Profile Data'!Z116)</f>
        <v/>
      </c>
      <c r="L97" s="1115" t="str">
        <f ca="1">IF(ISERROR('Profile Data'!AA116)=TRUE,"",'Profile Data'!AA116)</f>
        <v/>
      </c>
      <c r="M97" s="1115" t="str">
        <f ca="1">IF(ISERROR('Profile Data'!AB116)=TRUE,"",'Profile Data'!AB116)</f>
        <v/>
      </c>
      <c r="N97" s="1115" t="str">
        <f ca="1">IF(ISERROR('Profile Data'!AC116)=TRUE,"",'Profile Data'!AC116)</f>
        <v/>
      </c>
      <c r="O97" s="1115" t="str">
        <f ca="1">IF(ISERROR('Profile Data'!AD116)=TRUE,"",'Profile Data'!AD116)</f>
        <v/>
      </c>
      <c r="P97" s="1115" t="str">
        <f ca="1">IF(ISERROR('Profile Data'!AE116)=TRUE,"",'Profile Data'!AE116)</f>
        <v/>
      </c>
      <c r="Q97" s="1115" t="str">
        <f ca="1">IF(ISERROR('Profile Data'!AF116)=TRUE,"",'Profile Data'!AF116)</f>
        <v/>
      </c>
      <c r="R97" s="1115" t="str">
        <f ca="1">IF(ISERROR('Profile Data'!AG116)=TRUE,"",'Profile Data'!AG116)</f>
        <v/>
      </c>
      <c r="S97" s="1115" t="str">
        <f ca="1">IF(ISERROR('Profile Data'!AH116)=TRUE,"",'Profile Data'!AH116)</f>
        <v/>
      </c>
      <c r="T97" s="1115" t="str">
        <f ca="1">IF(ISERROR('Profile Data'!AI116)=TRUE,"",'Profile Data'!AI116)</f>
        <v/>
      </c>
      <c r="U97" s="1115" t="str">
        <f ca="1">IF(ISERROR('Profile Data'!AJ116)=TRUE,"",'Profile Data'!AJ116)</f>
        <v/>
      </c>
      <c r="V97" s="1115" t="str">
        <f ca="1">IF(ISERROR('Profile Data'!AK116)=TRUE,"",'Profile Data'!AK116)</f>
        <v/>
      </c>
      <c r="W97" s="1115" t="str">
        <f ca="1">IF(ISERROR('Profile Data'!AL116)=TRUE,"",'Profile Data'!AL116)</f>
        <v/>
      </c>
      <c r="X97" s="1115" t="str">
        <f ca="1">IF(ISERROR('Profile Data'!AM116)=TRUE,"",'Profile Data'!AM116)</f>
        <v/>
      </c>
      <c r="Y97" s="1115" t="str">
        <f ca="1">IF(ISERROR('Profile Data'!AN116)=TRUE,"",'Profile Data'!AN116)</f>
        <v/>
      </c>
      <c r="Z97" s="1115" t="str">
        <f ca="1">IF(ISERROR('Profile Data'!AO116)=TRUE,"",'Profile Data'!AO116)</f>
        <v/>
      </c>
      <c r="AA97" s="1115" t="str">
        <f ca="1">IF(ISERROR('Profile Data'!AP116)=TRUE,"",'Profile Data'!AP116)</f>
        <v/>
      </c>
      <c r="AB97" s="1115" t="str">
        <f ca="1">IF(ISERROR('Profile Data'!AQ116)=TRUE,"",'Profile Data'!AQ116)</f>
        <v/>
      </c>
    </row>
    <row r="98" spans="1:58" ht="13.5" thickBot="1" x14ac:dyDescent="0.25">
      <c r="G98" s="276" t="str">
        <f t="shared" ca="1" si="40"/>
        <v/>
      </c>
      <c r="H98" s="1115" t="str">
        <f ca="1">IF(ISERROR('Profile Data'!W117)=TRUE,"",'Profile Data'!W117)</f>
        <v/>
      </c>
      <c r="I98" s="1115" t="str">
        <f ca="1">IF(ISERROR('Profile Data'!X117)=TRUE,"",'Profile Data'!X117)</f>
        <v/>
      </c>
      <c r="J98" s="1115" t="str">
        <f ca="1">IF(ISERROR('Profile Data'!Y117)=TRUE,"",'Profile Data'!Y117)</f>
        <v/>
      </c>
      <c r="K98" s="1115" t="str">
        <f ca="1">IF(ISERROR('Profile Data'!Z117)=TRUE,"",'Profile Data'!Z117)</f>
        <v/>
      </c>
      <c r="L98" s="1115" t="str">
        <f ca="1">IF(ISERROR('Profile Data'!AA117)=TRUE,"",'Profile Data'!AA117)</f>
        <v/>
      </c>
      <c r="M98" s="1115" t="str">
        <f ca="1">IF(ISERROR('Profile Data'!AB117)=TRUE,"",'Profile Data'!AB117)</f>
        <v/>
      </c>
      <c r="N98" s="1115" t="str">
        <f ca="1">IF(ISERROR('Profile Data'!AC117)=TRUE,"",'Profile Data'!AC117)</f>
        <v/>
      </c>
      <c r="O98" s="1115" t="str">
        <f ca="1">IF(ISERROR('Profile Data'!AD117)=TRUE,"",'Profile Data'!AD117)</f>
        <v/>
      </c>
      <c r="P98" s="1115" t="str">
        <f ca="1">IF(ISERROR('Profile Data'!AE117)=TRUE,"",'Profile Data'!AE117)</f>
        <v/>
      </c>
      <c r="Q98" s="1115" t="str">
        <f ca="1">IF(ISERROR('Profile Data'!AF117)=TRUE,"",'Profile Data'!AF117)</f>
        <v/>
      </c>
      <c r="R98" s="1115" t="str">
        <f ca="1">IF(ISERROR('Profile Data'!AG117)=TRUE,"",'Profile Data'!AG117)</f>
        <v/>
      </c>
      <c r="S98" s="1115" t="str">
        <f ca="1">IF(ISERROR('Profile Data'!AH117)=TRUE,"",'Profile Data'!AH117)</f>
        <v/>
      </c>
      <c r="T98" s="1115" t="str">
        <f ca="1">IF(ISERROR('Profile Data'!AI117)=TRUE,"",'Profile Data'!AI117)</f>
        <v/>
      </c>
      <c r="U98" s="1115" t="str">
        <f ca="1">IF(ISERROR('Profile Data'!AJ117)=TRUE,"",'Profile Data'!AJ117)</f>
        <v/>
      </c>
      <c r="V98" s="1115" t="str">
        <f ca="1">IF(ISERROR('Profile Data'!AK117)=TRUE,"",'Profile Data'!AK117)</f>
        <v/>
      </c>
      <c r="W98" s="1115" t="str">
        <f ca="1">IF(ISERROR('Profile Data'!AL117)=TRUE,"",'Profile Data'!AL117)</f>
        <v/>
      </c>
      <c r="X98" s="1115" t="str">
        <f ca="1">IF(ISERROR('Profile Data'!AM117)=TRUE,"",'Profile Data'!AM117)</f>
        <v/>
      </c>
      <c r="Y98" s="1115" t="str">
        <f ca="1">IF(ISERROR('Profile Data'!AN117)=TRUE,"",'Profile Data'!AN117)</f>
        <v/>
      </c>
      <c r="Z98" s="1115" t="str">
        <f ca="1">IF(ISERROR('Profile Data'!AO117)=TRUE,"",'Profile Data'!AO117)</f>
        <v/>
      </c>
      <c r="AA98" s="1115" t="str">
        <f ca="1">IF(ISERROR('Profile Data'!AP117)=TRUE,"",'Profile Data'!AP117)</f>
        <v/>
      </c>
      <c r="AB98" s="1115" t="str">
        <f ca="1">IF(ISERROR('Profile Data'!AQ117)=TRUE,"",'Profile Data'!AQ117)</f>
        <v/>
      </c>
    </row>
    <row r="99" spans="1:58" ht="13.5" thickBot="1" x14ac:dyDescent="0.25">
      <c r="G99" s="567" t="s">
        <v>720</v>
      </c>
      <c r="H99" s="1120">
        <f ca="1">MATCH(MIN(H84:H97),H84:H98,0)</f>
        <v>1</v>
      </c>
      <c r="I99" s="1120">
        <f t="shared" ref="I99:AB99" ca="1" si="41">MATCH(MIN(I84:I97),I84:I98,0)</f>
        <v>2</v>
      </c>
      <c r="J99" s="1120">
        <f t="shared" ca="1" si="41"/>
        <v>3</v>
      </c>
      <c r="K99" s="1120">
        <f t="shared" ca="1" si="41"/>
        <v>4</v>
      </c>
      <c r="L99" s="1120">
        <f t="shared" ca="1" si="41"/>
        <v>6</v>
      </c>
      <c r="M99" s="1120">
        <f t="shared" ca="1" si="41"/>
        <v>1</v>
      </c>
      <c r="N99" s="1120">
        <f t="shared" ca="1" si="41"/>
        <v>2</v>
      </c>
      <c r="O99" s="1120">
        <f t="shared" ca="1" si="41"/>
        <v>3</v>
      </c>
      <c r="P99" s="1120">
        <f t="shared" ca="1" si="41"/>
        <v>4</v>
      </c>
      <c r="Q99" s="1120">
        <f t="shared" ca="1" si="41"/>
        <v>6</v>
      </c>
      <c r="R99" s="1120">
        <f t="shared" ca="1" si="41"/>
        <v>1</v>
      </c>
      <c r="S99" s="1120">
        <f t="shared" ca="1" si="41"/>
        <v>2</v>
      </c>
      <c r="T99" s="1120">
        <f t="shared" ca="1" si="41"/>
        <v>3</v>
      </c>
      <c r="U99" s="1120">
        <f t="shared" ca="1" si="41"/>
        <v>4</v>
      </c>
      <c r="V99" s="1120">
        <f t="shared" ca="1" si="41"/>
        <v>6</v>
      </c>
      <c r="W99" s="1120">
        <f t="shared" ca="1" si="41"/>
        <v>5</v>
      </c>
      <c r="X99" s="1120">
        <f t="shared" ca="1" si="41"/>
        <v>4</v>
      </c>
      <c r="Y99" s="1120" t="e">
        <f t="shared" ca="1" si="41"/>
        <v>#N/A</v>
      </c>
      <c r="Z99" s="1120" t="e">
        <f t="shared" ca="1" si="41"/>
        <v>#N/A</v>
      </c>
      <c r="AA99" s="1120" t="e">
        <f t="shared" ca="1" si="41"/>
        <v>#N/A</v>
      </c>
      <c r="AB99" s="1120" t="e">
        <f t="shared" ca="1" si="41"/>
        <v>#N/A</v>
      </c>
    </row>
    <row r="100" spans="1:58" ht="12.75" customHeight="1" x14ac:dyDescent="0.2">
      <c r="J100" s="1216" t="str">
        <f>VLOOKUP(C3,'Profile Data'!$BQ$37:$BS$48,3,FALSE)&amp;" Factors - Study Type = "&amp;H3</f>
        <v>Wind Tunnel A24LE Factors - Study Type = LE</v>
      </c>
      <c r="K100" s="1217"/>
      <c r="L100" s="1217"/>
      <c r="M100" s="1217"/>
      <c r="N100" s="1217"/>
      <c r="O100" s="1218"/>
      <c r="R100" s="1215" t="s">
        <v>346</v>
      </c>
      <c r="S100" s="1215"/>
      <c r="T100" s="1215"/>
      <c r="AA100" s="1211" t="s">
        <v>414</v>
      </c>
      <c r="AB100" s="1212"/>
    </row>
    <row r="101" spans="1:58" ht="12.75" customHeight="1" thickBot="1" x14ac:dyDescent="0.25">
      <c r="J101" s="1219"/>
      <c r="K101" s="1220"/>
      <c r="L101" s="1220"/>
      <c r="M101" s="1220"/>
      <c r="N101" s="1220"/>
      <c r="O101" s="1221"/>
      <c r="R101" s="1215"/>
      <c r="S101" s="1215"/>
      <c r="T101" s="1215"/>
      <c r="AA101" s="1213"/>
      <c r="AB101" s="1214"/>
      <c r="AD101" s="285"/>
      <c r="AE101" t="s">
        <v>327</v>
      </c>
      <c r="AK101" t="s">
        <v>332</v>
      </c>
    </row>
    <row r="102" spans="1:58" ht="25.5" x14ac:dyDescent="0.25">
      <c r="A102" s="285"/>
      <c r="D102" s="379" t="s">
        <v>319</v>
      </c>
      <c r="F102" s="274" t="s">
        <v>737</v>
      </c>
      <c r="G102" s="274" t="s">
        <v>282</v>
      </c>
      <c r="H102" s="274" t="s">
        <v>284</v>
      </c>
      <c r="I102" s="274"/>
      <c r="J102" s="374" t="s">
        <v>288</v>
      </c>
      <c r="K102" s="1031" t="s">
        <v>618</v>
      </c>
      <c r="L102" s="1032" t="s">
        <v>288</v>
      </c>
      <c r="M102" s="1033" t="s">
        <v>617</v>
      </c>
      <c r="N102" s="1038" t="s">
        <v>288</v>
      </c>
      <c r="O102" s="1038" t="str">
        <f>ROUND('Target Site'!A22,0)&amp;" m UK PLW ONLY"</f>
        <v>610 m UK PLW ONLY</v>
      </c>
      <c r="P102" s="1089" t="s">
        <v>686</v>
      </c>
      <c r="Q102" s="1090" t="s">
        <v>687</v>
      </c>
      <c r="R102" s="417" t="s">
        <v>288</v>
      </c>
      <c r="S102" s="417" t="s">
        <v>292</v>
      </c>
      <c r="T102" s="417"/>
      <c r="AA102" s="553" t="s">
        <v>288</v>
      </c>
      <c r="AB102" s="553" t="s">
        <v>292</v>
      </c>
      <c r="AE102" s="58" t="s">
        <v>328</v>
      </c>
      <c r="AF102" t="s">
        <v>294</v>
      </c>
      <c r="AG102" t="s">
        <v>329</v>
      </c>
      <c r="AH102" t="s">
        <v>330</v>
      </c>
      <c r="AI102" t="s">
        <v>331</v>
      </c>
      <c r="AK102" t="str">
        <f>+AE102</f>
        <v>SITE</v>
      </c>
      <c r="AL102" t="str">
        <f>+AF102</f>
        <v>OPEN</v>
      </c>
      <c r="AM102" t="str">
        <f>+AG102</f>
        <v>SUB/OPEN</v>
      </c>
      <c r="AN102" t="str">
        <f>+AH102</f>
        <v>SUBURBAN</v>
      </c>
      <c r="AO102" t="str">
        <f>+AI102</f>
        <v>URBAN</v>
      </c>
    </row>
    <row r="103" spans="1:58" ht="15" x14ac:dyDescent="0.25">
      <c r="D103" s="379" t="s">
        <v>320</v>
      </c>
      <c r="F103" s="274" t="s">
        <v>736</v>
      </c>
      <c r="G103" s="274" t="s">
        <v>283</v>
      </c>
      <c r="H103" s="274" t="s">
        <v>285</v>
      </c>
      <c r="I103" s="1119" t="s">
        <v>719</v>
      </c>
      <c r="J103" s="374" t="s">
        <v>619</v>
      </c>
      <c r="K103" s="1034" t="s">
        <v>209</v>
      </c>
      <c r="L103" s="1041" t="s">
        <v>619</v>
      </c>
      <c r="M103" s="1035" t="s">
        <v>612</v>
      </c>
      <c r="N103" s="1042" t="s">
        <v>619</v>
      </c>
      <c r="O103" s="1043" t="s">
        <v>599</v>
      </c>
      <c r="Q103" s="84"/>
      <c r="R103" s="417" t="s">
        <v>620</v>
      </c>
      <c r="S103" s="418" t="s">
        <v>209</v>
      </c>
      <c r="T103" s="418" t="s">
        <v>413</v>
      </c>
      <c r="AA103" s="553" t="s">
        <v>287</v>
      </c>
      <c r="AB103" s="553" t="s">
        <v>415</v>
      </c>
      <c r="AD103">
        <v>360</v>
      </c>
      <c r="AE103" s="392">
        <f>+AE139</f>
        <v>44.981914714921579</v>
      </c>
      <c r="AF103" s="392">
        <f t="array" ref="AF103:AI103">+H31:K31</f>
        <v>52.56736059502267</v>
      </c>
      <c r="AG103" s="392">
        <v>50.614870779813096</v>
      </c>
      <c r="AH103" s="392">
        <v>47.772185901052453</v>
      </c>
      <c r="AI103" s="392">
        <v>45.580708433766802</v>
      </c>
      <c r="AK103" s="392">
        <f>+AK139</f>
        <v>0.18996455122229031</v>
      </c>
      <c r="AL103" s="392">
        <f t="array" ref="AL103:AO103">+H30:K30</f>
        <v>0.10136646185266636</v>
      </c>
      <c r="AM103" s="392">
        <v>0.12033426426237992</v>
      </c>
      <c r="AN103" s="392">
        <v>0.15041439697904124</v>
      </c>
      <c r="AO103" s="392">
        <v>0.1811554897459601</v>
      </c>
      <c r="BB103" s="373" t="s">
        <v>288</v>
      </c>
      <c r="BC103" s="373" t="s">
        <v>292</v>
      </c>
      <c r="BE103" s="417" t="s">
        <v>288</v>
      </c>
      <c r="BF103" s="417" t="s">
        <v>292</v>
      </c>
    </row>
    <row r="104" spans="1:58" x14ac:dyDescent="0.2">
      <c r="A104" s="422" t="s">
        <v>355</v>
      </c>
      <c r="B104" s="301"/>
      <c r="C104" s="301"/>
      <c r="D104" s="290">
        <f>LOOKUP(G104,$H$46:$AC$46,$H$30:$AC$30)</f>
        <v>0.10136646185266636</v>
      </c>
      <c r="E104" s="309" t="s">
        <v>258</v>
      </c>
      <c r="F104" s="501" t="str">
        <f ca="1">IF(AND(H104&gt;6,Q104&lt;&gt;"")=TRUE,"error","")</f>
        <v/>
      </c>
      <c r="G104" s="539" t="str">
        <f>'Export Old Projects'!BI61</f>
        <v>F</v>
      </c>
      <c r="H104" s="389">
        <f ca="1">HLOOKUP(G104,$H$83:$AB$99,17,FALSE)</f>
        <v>1</v>
      </c>
      <c r="I104" s="1096">
        <f ca="1">IF(ABS(D104-$D$47)&lt;ABS(D104-$D$48),1,IF(ABS(D104-$D$48)&lt;ABS(D104-$D$49),2,IF(ABS(D104-$D$49)&lt;ABS(D104-$D$50),3,IF(ABS(D104-$D$50)&lt;ABS(D104-$D$51),4,IF($F$3="Yes",5,4)))))</f>
        <v>1</v>
      </c>
      <c r="J104" s="376">
        <f>IF($I$3=36,10,IF(I3=24,15,22.5))</f>
        <v>10</v>
      </c>
      <c r="K104" s="375">
        <f ca="1">SQRT(HLOOKUP(G104,$H$46:$AB$61,H104+1))</f>
        <v>0.9919360407919583</v>
      </c>
      <c r="L104" s="1002">
        <v>10</v>
      </c>
      <c r="M104" s="1020">
        <f ca="1">HLOOKUP(G104,'PLW Factors'!$C$214:$W$229,H104+1,FALSE)</f>
        <v>0.99220253991074814</v>
      </c>
      <c r="N104" s="1039">
        <v>10</v>
      </c>
      <c r="O104" s="1040">
        <f>INDEX('Wind speed'!$C$20:$AA$20,1,MATCH(G104,$H$11:$AB$11,0))/'Wind speed'!$D$17</f>
        <v>1.0412987631254798</v>
      </c>
      <c r="P104" t="str">
        <f ca="1">+IF(H104=H103,"""",INDEX($G$84:$G$98,H104,0))&amp;F104</f>
        <v>Openwater A24LE</v>
      </c>
      <c r="Q104" s="1092"/>
      <c r="R104" s="419">
        <v>10</v>
      </c>
      <c r="S104" s="420">
        <f ca="1">+SQRT(MAX(BC105,+INDEX($AK$47:$AK$60,H104,0)))</f>
        <v>0.9919360407919583</v>
      </c>
      <c r="T104" s="1117">
        <f t="shared" ref="T104:T139" ca="1" si="42">(+S104/K104)^2</f>
        <v>1</v>
      </c>
      <c r="AA104" s="554">
        <f t="shared" ref="AA104:AA139" si="43">J104</f>
        <v>10</v>
      </c>
      <c r="AB104" s="561">
        <f ca="1">INDEX('Profile Data'!$W$53:$AJ$53,1,H104)*K104</f>
        <v>0.88493134384027861</v>
      </c>
      <c r="AC104" s="393">
        <f t="shared" ref="AC104:AC139" si="44">+MATCH($G104,$H$46:$AB$46,0)</f>
        <v>6</v>
      </c>
      <c r="AD104" s="276">
        <v>10</v>
      </c>
      <c r="AE104" s="278">
        <f t="shared" ref="AE104:AE139" si="45">+INDEX($H$32:$AB$32,0,$AC104)</f>
        <v>52.56736059502267</v>
      </c>
      <c r="AF104" s="278">
        <f>+AF103</f>
        <v>52.56736059502267</v>
      </c>
      <c r="AG104" s="278">
        <f t="shared" ref="AG104:AG139" si="46">+AG103</f>
        <v>50.614870779813096</v>
      </c>
      <c r="AH104" s="278">
        <f t="shared" ref="AH104:AH139" si="47">+AH103</f>
        <v>47.772185901052453</v>
      </c>
      <c r="AI104" s="278">
        <f t="shared" ref="AI104:AI139" si="48">+AI103</f>
        <v>45.580708433766802</v>
      </c>
      <c r="AK104" s="277">
        <f t="shared" ref="AK104:AK139" si="49">+INDEX($H$30:$AB$30,0,$AC104)</f>
        <v>0.10136646185266636</v>
      </c>
      <c r="AL104" s="278">
        <f>+AL103</f>
        <v>0.10136646185266636</v>
      </c>
      <c r="AM104" s="278">
        <f t="shared" ref="AM104:AM139" si="50">+AM103</f>
        <v>0.12033426426237992</v>
      </c>
      <c r="AN104" s="278">
        <f t="shared" ref="AN104:AN139" si="51">+AN103</f>
        <v>0.15041439697904124</v>
      </c>
      <c r="AO104" s="278">
        <f t="shared" ref="AO104:AO139" si="52">+AO103</f>
        <v>0.1811554897459601</v>
      </c>
      <c r="BB104" s="373" t="s">
        <v>287</v>
      </c>
      <c r="BC104" s="374" t="s">
        <v>208</v>
      </c>
      <c r="BE104" s="417" t="s">
        <v>287</v>
      </c>
      <c r="BF104" s="418" t="s">
        <v>208</v>
      </c>
    </row>
    <row r="105" spans="1:58" x14ac:dyDescent="0.2">
      <c r="A105" s="421" t="str">
        <f t="array" ref="A105:A125">+TRANSPOSE(H46:AB46)</f>
        <v>A</v>
      </c>
      <c r="B105" s="507" t="str">
        <f t="array" ref="B105:B125">TRANSPOSE(H12:AB12)</f>
        <v>Water</v>
      </c>
      <c r="D105" s="290">
        <f t="shared" ref="D105:D139" si="53">LOOKUP(G105,$H$46:$AC$46,$H$30:$AC$30)</f>
        <v>0.10136646185266636</v>
      </c>
      <c r="F105" s="501" t="str">
        <f t="shared" ref="F105:F140" ca="1" si="54">IF(AND(H105&gt;6,Q105&lt;&gt;"")=TRUE,"error","")</f>
        <v/>
      </c>
      <c r="G105" s="539" t="str">
        <f>'Export Old Projects'!BI62</f>
        <v>F</v>
      </c>
      <c r="H105" s="389">
        <f t="shared" ref="H105:H139" ca="1" si="55">HLOOKUP(G105,$H$83:$AB$99,17,FALSE)</f>
        <v>1</v>
      </c>
      <c r="I105" s="1096">
        <f t="shared" ref="I105:I139" ca="1" si="56">IF(ABS(D105-$D$47)&lt;ABS(D105-$D$48),1,IF(ABS(D105-$D$48)&lt;ABS(D105-$D$49),2,IF(ABS(D105-$D$49)&lt;ABS(D105-$D$50),3,IF(ABS(D105-$D$50)&lt;ABS(D105-$D$51),4,IF($F$3="Yes",5,4)))))</f>
        <v>1</v>
      </c>
      <c r="J105" s="376">
        <f t="shared" ref="J105:J139" si="57">IF(J104&lt;&gt;"!!",IF(J104+$J$3&lt;=360,J104+$J$3,"!!"),"!!")</f>
        <v>20</v>
      </c>
      <c r="K105" s="375">
        <f t="shared" ref="K105:K139" ca="1" si="58">SQRT(HLOOKUP(G105,$H$46:$AB$61,H105+1))</f>
        <v>0.9919360407919583</v>
      </c>
      <c r="L105" s="1002">
        <v>20</v>
      </c>
      <c r="M105" s="1020">
        <f ca="1">HLOOKUP(G105,'PLW Factors'!$C$214:$W$229,H105+1,FALSE)</f>
        <v>0.99220253991074814</v>
      </c>
      <c r="N105" s="1039">
        <v>20</v>
      </c>
      <c r="O105" s="1040">
        <f>INDEX('Wind speed'!$C$20:$AA$20,1,MATCH(G105,$H$11:$AB$11,0))/'Wind speed'!$D$17</f>
        <v>1.0412987631254798</v>
      </c>
      <c r="P105" t="str">
        <f ca="1">+IF(H105=H104,"""",INDEX($G$84:$G$98,H105,0))&amp;F105</f>
        <v>"</v>
      </c>
      <c r="Q105" s="1092"/>
      <c r="R105" s="419">
        <f t="shared" ref="R105:R139" si="59">+R104+10</f>
        <v>20</v>
      </c>
      <c r="S105" s="420">
        <f t="shared" ref="S105:S139" ca="1" si="60">+SQRT(MAX(BC106,+INDEX($AK$47:$AK$60,H105,0)))</f>
        <v>0.9919360407919583</v>
      </c>
      <c r="T105" s="1117">
        <f t="shared" ca="1" si="42"/>
        <v>1</v>
      </c>
      <c r="AA105" s="554">
        <f t="shared" si="43"/>
        <v>20</v>
      </c>
      <c r="AB105" s="561">
        <f ca="1">INDEX('Profile Data'!$W$53:$AJ$53,1,H105)*K105</f>
        <v>0.88493134384027861</v>
      </c>
      <c r="AC105" s="393">
        <f t="shared" si="44"/>
        <v>6</v>
      </c>
      <c r="AD105" s="276">
        <f t="shared" ref="AD105:AD139" si="61">+AD104+10</f>
        <v>20</v>
      </c>
      <c r="AE105" s="278">
        <f>+INDEX($H$32:$AB$32,0,$AC105)</f>
        <v>52.56736059502267</v>
      </c>
      <c r="AF105" s="278">
        <f t="shared" ref="AF105:AF139" si="62">+AF104</f>
        <v>52.56736059502267</v>
      </c>
      <c r="AG105" s="278">
        <f t="shared" si="46"/>
        <v>50.614870779813096</v>
      </c>
      <c r="AH105" s="278">
        <f t="shared" si="47"/>
        <v>47.772185901052453</v>
      </c>
      <c r="AI105" s="278">
        <f t="shared" si="48"/>
        <v>45.580708433766802</v>
      </c>
      <c r="AK105" s="277">
        <f t="shared" si="49"/>
        <v>0.10136646185266636</v>
      </c>
      <c r="AL105" s="278">
        <f t="shared" ref="AL105:AL139" si="63">+AL104</f>
        <v>0.10136646185266636</v>
      </c>
      <c r="AM105" s="278">
        <f t="shared" si="50"/>
        <v>0.12033426426237992</v>
      </c>
      <c r="AN105" s="278">
        <f t="shared" si="51"/>
        <v>0.15041439697904124</v>
      </c>
      <c r="AO105" s="278">
        <f t="shared" si="52"/>
        <v>0.1811554897459601</v>
      </c>
      <c r="BB105" s="376">
        <f t="shared" ref="BB105:BB140" si="64">J104</f>
        <v>10</v>
      </c>
      <c r="BC105" s="375">
        <f ca="1">HLOOKUP(G104,$H$46:$AB$60,H104+1)</f>
        <v>0.98393710902202558</v>
      </c>
      <c r="BE105" s="419">
        <f t="shared" ref="BE105:BE140" si="65">R104</f>
        <v>10</v>
      </c>
      <c r="BF105" s="420">
        <f ca="1">+MAX(BC105,+INDEX($AK$47:$AK$60,H104,0))</f>
        <v>0.98393710902202558</v>
      </c>
    </row>
    <row r="106" spans="1:58" x14ac:dyDescent="0.2">
      <c r="A106" s="421" t="str">
        <v>B</v>
      </c>
      <c r="B106" s="507" t="str">
        <v>OPEN</v>
      </c>
      <c r="D106" s="290">
        <f t="shared" si="53"/>
        <v>0.10136646185266636</v>
      </c>
      <c r="F106" s="501" t="str">
        <f t="shared" ca="1" si="54"/>
        <v/>
      </c>
      <c r="G106" s="539" t="str">
        <f>'Export Old Projects'!BI63</f>
        <v>F</v>
      </c>
      <c r="H106" s="389">
        <f t="shared" ca="1" si="55"/>
        <v>1</v>
      </c>
      <c r="I106" s="1096">
        <f t="shared" ca="1" si="56"/>
        <v>1</v>
      </c>
      <c r="J106" s="376">
        <f t="shared" si="57"/>
        <v>30</v>
      </c>
      <c r="K106" s="375">
        <f t="shared" ca="1" si="58"/>
        <v>0.9919360407919583</v>
      </c>
      <c r="L106" s="1002">
        <v>30</v>
      </c>
      <c r="M106" s="1020">
        <f ca="1">HLOOKUP(G106,'PLW Factors'!$C$214:$W$229,H106+1,FALSE)</f>
        <v>0.99220253991074814</v>
      </c>
      <c r="N106" s="1039">
        <v>30</v>
      </c>
      <c r="O106" s="1040">
        <f>INDEX('Wind speed'!$C$20:$AA$20,1,MATCH(G106,$H$11:$AB$11,0))/'Wind speed'!$D$17</f>
        <v>1.0412987631254798</v>
      </c>
      <c r="P106" t="str">
        <f t="shared" ref="P106:P139" ca="1" si="66">+IF(H106=H105,"""",INDEX($G$84:$G$98,H106,0))&amp;F106</f>
        <v>"</v>
      </c>
      <c r="Q106" s="1092"/>
      <c r="R106" s="419">
        <f t="shared" si="59"/>
        <v>30</v>
      </c>
      <c r="S106" s="420">
        <f t="shared" ca="1" si="60"/>
        <v>0.9919360407919583</v>
      </c>
      <c r="T106" s="1117">
        <f t="shared" ca="1" si="42"/>
        <v>1</v>
      </c>
      <c r="AA106" s="554">
        <f t="shared" si="43"/>
        <v>30</v>
      </c>
      <c r="AB106" s="561">
        <f ca="1">INDEX('Profile Data'!$W$53:$AJ$53,1,H106)*K106</f>
        <v>0.88493134384027861</v>
      </c>
      <c r="AC106" s="393">
        <f t="shared" si="44"/>
        <v>6</v>
      </c>
      <c r="AD106" s="276">
        <f t="shared" si="61"/>
        <v>30</v>
      </c>
      <c r="AE106" s="278">
        <f t="shared" si="45"/>
        <v>52.56736059502267</v>
      </c>
      <c r="AF106" s="278">
        <f t="shared" si="62"/>
        <v>52.56736059502267</v>
      </c>
      <c r="AG106" s="278">
        <f t="shared" si="46"/>
        <v>50.614870779813096</v>
      </c>
      <c r="AH106" s="278">
        <f t="shared" si="47"/>
        <v>47.772185901052453</v>
      </c>
      <c r="AI106" s="278">
        <f t="shared" si="48"/>
        <v>45.580708433766802</v>
      </c>
      <c r="AK106" s="277">
        <f t="shared" si="49"/>
        <v>0.10136646185266636</v>
      </c>
      <c r="AL106" s="278">
        <f t="shared" si="63"/>
        <v>0.10136646185266636</v>
      </c>
      <c r="AM106" s="278">
        <f t="shared" si="50"/>
        <v>0.12033426426237992</v>
      </c>
      <c r="AN106" s="278">
        <f t="shared" si="51"/>
        <v>0.15041439697904124</v>
      </c>
      <c r="AO106" s="278">
        <f t="shared" si="52"/>
        <v>0.1811554897459601</v>
      </c>
      <c r="BB106" s="376">
        <f t="shared" si="64"/>
        <v>20</v>
      </c>
      <c r="BC106" s="375">
        <f t="shared" ref="BC106:BC140" ca="1" si="67">HLOOKUP(G105,$H$46:$AB$60,H105+1)</f>
        <v>0.98393710902202558</v>
      </c>
      <c r="BE106" s="419">
        <f t="shared" si="65"/>
        <v>20</v>
      </c>
      <c r="BF106" s="420">
        <f t="shared" ref="BF106:BF140" ca="1" si="68">+MAX(BC106,+INDEX($AK$47:$AK$60,H105,0))</f>
        <v>0.98393710902202558</v>
      </c>
    </row>
    <row r="107" spans="1:58" x14ac:dyDescent="0.2">
      <c r="A107" s="421" t="str">
        <v>C</v>
      </c>
      <c r="B107" s="507" t="str">
        <v>open/sub</v>
      </c>
      <c r="D107" s="290">
        <f t="shared" si="53"/>
        <v>0.12033426426237992</v>
      </c>
      <c r="F107" s="501" t="str">
        <f t="shared" ca="1" si="54"/>
        <v/>
      </c>
      <c r="G107" s="539" t="str">
        <f>'Export Old Projects'!BI64</f>
        <v>G</v>
      </c>
      <c r="H107" s="389">
        <f t="shared" ca="1" si="55"/>
        <v>2</v>
      </c>
      <c r="I107" s="1096">
        <f t="shared" ca="1" si="56"/>
        <v>2</v>
      </c>
      <c r="J107" s="376">
        <f t="shared" si="57"/>
        <v>40</v>
      </c>
      <c r="K107" s="375">
        <f t="shared" ca="1" si="58"/>
        <v>0.99130352463612015</v>
      </c>
      <c r="L107" s="1002">
        <v>40</v>
      </c>
      <c r="M107" s="1020">
        <f ca="1">HLOOKUP(G107,'PLW Factors'!$C$214:$W$229,H107+1,FALSE)</f>
        <v>0.9924752791836331</v>
      </c>
      <c r="N107" s="1039">
        <v>40</v>
      </c>
      <c r="O107" s="1040">
        <f>INDEX('Wind speed'!$C$20:$AA$20,1,MATCH(G107,$H$11:$AB$11,0))/'Wind speed'!$D$17</f>
        <v>1.00264148567204</v>
      </c>
      <c r="P107" t="str">
        <f t="shared" ca="1" si="66"/>
        <v>Open A24LE</v>
      </c>
      <c r="Q107" s="1092"/>
      <c r="R107" s="419">
        <f t="shared" si="59"/>
        <v>40</v>
      </c>
      <c r="S107" s="420">
        <f t="shared" ca="1" si="60"/>
        <v>0.99130352463612015</v>
      </c>
      <c r="T107" s="1117">
        <f t="shared" ca="1" si="42"/>
        <v>1</v>
      </c>
      <c r="AA107" s="554">
        <f t="shared" si="43"/>
        <v>40</v>
      </c>
      <c r="AB107" s="561">
        <f ca="1">INDEX('Profile Data'!$W$53:$AJ$53,1,H107)*K107</f>
        <v>0.83579663690927286</v>
      </c>
      <c r="AC107" s="393">
        <f t="shared" si="44"/>
        <v>7</v>
      </c>
      <c r="AD107" s="276">
        <f t="shared" si="61"/>
        <v>40</v>
      </c>
      <c r="AE107" s="278">
        <f t="shared" si="45"/>
        <v>50.614870779813096</v>
      </c>
      <c r="AF107" s="278">
        <f t="shared" si="62"/>
        <v>52.56736059502267</v>
      </c>
      <c r="AG107" s="278">
        <f t="shared" si="46"/>
        <v>50.614870779813096</v>
      </c>
      <c r="AH107" s="278">
        <f t="shared" si="47"/>
        <v>47.772185901052453</v>
      </c>
      <c r="AI107" s="278">
        <f t="shared" si="48"/>
        <v>45.580708433766802</v>
      </c>
      <c r="AK107" s="277">
        <f t="shared" si="49"/>
        <v>0.12033426426237992</v>
      </c>
      <c r="AL107" s="278">
        <f t="shared" si="63"/>
        <v>0.10136646185266636</v>
      </c>
      <c r="AM107" s="278">
        <f t="shared" si="50"/>
        <v>0.12033426426237992</v>
      </c>
      <c r="AN107" s="278">
        <f t="shared" si="51"/>
        <v>0.15041439697904124</v>
      </c>
      <c r="AO107" s="278">
        <f t="shared" si="52"/>
        <v>0.1811554897459601</v>
      </c>
      <c r="BB107" s="376">
        <f t="shared" si="64"/>
        <v>30</v>
      </c>
      <c r="BC107" s="375">
        <f t="shared" ca="1" si="67"/>
        <v>0.98393710902202558</v>
      </c>
      <c r="BE107" s="419">
        <f t="shared" si="65"/>
        <v>30</v>
      </c>
      <c r="BF107" s="420">
        <f t="shared" ca="1" si="68"/>
        <v>0.98393710902202558</v>
      </c>
    </row>
    <row r="108" spans="1:58" x14ac:dyDescent="0.2">
      <c r="A108" s="421" t="str">
        <v>D</v>
      </c>
      <c r="B108" s="507" t="str">
        <v>suburban</v>
      </c>
      <c r="D108" s="290">
        <f t="shared" si="53"/>
        <v>0.12033426426237992</v>
      </c>
      <c r="F108" s="501" t="str">
        <f t="shared" ca="1" si="54"/>
        <v/>
      </c>
      <c r="G108" s="539" t="str">
        <f>'Export Old Projects'!BI65</f>
        <v>G</v>
      </c>
      <c r="H108" s="389">
        <f t="shared" ca="1" si="55"/>
        <v>2</v>
      </c>
      <c r="I108" s="1096">
        <f t="shared" ca="1" si="56"/>
        <v>2</v>
      </c>
      <c r="J108" s="376">
        <f t="shared" si="57"/>
        <v>50</v>
      </c>
      <c r="K108" s="375">
        <f t="shared" ca="1" si="58"/>
        <v>0.99130352463612015</v>
      </c>
      <c r="L108" s="1002">
        <v>50</v>
      </c>
      <c r="M108" s="1020">
        <f ca="1">HLOOKUP(G108,'PLW Factors'!$C$214:$W$229,H108+1,FALSE)</f>
        <v>0.9924752791836331</v>
      </c>
      <c r="N108" s="1039">
        <v>50</v>
      </c>
      <c r="O108" s="1040">
        <f>INDEX('Wind speed'!$C$20:$AA$20,1,MATCH(G108,$H$11:$AB$11,0))/'Wind speed'!$D$17</f>
        <v>1.00264148567204</v>
      </c>
      <c r="P108" t="str">
        <f t="shared" ca="1" si="66"/>
        <v>"</v>
      </c>
      <c r="Q108" s="1092"/>
      <c r="R108" s="419">
        <f t="shared" si="59"/>
        <v>50</v>
      </c>
      <c r="S108" s="420">
        <f t="shared" ca="1" si="60"/>
        <v>0.99130352463612015</v>
      </c>
      <c r="T108" s="1117">
        <f t="shared" ca="1" si="42"/>
        <v>1</v>
      </c>
      <c r="AA108" s="554">
        <f t="shared" si="43"/>
        <v>50</v>
      </c>
      <c r="AB108" s="561">
        <f ca="1">INDEX('Profile Data'!$W$53:$AJ$53,1,H108)*K108</f>
        <v>0.83579663690927286</v>
      </c>
      <c r="AC108" s="393">
        <f t="shared" si="44"/>
        <v>7</v>
      </c>
      <c r="AD108" s="276">
        <f t="shared" si="61"/>
        <v>50</v>
      </c>
      <c r="AE108" s="278">
        <f t="shared" si="45"/>
        <v>50.614870779813096</v>
      </c>
      <c r="AF108" s="278">
        <f t="shared" si="62"/>
        <v>52.56736059502267</v>
      </c>
      <c r="AG108" s="278">
        <f t="shared" si="46"/>
        <v>50.614870779813096</v>
      </c>
      <c r="AH108" s="278">
        <f t="shared" si="47"/>
        <v>47.772185901052453</v>
      </c>
      <c r="AI108" s="278">
        <f t="shared" si="48"/>
        <v>45.580708433766802</v>
      </c>
      <c r="AK108" s="277">
        <f t="shared" si="49"/>
        <v>0.12033426426237992</v>
      </c>
      <c r="AL108" s="278">
        <f t="shared" si="63"/>
        <v>0.10136646185266636</v>
      </c>
      <c r="AM108" s="278">
        <f t="shared" si="50"/>
        <v>0.12033426426237992</v>
      </c>
      <c r="AN108" s="278">
        <f t="shared" si="51"/>
        <v>0.15041439697904124</v>
      </c>
      <c r="AO108" s="278">
        <f t="shared" si="52"/>
        <v>0.1811554897459601</v>
      </c>
      <c r="BB108" s="376">
        <f t="shared" si="64"/>
        <v>40</v>
      </c>
      <c r="BC108" s="375">
        <f t="shared" ca="1" si="67"/>
        <v>0.98268267795599484</v>
      </c>
      <c r="BE108" s="419">
        <f t="shared" si="65"/>
        <v>40</v>
      </c>
      <c r="BF108" s="420">
        <f t="shared" ca="1" si="68"/>
        <v>0.98268267795599484</v>
      </c>
    </row>
    <row r="109" spans="1:58" x14ac:dyDescent="0.2">
      <c r="A109" s="421" t="str">
        <v>E</v>
      </c>
      <c r="B109" s="507" t="str">
        <v>urban</v>
      </c>
      <c r="D109" s="290">
        <f t="shared" si="53"/>
        <v>0.12033426426237992</v>
      </c>
      <c r="F109" s="501" t="str">
        <f t="shared" ca="1" si="54"/>
        <v/>
      </c>
      <c r="G109" s="539" t="str">
        <f>'Export Old Projects'!BI66</f>
        <v>G</v>
      </c>
      <c r="H109" s="389">
        <f t="shared" ca="1" si="55"/>
        <v>2</v>
      </c>
      <c r="I109" s="1096">
        <f t="shared" ca="1" si="56"/>
        <v>2</v>
      </c>
      <c r="J109" s="376">
        <f t="shared" si="57"/>
        <v>60</v>
      </c>
      <c r="K109" s="375">
        <f t="shared" ca="1" si="58"/>
        <v>0.99130352463612015</v>
      </c>
      <c r="L109" s="1002">
        <v>60</v>
      </c>
      <c r="M109" s="1020">
        <f ca="1">HLOOKUP(G109,'PLW Factors'!$C$214:$W$229,H109+1,FALSE)</f>
        <v>0.9924752791836331</v>
      </c>
      <c r="N109" s="1039">
        <v>60</v>
      </c>
      <c r="O109" s="1040">
        <f>INDEX('Wind speed'!$C$20:$AA$20,1,MATCH(G109,$H$11:$AB$11,0))/'Wind speed'!$D$17</f>
        <v>1.00264148567204</v>
      </c>
      <c r="P109" t="str">
        <f t="shared" ca="1" si="66"/>
        <v>"</v>
      </c>
      <c r="Q109" s="1092"/>
      <c r="R109" s="419">
        <f t="shared" si="59"/>
        <v>60</v>
      </c>
      <c r="S109" s="420">
        <f t="shared" ca="1" si="60"/>
        <v>0.99130352463612015</v>
      </c>
      <c r="T109" s="1117">
        <f t="shared" ca="1" si="42"/>
        <v>1</v>
      </c>
      <c r="AA109" s="554">
        <f t="shared" si="43"/>
        <v>60</v>
      </c>
      <c r="AB109" s="561">
        <f ca="1">INDEX('Profile Data'!$W$53:$AJ$53,1,H109)*K109</f>
        <v>0.83579663690927286</v>
      </c>
      <c r="AC109" s="393">
        <f t="shared" si="44"/>
        <v>7</v>
      </c>
      <c r="AD109" s="276">
        <f t="shared" si="61"/>
        <v>60</v>
      </c>
      <c r="AE109" s="278">
        <f t="shared" si="45"/>
        <v>50.614870779813096</v>
      </c>
      <c r="AF109" s="278">
        <f t="shared" si="62"/>
        <v>52.56736059502267</v>
      </c>
      <c r="AG109" s="278">
        <f t="shared" si="46"/>
        <v>50.614870779813096</v>
      </c>
      <c r="AH109" s="278">
        <f t="shared" si="47"/>
        <v>47.772185901052453</v>
      </c>
      <c r="AI109" s="278">
        <f t="shared" si="48"/>
        <v>45.580708433766802</v>
      </c>
      <c r="AK109" s="277">
        <f t="shared" si="49"/>
        <v>0.12033426426237992</v>
      </c>
      <c r="AL109" s="278">
        <f t="shared" si="63"/>
        <v>0.10136646185266636</v>
      </c>
      <c r="AM109" s="278">
        <f t="shared" si="50"/>
        <v>0.12033426426237992</v>
      </c>
      <c r="AN109" s="278">
        <f t="shared" si="51"/>
        <v>0.15041439697904124</v>
      </c>
      <c r="AO109" s="278">
        <f t="shared" si="52"/>
        <v>0.1811554897459601</v>
      </c>
      <c r="BB109" s="376">
        <f t="shared" si="64"/>
        <v>50</v>
      </c>
      <c r="BC109" s="375">
        <f t="shared" ca="1" si="67"/>
        <v>0.98268267795599484</v>
      </c>
      <c r="BE109" s="419">
        <f t="shared" si="65"/>
        <v>50</v>
      </c>
      <c r="BF109" s="420">
        <f t="shared" ca="1" si="68"/>
        <v>0.98268267795599484</v>
      </c>
    </row>
    <row r="110" spans="1:58" x14ac:dyDescent="0.2">
      <c r="A110" s="485" t="str">
        <v>F</v>
      </c>
      <c r="B110" s="313" t="str">
        <v>10-30</v>
      </c>
      <c r="D110" s="290">
        <f>LOOKUP(G110,$H$46:$AC$46,$H$30:$AC$30)</f>
        <v>0.15041439697904124</v>
      </c>
      <c r="F110" s="501" t="str">
        <f t="shared" ca="1" si="54"/>
        <v/>
      </c>
      <c r="G110" s="539" t="str">
        <f>'Export Old Projects'!BI67</f>
        <v>H</v>
      </c>
      <c r="H110" s="389">
        <f t="shared" ca="1" si="55"/>
        <v>3</v>
      </c>
      <c r="I110" s="1096">
        <f t="shared" ca="1" si="56"/>
        <v>3</v>
      </c>
      <c r="J110" s="376">
        <f t="shared" si="57"/>
        <v>70</v>
      </c>
      <c r="K110" s="375">
        <f t="shared" ca="1" si="58"/>
        <v>0.96263598672097161</v>
      </c>
      <c r="L110" s="1002">
        <v>70</v>
      </c>
      <c r="M110" s="1020">
        <f ca="1">HLOOKUP(G110,'PLW Factors'!$C$214:$W$229,H110+1,FALSE)</f>
        <v>0.96737678537941196</v>
      </c>
      <c r="N110" s="1039">
        <v>70</v>
      </c>
      <c r="O110" s="1040">
        <f>INDEX('Wind speed'!$C$20:$AA$20,1,MATCH(G110,$H$11:$AB$11,0))/'Wind speed'!$D$17</f>
        <v>0.94754678599154263</v>
      </c>
      <c r="P110" t="str">
        <f t="shared" ca="1" si="66"/>
        <v>Opsub A24LE</v>
      </c>
      <c r="Q110" s="1092"/>
      <c r="R110" s="419">
        <f t="shared" si="59"/>
        <v>70</v>
      </c>
      <c r="S110" s="420">
        <f t="shared" ca="1" si="60"/>
        <v>0.97275895745726115</v>
      </c>
      <c r="T110" s="1117">
        <f t="shared" ca="1" si="42"/>
        <v>1.0211423567830464</v>
      </c>
      <c r="AA110" s="554">
        <f t="shared" si="43"/>
        <v>70</v>
      </c>
      <c r="AB110" s="561">
        <f ca="1">INDEX('Profile Data'!$W$53:$AJ$53,1,H110)*K110</f>
        <v>0.76497430267276412</v>
      </c>
      <c r="AC110" s="393">
        <f t="shared" si="44"/>
        <v>8</v>
      </c>
      <c r="AD110" s="276">
        <f t="shared" si="61"/>
        <v>70</v>
      </c>
      <c r="AE110" s="278">
        <f t="shared" si="45"/>
        <v>47.772185901052453</v>
      </c>
      <c r="AF110" s="278">
        <f t="shared" si="62"/>
        <v>52.56736059502267</v>
      </c>
      <c r="AG110" s="278">
        <f t="shared" si="46"/>
        <v>50.614870779813096</v>
      </c>
      <c r="AH110" s="278">
        <f t="shared" si="47"/>
        <v>47.772185901052453</v>
      </c>
      <c r="AI110" s="278">
        <f t="shared" si="48"/>
        <v>45.580708433766802</v>
      </c>
      <c r="AK110" s="277">
        <f t="shared" si="49"/>
        <v>0.15041439697904124</v>
      </c>
      <c r="AL110" s="278">
        <f t="shared" si="63"/>
        <v>0.10136646185266636</v>
      </c>
      <c r="AM110" s="278">
        <f t="shared" si="50"/>
        <v>0.12033426426237992</v>
      </c>
      <c r="AN110" s="278">
        <f t="shared" si="51"/>
        <v>0.15041439697904124</v>
      </c>
      <c r="AO110" s="278">
        <f t="shared" si="52"/>
        <v>0.1811554897459601</v>
      </c>
      <c r="BB110" s="376">
        <f t="shared" si="64"/>
        <v>60</v>
      </c>
      <c r="BC110" s="375">
        <f t="shared" ca="1" si="67"/>
        <v>0.98268267795599484</v>
      </c>
      <c r="BE110" s="419">
        <f t="shared" si="65"/>
        <v>60</v>
      </c>
      <c r="BF110" s="420">
        <f t="shared" ca="1" si="68"/>
        <v>0.98268267795599484</v>
      </c>
    </row>
    <row r="111" spans="1:58" x14ac:dyDescent="0.2">
      <c r="A111" s="485" t="str">
        <v>G</v>
      </c>
      <c r="B111" s="313" t="str">
        <v>40-60</v>
      </c>
      <c r="D111" s="290">
        <f t="shared" si="53"/>
        <v>0.15041439697904124</v>
      </c>
      <c r="F111" s="501" t="str">
        <f t="shared" ca="1" si="54"/>
        <v/>
      </c>
      <c r="G111" s="539" t="str">
        <f>'Export Old Projects'!BI68</f>
        <v>H</v>
      </c>
      <c r="H111" s="389">
        <f t="shared" ca="1" si="55"/>
        <v>3</v>
      </c>
      <c r="I111" s="1096">
        <f t="shared" ca="1" si="56"/>
        <v>3</v>
      </c>
      <c r="J111" s="376">
        <f t="shared" si="57"/>
        <v>80</v>
      </c>
      <c r="K111" s="375">
        <f t="shared" ca="1" si="58"/>
        <v>0.96263598672097161</v>
      </c>
      <c r="L111" s="1002">
        <v>80</v>
      </c>
      <c r="M111" s="1020">
        <f ca="1">HLOOKUP(G111,'PLW Factors'!$C$214:$W$229,H111+1,FALSE)</f>
        <v>0.96737678537941196</v>
      </c>
      <c r="N111" s="1039">
        <v>80</v>
      </c>
      <c r="O111" s="1040">
        <f>INDEX('Wind speed'!$C$20:$AA$20,1,MATCH(G111,$H$11:$AB$11,0))/'Wind speed'!$D$17</f>
        <v>0.94754678599154263</v>
      </c>
      <c r="P111" t="str">
        <f t="shared" ca="1" si="66"/>
        <v>"</v>
      </c>
      <c r="Q111" s="1092"/>
      <c r="R111" s="419">
        <f t="shared" si="59"/>
        <v>80</v>
      </c>
      <c r="S111" s="420">
        <f t="shared" ca="1" si="60"/>
        <v>0.97275895745726115</v>
      </c>
      <c r="T111" s="1117">
        <f t="shared" ca="1" si="42"/>
        <v>1.0211423567830464</v>
      </c>
      <c r="AA111" s="554">
        <f t="shared" si="43"/>
        <v>80</v>
      </c>
      <c r="AB111" s="561">
        <f ca="1">INDEX('Profile Data'!$W$53:$AJ$53,1,H111)*K111</f>
        <v>0.76497430267276412</v>
      </c>
      <c r="AC111" s="393">
        <f t="shared" si="44"/>
        <v>8</v>
      </c>
      <c r="AD111" s="276">
        <f t="shared" si="61"/>
        <v>80</v>
      </c>
      <c r="AE111" s="278">
        <f t="shared" si="45"/>
        <v>47.772185901052453</v>
      </c>
      <c r="AF111" s="278">
        <f t="shared" si="62"/>
        <v>52.56736059502267</v>
      </c>
      <c r="AG111" s="278">
        <f t="shared" si="46"/>
        <v>50.614870779813096</v>
      </c>
      <c r="AH111" s="278">
        <f t="shared" si="47"/>
        <v>47.772185901052453</v>
      </c>
      <c r="AI111" s="278">
        <f t="shared" si="48"/>
        <v>45.580708433766802</v>
      </c>
      <c r="AK111" s="277">
        <f t="shared" si="49"/>
        <v>0.15041439697904124</v>
      </c>
      <c r="AL111" s="278">
        <f t="shared" si="63"/>
        <v>0.10136646185266636</v>
      </c>
      <c r="AM111" s="278">
        <f t="shared" si="50"/>
        <v>0.12033426426237992</v>
      </c>
      <c r="AN111" s="278">
        <f t="shared" si="51"/>
        <v>0.15041439697904124</v>
      </c>
      <c r="AO111" s="278">
        <f t="shared" si="52"/>
        <v>0.1811554897459601</v>
      </c>
      <c r="BB111" s="376">
        <f t="shared" si="64"/>
        <v>70</v>
      </c>
      <c r="BC111" s="375">
        <f t="shared" ca="1" si="67"/>
        <v>0.92666804293025862</v>
      </c>
      <c r="BE111" s="419">
        <f t="shared" si="65"/>
        <v>70</v>
      </c>
      <c r="BF111" s="420">
        <f t="shared" ca="1" si="68"/>
        <v>0.94625998931333766</v>
      </c>
    </row>
    <row r="112" spans="1:58" x14ac:dyDescent="0.2">
      <c r="A112" s="485" t="str">
        <v>H</v>
      </c>
      <c r="B112" s="313" t="str">
        <v>70-90</v>
      </c>
      <c r="D112" s="290">
        <f t="shared" si="53"/>
        <v>0.15041439697904124</v>
      </c>
      <c r="F112" s="501" t="str">
        <f t="shared" ca="1" si="54"/>
        <v/>
      </c>
      <c r="G112" s="539" t="str">
        <f>'Export Old Projects'!BI69</f>
        <v>H</v>
      </c>
      <c r="H112" s="389">
        <f t="shared" ca="1" si="55"/>
        <v>3</v>
      </c>
      <c r="I112" s="1096">
        <f t="shared" ca="1" si="56"/>
        <v>3</v>
      </c>
      <c r="J112" s="376">
        <f t="shared" si="57"/>
        <v>90</v>
      </c>
      <c r="K112" s="375">
        <f t="shared" ca="1" si="58"/>
        <v>0.96263598672097161</v>
      </c>
      <c r="L112" s="1002">
        <v>90</v>
      </c>
      <c r="M112" s="1020">
        <f ca="1">HLOOKUP(G112,'PLW Factors'!$C$214:$W$229,H112+1,FALSE)</f>
        <v>0.96737678537941196</v>
      </c>
      <c r="N112" s="1039">
        <v>90</v>
      </c>
      <c r="O112" s="1040">
        <f>INDEX('Wind speed'!$C$20:$AA$20,1,MATCH(G112,$H$11:$AB$11,0))/'Wind speed'!$D$17</f>
        <v>0.94754678599154263</v>
      </c>
      <c r="P112" t="str">
        <f t="shared" ca="1" si="66"/>
        <v>"</v>
      </c>
      <c r="Q112" s="1092"/>
      <c r="R112" s="419">
        <f t="shared" si="59"/>
        <v>90</v>
      </c>
      <c r="S112" s="420">
        <f t="shared" ca="1" si="60"/>
        <v>0.97275895745726115</v>
      </c>
      <c r="T112" s="1117">
        <f t="shared" ca="1" si="42"/>
        <v>1.0211423567830464</v>
      </c>
      <c r="AA112" s="554">
        <f t="shared" si="43"/>
        <v>90</v>
      </c>
      <c r="AB112" s="561">
        <f ca="1">INDEX('Profile Data'!$W$53:$AJ$53,1,H112)*K112</f>
        <v>0.76497430267276412</v>
      </c>
      <c r="AC112" s="393">
        <f t="shared" si="44"/>
        <v>8</v>
      </c>
      <c r="AD112" s="276">
        <f t="shared" si="61"/>
        <v>90</v>
      </c>
      <c r="AE112" s="278">
        <f t="shared" si="45"/>
        <v>47.772185901052453</v>
      </c>
      <c r="AF112" s="278">
        <f t="shared" si="62"/>
        <v>52.56736059502267</v>
      </c>
      <c r="AG112" s="278">
        <f t="shared" si="46"/>
        <v>50.614870779813096</v>
      </c>
      <c r="AH112" s="278">
        <f t="shared" si="47"/>
        <v>47.772185901052453</v>
      </c>
      <c r="AI112" s="278">
        <f t="shared" si="48"/>
        <v>45.580708433766802</v>
      </c>
      <c r="AK112" s="277">
        <f t="shared" si="49"/>
        <v>0.15041439697904124</v>
      </c>
      <c r="AL112" s="278">
        <f t="shared" si="63"/>
        <v>0.10136646185266636</v>
      </c>
      <c r="AM112" s="278">
        <f t="shared" si="50"/>
        <v>0.12033426426237992</v>
      </c>
      <c r="AN112" s="278">
        <f t="shared" si="51"/>
        <v>0.15041439697904124</v>
      </c>
      <c r="AO112" s="278">
        <f t="shared" si="52"/>
        <v>0.1811554897459601</v>
      </c>
      <c r="BB112" s="376">
        <f t="shared" si="64"/>
        <v>80</v>
      </c>
      <c r="BC112" s="375">
        <f t="shared" ca="1" si="67"/>
        <v>0.92666804293025862</v>
      </c>
      <c r="BE112" s="419">
        <f t="shared" si="65"/>
        <v>80</v>
      </c>
      <c r="BF112" s="420">
        <f t="shared" ca="1" si="68"/>
        <v>0.94625998931333766</v>
      </c>
    </row>
    <row r="113" spans="1:58" x14ac:dyDescent="0.2">
      <c r="A113" s="485" t="str">
        <v>I</v>
      </c>
      <c r="B113" s="313" t="str">
        <v>100-120</v>
      </c>
      <c r="D113" s="290">
        <f t="shared" si="53"/>
        <v>0.1811554897459601</v>
      </c>
      <c r="F113" s="501" t="str">
        <f t="shared" ca="1" si="54"/>
        <v/>
      </c>
      <c r="G113" s="539" t="str">
        <f>'Export Old Projects'!BI70</f>
        <v>I</v>
      </c>
      <c r="H113" s="389">
        <f t="shared" ca="1" si="55"/>
        <v>4</v>
      </c>
      <c r="I113" s="1096">
        <f t="shared" ca="1" si="56"/>
        <v>4</v>
      </c>
      <c r="J113" s="376">
        <f t="shared" si="57"/>
        <v>100</v>
      </c>
      <c r="K113" s="375">
        <f t="shared" ca="1" si="58"/>
        <v>0.96972610042157525</v>
      </c>
      <c r="L113" s="1002">
        <v>100</v>
      </c>
      <c r="M113" s="1020">
        <f ca="1">HLOOKUP(G113,'PLW Factors'!$C$214:$W$229,H113+1,FALSE)</f>
        <v>0.96819950494616569</v>
      </c>
      <c r="N113" s="1039">
        <v>100</v>
      </c>
      <c r="O113" s="1040">
        <f>INDEX('Wind speed'!$C$20:$AA$20,1,MATCH(G113,$H$11:$AB$11,0))/'Wind speed'!$D$17</f>
        <v>0.91997043574425608</v>
      </c>
      <c r="P113" t="str">
        <f t="shared" ca="1" si="66"/>
        <v>Suburban A24LE</v>
      </c>
      <c r="Q113" s="1092"/>
      <c r="R113" s="419">
        <f t="shared" si="59"/>
        <v>100</v>
      </c>
      <c r="S113" s="420">
        <f t="shared" ca="1" si="60"/>
        <v>0.98618120420590971</v>
      </c>
      <c r="T113" s="1117">
        <f t="shared" ca="1" si="42"/>
        <v>1.0342255727497558</v>
      </c>
      <c r="AA113" s="554">
        <f t="shared" si="43"/>
        <v>100</v>
      </c>
      <c r="AB113" s="561">
        <f ca="1">INDEX('Profile Data'!$W$53:$AJ$53,1,H113)*K113</f>
        <v>0.71998408810379211</v>
      </c>
      <c r="AC113" s="393">
        <f t="shared" si="44"/>
        <v>9</v>
      </c>
      <c r="AD113" s="276">
        <f t="shared" si="61"/>
        <v>100</v>
      </c>
      <c r="AE113" s="278">
        <f t="shared" si="45"/>
        <v>45.580708433766802</v>
      </c>
      <c r="AF113" s="278">
        <f t="shared" si="62"/>
        <v>52.56736059502267</v>
      </c>
      <c r="AG113" s="278">
        <f t="shared" si="46"/>
        <v>50.614870779813096</v>
      </c>
      <c r="AH113" s="278">
        <f t="shared" si="47"/>
        <v>47.772185901052453</v>
      </c>
      <c r="AI113" s="278">
        <f t="shared" si="48"/>
        <v>45.580708433766802</v>
      </c>
      <c r="AK113" s="277">
        <f t="shared" si="49"/>
        <v>0.1811554897459601</v>
      </c>
      <c r="AL113" s="278">
        <f t="shared" si="63"/>
        <v>0.10136646185266636</v>
      </c>
      <c r="AM113" s="278">
        <f t="shared" si="50"/>
        <v>0.12033426426237992</v>
      </c>
      <c r="AN113" s="278">
        <f t="shared" si="51"/>
        <v>0.15041439697904124</v>
      </c>
      <c r="AO113" s="278">
        <f t="shared" si="52"/>
        <v>0.1811554897459601</v>
      </c>
      <c r="BB113" s="376">
        <f t="shared" si="64"/>
        <v>90</v>
      </c>
      <c r="BC113" s="375">
        <f t="shared" ca="1" si="67"/>
        <v>0.92666804293025862</v>
      </c>
      <c r="BE113" s="419">
        <f t="shared" si="65"/>
        <v>90</v>
      </c>
      <c r="BF113" s="420">
        <f t="shared" ca="1" si="68"/>
        <v>0.94625998931333766</v>
      </c>
    </row>
    <row r="114" spans="1:58" x14ac:dyDescent="0.2">
      <c r="A114" s="485" t="str">
        <v>J</v>
      </c>
      <c r="B114" s="313" t="str">
        <v>130-150</v>
      </c>
      <c r="D114" s="290">
        <f t="shared" si="53"/>
        <v>0.1811554897459601</v>
      </c>
      <c r="F114" s="501" t="str">
        <f t="shared" ca="1" si="54"/>
        <v/>
      </c>
      <c r="G114" s="539" t="str">
        <f>'Export Old Projects'!BI71</f>
        <v>I</v>
      </c>
      <c r="H114" s="389">
        <f t="shared" ca="1" si="55"/>
        <v>4</v>
      </c>
      <c r="I114" s="1096">
        <f t="shared" ca="1" si="56"/>
        <v>4</v>
      </c>
      <c r="J114" s="376">
        <f t="shared" si="57"/>
        <v>110</v>
      </c>
      <c r="K114" s="375">
        <f t="shared" ca="1" si="58"/>
        <v>0.96972610042157525</v>
      </c>
      <c r="L114" s="1002">
        <v>110</v>
      </c>
      <c r="M114" s="1020">
        <f ca="1">HLOOKUP(G114,'PLW Factors'!$C$214:$W$229,H114+1,FALSE)</f>
        <v>0.96819950494616569</v>
      </c>
      <c r="N114" s="1039">
        <v>110</v>
      </c>
      <c r="O114" s="1040">
        <f>INDEX('Wind speed'!$C$20:$AA$20,1,MATCH(G114,$H$11:$AB$11,0))/'Wind speed'!$D$17</f>
        <v>0.91997043574425608</v>
      </c>
      <c r="P114" t="str">
        <f t="shared" ca="1" si="66"/>
        <v>"</v>
      </c>
      <c r="Q114" s="1092"/>
      <c r="R114" s="419">
        <f t="shared" si="59"/>
        <v>110</v>
      </c>
      <c r="S114" s="420">
        <f t="shared" ca="1" si="60"/>
        <v>0.98618120420590971</v>
      </c>
      <c r="T114" s="1117">
        <f t="shared" ca="1" si="42"/>
        <v>1.0342255727497558</v>
      </c>
      <c r="AA114" s="554">
        <f t="shared" si="43"/>
        <v>110</v>
      </c>
      <c r="AB114" s="561">
        <f ca="1">INDEX('Profile Data'!$W$53:$AJ$53,1,H114)*K114</f>
        <v>0.71998408810379211</v>
      </c>
      <c r="AC114" s="393">
        <f t="shared" si="44"/>
        <v>9</v>
      </c>
      <c r="AD114" s="276">
        <f t="shared" si="61"/>
        <v>110</v>
      </c>
      <c r="AE114" s="278">
        <f t="shared" si="45"/>
        <v>45.580708433766802</v>
      </c>
      <c r="AF114" s="278">
        <f t="shared" si="62"/>
        <v>52.56736059502267</v>
      </c>
      <c r="AG114" s="278">
        <f t="shared" si="46"/>
        <v>50.614870779813096</v>
      </c>
      <c r="AH114" s="278">
        <f t="shared" si="47"/>
        <v>47.772185901052453</v>
      </c>
      <c r="AI114" s="278">
        <f t="shared" si="48"/>
        <v>45.580708433766802</v>
      </c>
      <c r="AK114" s="277">
        <f t="shared" si="49"/>
        <v>0.1811554897459601</v>
      </c>
      <c r="AL114" s="278">
        <f t="shared" si="63"/>
        <v>0.10136646185266636</v>
      </c>
      <c r="AM114" s="278">
        <f t="shared" si="50"/>
        <v>0.12033426426237992</v>
      </c>
      <c r="AN114" s="278">
        <f t="shared" si="51"/>
        <v>0.15041439697904124</v>
      </c>
      <c r="AO114" s="278">
        <f t="shared" si="52"/>
        <v>0.1811554897459601</v>
      </c>
      <c r="BB114" s="376">
        <f t="shared" si="64"/>
        <v>100</v>
      </c>
      <c r="BC114" s="375">
        <f t="shared" ca="1" si="67"/>
        <v>0.94036870983883503</v>
      </c>
      <c r="BE114" s="419">
        <f t="shared" si="65"/>
        <v>100</v>
      </c>
      <c r="BF114" s="420">
        <f t="shared" ca="1" si="68"/>
        <v>0.97255336752901822</v>
      </c>
    </row>
    <row r="115" spans="1:58" x14ac:dyDescent="0.2">
      <c r="A115" s="485" t="str">
        <v>K</v>
      </c>
      <c r="B115" s="313" t="str">
        <v>160-180.</v>
      </c>
      <c r="D115" s="290">
        <f t="shared" si="53"/>
        <v>0.1811554897459601</v>
      </c>
      <c r="F115" s="501" t="str">
        <f t="shared" ca="1" si="54"/>
        <v/>
      </c>
      <c r="G115" s="539" t="str">
        <f>'Export Old Projects'!BI72</f>
        <v>I</v>
      </c>
      <c r="H115" s="389">
        <f t="shared" ca="1" si="55"/>
        <v>4</v>
      </c>
      <c r="I115" s="1096">
        <f t="shared" ca="1" si="56"/>
        <v>4</v>
      </c>
      <c r="J115" s="376">
        <f t="shared" si="57"/>
        <v>120</v>
      </c>
      <c r="K115" s="375">
        <f t="shared" ca="1" si="58"/>
        <v>0.96972610042157525</v>
      </c>
      <c r="L115" s="1002">
        <v>120</v>
      </c>
      <c r="M115" s="1020">
        <f ca="1">HLOOKUP(G115,'PLW Factors'!$C$214:$W$229,H115+1,FALSE)</f>
        <v>0.96819950494616569</v>
      </c>
      <c r="N115" s="1039">
        <v>120</v>
      </c>
      <c r="O115" s="1040">
        <f>INDEX('Wind speed'!$C$20:$AA$20,1,MATCH(G115,$H$11:$AB$11,0))/'Wind speed'!$D$17</f>
        <v>0.91997043574425608</v>
      </c>
      <c r="P115" t="str">
        <f t="shared" ca="1" si="66"/>
        <v>"</v>
      </c>
      <c r="Q115" s="1092"/>
      <c r="R115" s="419">
        <f t="shared" si="59"/>
        <v>120</v>
      </c>
      <c r="S115" s="420">
        <f t="shared" ca="1" si="60"/>
        <v>0.98618120420590971</v>
      </c>
      <c r="T115" s="1117">
        <f t="shared" ca="1" si="42"/>
        <v>1.0342255727497558</v>
      </c>
      <c r="AA115" s="554">
        <f t="shared" si="43"/>
        <v>120</v>
      </c>
      <c r="AB115" s="561">
        <f ca="1">INDEX('Profile Data'!$W$53:$AJ$53,1,H115)*K115</f>
        <v>0.71998408810379211</v>
      </c>
      <c r="AC115" s="393">
        <f t="shared" si="44"/>
        <v>9</v>
      </c>
      <c r="AD115" s="276">
        <f t="shared" si="61"/>
        <v>120</v>
      </c>
      <c r="AE115" s="278">
        <f t="shared" si="45"/>
        <v>45.580708433766802</v>
      </c>
      <c r="AF115" s="278">
        <f t="shared" si="62"/>
        <v>52.56736059502267</v>
      </c>
      <c r="AG115" s="278">
        <f t="shared" si="46"/>
        <v>50.614870779813096</v>
      </c>
      <c r="AH115" s="278">
        <f t="shared" si="47"/>
        <v>47.772185901052453</v>
      </c>
      <c r="AI115" s="278">
        <f t="shared" si="48"/>
        <v>45.580708433766802</v>
      </c>
      <c r="AK115" s="277">
        <f t="shared" si="49"/>
        <v>0.1811554897459601</v>
      </c>
      <c r="AL115" s="278">
        <f t="shared" si="63"/>
        <v>0.10136646185266636</v>
      </c>
      <c r="AM115" s="278">
        <f t="shared" si="50"/>
        <v>0.12033426426237992</v>
      </c>
      <c r="AN115" s="278">
        <f t="shared" si="51"/>
        <v>0.15041439697904124</v>
      </c>
      <c r="AO115" s="278">
        <f t="shared" si="52"/>
        <v>0.1811554897459601</v>
      </c>
      <c r="BB115" s="376">
        <f t="shared" si="64"/>
        <v>110</v>
      </c>
      <c r="BC115" s="375">
        <f t="shared" ca="1" si="67"/>
        <v>0.94036870983883503</v>
      </c>
      <c r="BE115" s="419">
        <f t="shared" si="65"/>
        <v>110</v>
      </c>
      <c r="BF115" s="420">
        <f t="shared" ca="1" si="68"/>
        <v>0.97255336752901822</v>
      </c>
    </row>
    <row r="116" spans="1:58" x14ac:dyDescent="0.2">
      <c r="A116" s="485" t="str">
        <v>L</v>
      </c>
      <c r="B116" s="313" t="str">
        <v>190-210</v>
      </c>
      <c r="D116" s="290">
        <f t="shared" si="53"/>
        <v>0.23667254275369529</v>
      </c>
      <c r="F116" s="501" t="str">
        <f t="shared" ca="1" si="54"/>
        <v/>
      </c>
      <c r="G116" s="539" t="str">
        <f>'Export Old Projects'!BI73</f>
        <v>J</v>
      </c>
      <c r="H116" s="389">
        <f t="shared" ca="1" si="55"/>
        <v>6</v>
      </c>
      <c r="I116" s="1096">
        <f t="shared" ca="1" si="56"/>
        <v>5</v>
      </c>
      <c r="J116" s="376">
        <f t="shared" si="57"/>
        <v>130</v>
      </c>
      <c r="K116" s="375">
        <f t="shared" ca="1" si="58"/>
        <v>0.91598429033220519</v>
      </c>
      <c r="L116" s="1002">
        <v>130</v>
      </c>
      <c r="M116" s="1020">
        <f ca="1">HLOOKUP(G116,'PLW Factors'!$C$214:$W$229,H116+1,FALSE)</f>
        <v>0.91334334226366853</v>
      </c>
      <c r="N116" s="1039">
        <v>130</v>
      </c>
      <c r="O116" s="1040">
        <f>INDEX('Wind speed'!$C$20:$AA$20,1,MATCH(G116,$H$11:$AB$11,0))/'Wind speed'!$D$17</f>
        <v>0.87929646319773369</v>
      </c>
      <c r="P116" t="str">
        <f t="shared" ca="1" si="66"/>
        <v>Urban A24LE</v>
      </c>
      <c r="Q116" s="1092"/>
      <c r="R116" s="419">
        <f t="shared" si="59"/>
        <v>130</v>
      </c>
      <c r="S116" s="420">
        <f t="shared" ca="1" si="60"/>
        <v>0.95174213513773087</v>
      </c>
      <c r="T116" s="1117">
        <f t="shared" ca="1" si="42"/>
        <v>1.0795991715862998</v>
      </c>
      <c r="AA116" s="554">
        <f t="shared" si="43"/>
        <v>130</v>
      </c>
      <c r="AB116" s="561">
        <f ca="1">INDEX('Profile Data'!$W$53:$AJ$53,1,H116)*K116</f>
        <v>0.6426724171738406</v>
      </c>
      <c r="AC116" s="393">
        <f t="shared" si="44"/>
        <v>10</v>
      </c>
      <c r="AD116" s="276">
        <f t="shared" si="61"/>
        <v>130</v>
      </c>
      <c r="AE116" s="278">
        <f t="shared" si="45"/>
        <v>42.117577040195741</v>
      </c>
      <c r="AF116" s="278">
        <f t="shared" si="62"/>
        <v>52.56736059502267</v>
      </c>
      <c r="AG116" s="278">
        <f t="shared" si="46"/>
        <v>50.614870779813096</v>
      </c>
      <c r="AH116" s="278">
        <f t="shared" si="47"/>
        <v>47.772185901052453</v>
      </c>
      <c r="AI116" s="278">
        <f t="shared" si="48"/>
        <v>45.580708433766802</v>
      </c>
      <c r="AK116" s="277">
        <f t="shared" si="49"/>
        <v>0.23667254275369529</v>
      </c>
      <c r="AL116" s="278">
        <f t="shared" si="63"/>
        <v>0.10136646185266636</v>
      </c>
      <c r="AM116" s="278">
        <f t="shared" si="50"/>
        <v>0.12033426426237992</v>
      </c>
      <c r="AN116" s="278">
        <f t="shared" si="51"/>
        <v>0.15041439697904124</v>
      </c>
      <c r="AO116" s="278">
        <f t="shared" si="52"/>
        <v>0.1811554897459601</v>
      </c>
      <c r="BB116" s="376">
        <f t="shared" si="64"/>
        <v>120</v>
      </c>
      <c r="BC116" s="375">
        <f t="shared" ca="1" si="67"/>
        <v>0.94036870983883503</v>
      </c>
      <c r="BE116" s="419">
        <f t="shared" si="65"/>
        <v>120</v>
      </c>
      <c r="BF116" s="420">
        <f t="shared" ca="1" si="68"/>
        <v>0.97255336752901822</v>
      </c>
    </row>
    <row r="117" spans="1:58" x14ac:dyDescent="0.2">
      <c r="A117" s="485" t="str">
        <v>M</v>
      </c>
      <c r="B117" s="313" t="str">
        <v>220-240</v>
      </c>
      <c r="D117" s="290">
        <f t="shared" si="53"/>
        <v>0.23667254275369529</v>
      </c>
      <c r="F117" s="501" t="str">
        <f t="shared" ca="1" si="54"/>
        <v/>
      </c>
      <c r="G117" s="539" t="str">
        <f>'Export Old Projects'!BI74</f>
        <v>J</v>
      </c>
      <c r="H117" s="389">
        <f t="shared" ca="1" si="55"/>
        <v>6</v>
      </c>
      <c r="I117" s="1096">
        <f t="shared" ca="1" si="56"/>
        <v>5</v>
      </c>
      <c r="J117" s="376">
        <f t="shared" si="57"/>
        <v>140</v>
      </c>
      <c r="K117" s="375">
        <f t="shared" ca="1" si="58"/>
        <v>0.91598429033220519</v>
      </c>
      <c r="L117" s="1002">
        <v>140</v>
      </c>
      <c r="M117" s="1020">
        <f ca="1">HLOOKUP(G117,'PLW Factors'!$C$214:$W$229,H117+1,FALSE)</f>
        <v>0.91334334226366853</v>
      </c>
      <c r="N117" s="1039">
        <v>140</v>
      </c>
      <c r="O117" s="1040">
        <f>INDEX('Wind speed'!$C$20:$AA$20,1,MATCH(G117,$H$11:$AB$11,0))/'Wind speed'!$D$17</f>
        <v>0.87929646319773369</v>
      </c>
      <c r="P117" t="str">
        <f t="shared" ca="1" si="66"/>
        <v>"</v>
      </c>
      <c r="Q117" s="1092"/>
      <c r="R117" s="419">
        <f t="shared" si="59"/>
        <v>140</v>
      </c>
      <c r="S117" s="420">
        <f t="shared" ca="1" si="60"/>
        <v>0.95174213513773087</v>
      </c>
      <c r="T117" s="1117">
        <f t="shared" ca="1" si="42"/>
        <v>1.0795991715862998</v>
      </c>
      <c r="AA117" s="554">
        <f t="shared" si="43"/>
        <v>140</v>
      </c>
      <c r="AB117" s="561">
        <f ca="1">INDEX('Profile Data'!$W$53:$AJ$53,1,H117)*K117</f>
        <v>0.6426724171738406</v>
      </c>
      <c r="AC117" s="393">
        <f t="shared" si="44"/>
        <v>10</v>
      </c>
      <c r="AD117" s="276">
        <f t="shared" si="61"/>
        <v>140</v>
      </c>
      <c r="AE117" s="278">
        <f t="shared" si="45"/>
        <v>42.117577040195741</v>
      </c>
      <c r="AF117" s="278">
        <f t="shared" si="62"/>
        <v>52.56736059502267</v>
      </c>
      <c r="AG117" s="278">
        <f t="shared" si="46"/>
        <v>50.614870779813096</v>
      </c>
      <c r="AH117" s="278">
        <f t="shared" si="47"/>
        <v>47.772185901052453</v>
      </c>
      <c r="AI117" s="278">
        <f t="shared" si="48"/>
        <v>45.580708433766802</v>
      </c>
      <c r="AK117" s="277">
        <f t="shared" si="49"/>
        <v>0.23667254275369529</v>
      </c>
      <c r="AL117" s="278">
        <f t="shared" si="63"/>
        <v>0.10136646185266636</v>
      </c>
      <c r="AM117" s="278">
        <f t="shared" si="50"/>
        <v>0.12033426426237992</v>
      </c>
      <c r="AN117" s="278">
        <f t="shared" si="51"/>
        <v>0.15041439697904124</v>
      </c>
      <c r="AO117" s="278">
        <f t="shared" si="52"/>
        <v>0.1811554897459601</v>
      </c>
      <c r="BB117" s="376">
        <f t="shared" si="64"/>
        <v>130</v>
      </c>
      <c r="BC117" s="375">
        <f t="shared" ca="1" si="67"/>
        <v>0.83902722013539355</v>
      </c>
      <c r="BE117" s="419">
        <f t="shared" si="65"/>
        <v>130</v>
      </c>
      <c r="BF117" s="420">
        <f t="shared" ca="1" si="68"/>
        <v>0.9058130917965268</v>
      </c>
    </row>
    <row r="118" spans="1:58" x14ac:dyDescent="0.2">
      <c r="A118" s="485" t="str">
        <v>N</v>
      </c>
      <c r="B118" s="313" t="str">
        <v>250-270</v>
      </c>
      <c r="D118" s="290">
        <f t="shared" si="53"/>
        <v>0.23667254275369529</v>
      </c>
      <c r="F118" s="501" t="str">
        <f t="shared" ca="1" si="54"/>
        <v/>
      </c>
      <c r="G118" s="539" t="str">
        <f>'Export Old Projects'!BI75</f>
        <v>J</v>
      </c>
      <c r="H118" s="389">
        <f t="shared" ca="1" si="55"/>
        <v>6</v>
      </c>
      <c r="I118" s="1096">
        <f t="shared" ca="1" si="56"/>
        <v>5</v>
      </c>
      <c r="J118" s="376">
        <f t="shared" si="57"/>
        <v>150</v>
      </c>
      <c r="K118" s="375">
        <f t="shared" ca="1" si="58"/>
        <v>0.91598429033220519</v>
      </c>
      <c r="L118" s="1002">
        <v>150</v>
      </c>
      <c r="M118" s="1020">
        <f ca="1">HLOOKUP(G118,'PLW Factors'!$C$214:$W$229,H118+1,FALSE)</f>
        <v>0.91334334226366853</v>
      </c>
      <c r="N118" s="1039">
        <v>150</v>
      </c>
      <c r="O118" s="1040">
        <f>INDEX('Wind speed'!$C$20:$AA$20,1,MATCH(G118,$H$11:$AB$11,0))/'Wind speed'!$D$17</f>
        <v>0.87929646319773369</v>
      </c>
      <c r="P118" t="str">
        <f t="shared" ca="1" si="66"/>
        <v>"</v>
      </c>
      <c r="Q118" s="1092"/>
      <c r="R118" s="419">
        <f t="shared" si="59"/>
        <v>150</v>
      </c>
      <c r="S118" s="420">
        <f t="shared" ca="1" si="60"/>
        <v>0.95174213513773087</v>
      </c>
      <c r="T118" s="1117">
        <f t="shared" ca="1" si="42"/>
        <v>1.0795991715862998</v>
      </c>
      <c r="AA118" s="554">
        <f t="shared" si="43"/>
        <v>150</v>
      </c>
      <c r="AB118" s="561">
        <f ca="1">INDEX('Profile Data'!$W$53:$AJ$53,1,H118)*K118</f>
        <v>0.6426724171738406</v>
      </c>
      <c r="AC118" s="393">
        <f t="shared" si="44"/>
        <v>10</v>
      </c>
      <c r="AD118" s="276">
        <f t="shared" si="61"/>
        <v>150</v>
      </c>
      <c r="AE118" s="278">
        <f t="shared" si="45"/>
        <v>42.117577040195741</v>
      </c>
      <c r="AF118" s="278">
        <f t="shared" si="62"/>
        <v>52.56736059502267</v>
      </c>
      <c r="AG118" s="278">
        <f t="shared" si="46"/>
        <v>50.614870779813096</v>
      </c>
      <c r="AH118" s="278">
        <f t="shared" si="47"/>
        <v>47.772185901052453</v>
      </c>
      <c r="AI118" s="278">
        <f t="shared" si="48"/>
        <v>45.580708433766802</v>
      </c>
      <c r="AK118" s="277">
        <f t="shared" si="49"/>
        <v>0.23667254275369529</v>
      </c>
      <c r="AL118" s="278">
        <f t="shared" si="63"/>
        <v>0.10136646185266636</v>
      </c>
      <c r="AM118" s="278">
        <f t="shared" si="50"/>
        <v>0.12033426426237992</v>
      </c>
      <c r="AN118" s="278">
        <f t="shared" si="51"/>
        <v>0.15041439697904124</v>
      </c>
      <c r="AO118" s="278">
        <f t="shared" si="52"/>
        <v>0.1811554897459601</v>
      </c>
      <c r="BB118" s="376">
        <f t="shared" si="64"/>
        <v>140</v>
      </c>
      <c r="BC118" s="375">
        <f t="shared" ca="1" si="67"/>
        <v>0.83902722013539355</v>
      </c>
      <c r="BE118" s="419">
        <f t="shared" si="65"/>
        <v>140</v>
      </c>
      <c r="BF118" s="420">
        <f t="shared" ca="1" si="68"/>
        <v>0.9058130917965268</v>
      </c>
    </row>
    <row r="119" spans="1:58" x14ac:dyDescent="0.2">
      <c r="A119" s="485" t="str">
        <v>O</v>
      </c>
      <c r="B119" s="313" t="str">
        <v>280-300</v>
      </c>
      <c r="D119" s="290">
        <f t="shared" si="53"/>
        <v>0.10136646185266636</v>
      </c>
      <c r="F119" s="501" t="str">
        <f t="shared" ca="1" si="54"/>
        <v/>
      </c>
      <c r="G119" s="539" t="str">
        <f>'Export Old Projects'!BI76</f>
        <v>K</v>
      </c>
      <c r="H119" s="389">
        <f t="shared" ca="1" si="55"/>
        <v>1</v>
      </c>
      <c r="I119" s="1096">
        <f t="shared" ca="1" si="56"/>
        <v>1</v>
      </c>
      <c r="J119" s="376">
        <f t="shared" si="57"/>
        <v>160</v>
      </c>
      <c r="K119" s="375">
        <f t="shared" ca="1" si="58"/>
        <v>0.9919360407919583</v>
      </c>
      <c r="L119" s="1002">
        <v>160</v>
      </c>
      <c r="M119" s="1020">
        <f ca="1">HLOOKUP(G119,'PLW Factors'!$C$214:$W$229,H119+1,FALSE)</f>
        <v>0.99220253991074814</v>
      </c>
      <c r="N119" s="1039">
        <v>160</v>
      </c>
      <c r="O119" s="1040">
        <f>INDEX('Wind speed'!$C$20:$AA$20,1,MATCH(G119,$H$11:$AB$11,0))/'Wind speed'!$D$17</f>
        <v>1.0412987631254798</v>
      </c>
      <c r="P119" t="str">
        <f t="shared" ca="1" si="66"/>
        <v>Openwater A24LE</v>
      </c>
      <c r="Q119" s="1092"/>
      <c r="R119" s="419">
        <f t="shared" si="59"/>
        <v>160</v>
      </c>
      <c r="S119" s="420">
        <f t="shared" ca="1" si="60"/>
        <v>0.9919360407919583</v>
      </c>
      <c r="T119" s="1117">
        <f t="shared" ca="1" si="42"/>
        <v>1</v>
      </c>
      <c r="AA119" s="554">
        <f t="shared" si="43"/>
        <v>160</v>
      </c>
      <c r="AB119" s="561">
        <f ca="1">INDEX('Profile Data'!$W$53:$AJ$53,1,H119)*K119</f>
        <v>0.88493134384027861</v>
      </c>
      <c r="AC119" s="393">
        <f t="shared" si="44"/>
        <v>11</v>
      </c>
      <c r="AD119" s="276">
        <f t="shared" si="61"/>
        <v>160</v>
      </c>
      <c r="AE119" s="278">
        <f t="shared" si="45"/>
        <v>52.56736059502267</v>
      </c>
      <c r="AF119" s="278">
        <f t="shared" si="62"/>
        <v>52.56736059502267</v>
      </c>
      <c r="AG119" s="278">
        <f t="shared" si="46"/>
        <v>50.614870779813096</v>
      </c>
      <c r="AH119" s="278">
        <f t="shared" si="47"/>
        <v>47.772185901052453</v>
      </c>
      <c r="AI119" s="278">
        <f t="shared" si="48"/>
        <v>45.580708433766802</v>
      </c>
      <c r="AK119" s="277">
        <f t="shared" si="49"/>
        <v>0.10136646185266636</v>
      </c>
      <c r="AL119" s="278">
        <f t="shared" si="63"/>
        <v>0.10136646185266636</v>
      </c>
      <c r="AM119" s="278">
        <f t="shared" si="50"/>
        <v>0.12033426426237992</v>
      </c>
      <c r="AN119" s="278">
        <f t="shared" si="51"/>
        <v>0.15041439697904124</v>
      </c>
      <c r="AO119" s="278">
        <f t="shared" si="52"/>
        <v>0.1811554897459601</v>
      </c>
      <c r="BB119" s="376">
        <f t="shared" si="64"/>
        <v>150</v>
      </c>
      <c r="BC119" s="375">
        <f t="shared" ca="1" si="67"/>
        <v>0.83902722013539355</v>
      </c>
      <c r="BE119" s="419">
        <f t="shared" si="65"/>
        <v>150</v>
      </c>
      <c r="BF119" s="420">
        <f t="shared" ca="1" si="68"/>
        <v>0.9058130917965268</v>
      </c>
    </row>
    <row r="120" spans="1:58" x14ac:dyDescent="0.2">
      <c r="A120" s="485" t="str">
        <v>P</v>
      </c>
      <c r="B120" s="313" t="str">
        <v>310-330</v>
      </c>
      <c r="D120" s="290">
        <f t="shared" si="53"/>
        <v>0.10136646185266636</v>
      </c>
      <c r="F120" s="501" t="str">
        <f t="shared" ca="1" si="54"/>
        <v/>
      </c>
      <c r="G120" s="539" t="str">
        <f>'Export Old Projects'!BI77</f>
        <v>K</v>
      </c>
      <c r="H120" s="389">
        <f t="shared" ca="1" si="55"/>
        <v>1</v>
      </c>
      <c r="I120" s="1096">
        <f t="shared" ca="1" si="56"/>
        <v>1</v>
      </c>
      <c r="J120" s="376">
        <f t="shared" si="57"/>
        <v>170</v>
      </c>
      <c r="K120" s="375">
        <f t="shared" ca="1" si="58"/>
        <v>0.9919360407919583</v>
      </c>
      <c r="L120" s="1002">
        <v>170</v>
      </c>
      <c r="M120" s="1020">
        <f ca="1">HLOOKUP(G120,'PLW Factors'!$C$214:$W$229,H120+1,FALSE)</f>
        <v>0.99220253991074814</v>
      </c>
      <c r="N120" s="1039">
        <v>170</v>
      </c>
      <c r="O120" s="1040">
        <f>INDEX('Wind speed'!$C$20:$AA$20,1,MATCH(G120,$H$11:$AB$11,0))/'Wind speed'!$D$17</f>
        <v>1.0412987631254798</v>
      </c>
      <c r="P120" t="str">
        <f t="shared" ca="1" si="66"/>
        <v>"</v>
      </c>
      <c r="Q120" s="1092"/>
      <c r="R120" s="419">
        <f t="shared" si="59"/>
        <v>170</v>
      </c>
      <c r="S120" s="420">
        <f t="shared" ca="1" si="60"/>
        <v>0.9919360407919583</v>
      </c>
      <c r="T120" s="1117">
        <f t="shared" ca="1" si="42"/>
        <v>1</v>
      </c>
      <c r="AA120" s="554">
        <f t="shared" si="43"/>
        <v>170</v>
      </c>
      <c r="AB120" s="561">
        <f ca="1">INDEX('Profile Data'!$W$53:$AJ$53,1,H120)*K120</f>
        <v>0.88493134384027861</v>
      </c>
      <c r="AC120" s="393">
        <f t="shared" si="44"/>
        <v>11</v>
      </c>
      <c r="AD120" s="276">
        <f t="shared" si="61"/>
        <v>170</v>
      </c>
      <c r="AE120" s="278">
        <f t="shared" si="45"/>
        <v>52.56736059502267</v>
      </c>
      <c r="AF120" s="278">
        <f t="shared" si="62"/>
        <v>52.56736059502267</v>
      </c>
      <c r="AG120" s="278">
        <f t="shared" si="46"/>
        <v>50.614870779813096</v>
      </c>
      <c r="AH120" s="278">
        <f t="shared" si="47"/>
        <v>47.772185901052453</v>
      </c>
      <c r="AI120" s="278">
        <f t="shared" si="48"/>
        <v>45.580708433766802</v>
      </c>
      <c r="AK120" s="277">
        <f t="shared" si="49"/>
        <v>0.10136646185266636</v>
      </c>
      <c r="AL120" s="278">
        <f t="shared" si="63"/>
        <v>0.10136646185266636</v>
      </c>
      <c r="AM120" s="278">
        <f t="shared" si="50"/>
        <v>0.12033426426237992</v>
      </c>
      <c r="AN120" s="278">
        <f t="shared" si="51"/>
        <v>0.15041439697904124</v>
      </c>
      <c r="AO120" s="278">
        <f t="shared" si="52"/>
        <v>0.1811554897459601</v>
      </c>
      <c r="BB120" s="376">
        <f t="shared" si="64"/>
        <v>160</v>
      </c>
      <c r="BC120" s="375">
        <f t="shared" ca="1" si="67"/>
        <v>0.98393710902202558</v>
      </c>
      <c r="BE120" s="419">
        <f t="shared" si="65"/>
        <v>160</v>
      </c>
      <c r="BF120" s="420">
        <f t="shared" ca="1" si="68"/>
        <v>0.98393710902202558</v>
      </c>
    </row>
    <row r="121" spans="1:58" x14ac:dyDescent="0.2">
      <c r="A121" s="485" t="str">
        <v>Q</v>
      </c>
      <c r="B121" s="313" t="str">
        <v>340-360</v>
      </c>
      <c r="D121" s="290">
        <f t="shared" si="53"/>
        <v>0.10136646185266636</v>
      </c>
      <c r="F121" s="501" t="str">
        <f t="shared" ca="1" si="54"/>
        <v/>
      </c>
      <c r="G121" s="539" t="str">
        <f>'Export Old Projects'!BI78</f>
        <v>K</v>
      </c>
      <c r="H121" s="389">
        <f t="shared" ca="1" si="55"/>
        <v>1</v>
      </c>
      <c r="I121" s="1096">
        <f t="shared" ca="1" si="56"/>
        <v>1</v>
      </c>
      <c r="J121" s="376">
        <f t="shared" si="57"/>
        <v>180</v>
      </c>
      <c r="K121" s="375">
        <f t="shared" ca="1" si="58"/>
        <v>0.9919360407919583</v>
      </c>
      <c r="L121" s="1002">
        <v>180</v>
      </c>
      <c r="M121" s="1020">
        <f ca="1">HLOOKUP(G121,'PLW Factors'!$C$214:$W$229,H121+1,FALSE)</f>
        <v>0.99220253991074814</v>
      </c>
      <c r="N121" s="1039">
        <v>180</v>
      </c>
      <c r="O121" s="1040">
        <f>INDEX('Wind speed'!$C$20:$AA$20,1,MATCH(G121,$H$11:$AB$11,0))/'Wind speed'!$D$17</f>
        <v>1.0412987631254798</v>
      </c>
      <c r="P121" t="str">
        <f t="shared" ca="1" si="66"/>
        <v>"</v>
      </c>
      <c r="Q121" s="1092"/>
      <c r="R121" s="419">
        <f t="shared" si="59"/>
        <v>180</v>
      </c>
      <c r="S121" s="420">
        <f t="shared" ca="1" si="60"/>
        <v>0.9919360407919583</v>
      </c>
      <c r="T121" s="1117">
        <f t="shared" ca="1" si="42"/>
        <v>1</v>
      </c>
      <c r="AA121" s="554">
        <f t="shared" si="43"/>
        <v>180</v>
      </c>
      <c r="AB121" s="561">
        <f ca="1">INDEX('Profile Data'!$W$53:$AJ$53,1,H121)*K121</f>
        <v>0.88493134384027861</v>
      </c>
      <c r="AC121" s="393">
        <f t="shared" si="44"/>
        <v>11</v>
      </c>
      <c r="AD121" s="276">
        <f t="shared" si="61"/>
        <v>180</v>
      </c>
      <c r="AE121" s="278">
        <f t="shared" si="45"/>
        <v>52.56736059502267</v>
      </c>
      <c r="AF121" s="278">
        <f t="shared" si="62"/>
        <v>52.56736059502267</v>
      </c>
      <c r="AG121" s="278">
        <f t="shared" si="46"/>
        <v>50.614870779813096</v>
      </c>
      <c r="AH121" s="278">
        <f t="shared" si="47"/>
        <v>47.772185901052453</v>
      </c>
      <c r="AI121" s="278">
        <f t="shared" si="48"/>
        <v>45.580708433766802</v>
      </c>
      <c r="AK121" s="277">
        <f t="shared" si="49"/>
        <v>0.10136646185266636</v>
      </c>
      <c r="AL121" s="278">
        <f t="shared" si="63"/>
        <v>0.10136646185266636</v>
      </c>
      <c r="AM121" s="278">
        <f t="shared" si="50"/>
        <v>0.12033426426237992</v>
      </c>
      <c r="AN121" s="278">
        <f t="shared" si="51"/>
        <v>0.15041439697904124</v>
      </c>
      <c r="AO121" s="278">
        <f t="shared" si="52"/>
        <v>0.1811554897459601</v>
      </c>
      <c r="BB121" s="376">
        <f t="shared" si="64"/>
        <v>170</v>
      </c>
      <c r="BC121" s="375">
        <f t="shared" ca="1" si="67"/>
        <v>0.98393710902202558</v>
      </c>
      <c r="BE121" s="419">
        <f t="shared" si="65"/>
        <v>170</v>
      </c>
      <c r="BF121" s="420">
        <f t="shared" ca="1" si="68"/>
        <v>0.98393710902202558</v>
      </c>
    </row>
    <row r="122" spans="1:58" x14ac:dyDescent="0.2">
      <c r="A122" s="485" t="str">
        <v>R</v>
      </c>
      <c r="B122" s="313">
        <v>0</v>
      </c>
      <c r="D122" s="290">
        <f t="shared" si="53"/>
        <v>0.12033426426237992</v>
      </c>
      <c r="F122" s="501" t="str">
        <f t="shared" ca="1" si="54"/>
        <v/>
      </c>
      <c r="G122" s="539" t="str">
        <f>'Export Old Projects'!BI79</f>
        <v>L</v>
      </c>
      <c r="H122" s="389">
        <f t="shared" ca="1" si="55"/>
        <v>2</v>
      </c>
      <c r="I122" s="1096">
        <f t="shared" ca="1" si="56"/>
        <v>2</v>
      </c>
      <c r="J122" s="376">
        <f t="shared" si="57"/>
        <v>190</v>
      </c>
      <c r="K122" s="375">
        <f t="shared" ca="1" si="58"/>
        <v>0.99130352463612015</v>
      </c>
      <c r="L122" s="1002">
        <v>190</v>
      </c>
      <c r="M122" s="1020">
        <f ca="1">HLOOKUP(G122,'PLW Factors'!$C$214:$W$229,H122+1,FALSE)</f>
        <v>0.9924752791836331</v>
      </c>
      <c r="N122" s="1039">
        <v>190</v>
      </c>
      <c r="O122" s="1040">
        <f>INDEX('Wind speed'!$C$20:$AA$20,1,MATCH(G122,$H$11:$AB$11,0))/'Wind speed'!$D$17</f>
        <v>1.00264148567204</v>
      </c>
      <c r="P122" t="str">
        <f t="shared" ca="1" si="66"/>
        <v>Open A24LE</v>
      </c>
      <c r="Q122" s="1092"/>
      <c r="R122" s="419">
        <f t="shared" si="59"/>
        <v>190</v>
      </c>
      <c r="S122" s="420">
        <f t="shared" ca="1" si="60"/>
        <v>0.99130352463612015</v>
      </c>
      <c r="T122" s="1117">
        <f t="shared" ca="1" si="42"/>
        <v>1</v>
      </c>
      <c r="AA122" s="554">
        <f t="shared" si="43"/>
        <v>190</v>
      </c>
      <c r="AB122" s="561">
        <f ca="1">INDEX('Profile Data'!$W$53:$AJ$53,1,H122)*K122</f>
        <v>0.83579663690927286</v>
      </c>
      <c r="AC122" s="393">
        <f t="shared" si="44"/>
        <v>12</v>
      </c>
      <c r="AD122" s="276">
        <f t="shared" si="61"/>
        <v>190</v>
      </c>
      <c r="AE122" s="278">
        <f t="shared" si="45"/>
        <v>50.614870779813096</v>
      </c>
      <c r="AF122" s="278">
        <f t="shared" si="62"/>
        <v>52.56736059502267</v>
      </c>
      <c r="AG122" s="278">
        <f t="shared" si="46"/>
        <v>50.614870779813096</v>
      </c>
      <c r="AH122" s="278">
        <f t="shared" si="47"/>
        <v>47.772185901052453</v>
      </c>
      <c r="AI122" s="278">
        <f t="shared" si="48"/>
        <v>45.580708433766802</v>
      </c>
      <c r="AK122" s="277">
        <f t="shared" si="49"/>
        <v>0.12033426426237992</v>
      </c>
      <c r="AL122" s="278">
        <f t="shared" si="63"/>
        <v>0.10136646185266636</v>
      </c>
      <c r="AM122" s="278">
        <f t="shared" si="50"/>
        <v>0.12033426426237992</v>
      </c>
      <c r="AN122" s="278">
        <f t="shared" si="51"/>
        <v>0.15041439697904124</v>
      </c>
      <c r="AO122" s="278">
        <f t="shared" si="52"/>
        <v>0.1811554897459601</v>
      </c>
      <c r="BB122" s="376">
        <f t="shared" si="64"/>
        <v>180</v>
      </c>
      <c r="BC122" s="375">
        <f t="shared" ca="1" si="67"/>
        <v>0.98393710902202558</v>
      </c>
      <c r="BE122" s="419">
        <f t="shared" si="65"/>
        <v>180</v>
      </c>
      <c r="BF122" s="420">
        <f t="shared" ca="1" si="68"/>
        <v>0.98393710902202558</v>
      </c>
    </row>
    <row r="123" spans="1:58" x14ac:dyDescent="0.2">
      <c r="A123" s="485" t="str">
        <v>S</v>
      </c>
      <c r="B123" s="313">
        <v>0</v>
      </c>
      <c r="D123" s="290">
        <f t="shared" si="53"/>
        <v>0.12033426426237992</v>
      </c>
      <c r="F123" s="501" t="str">
        <f t="shared" ca="1" si="54"/>
        <v/>
      </c>
      <c r="G123" s="539" t="str">
        <f>'Export Old Projects'!BI80</f>
        <v>L</v>
      </c>
      <c r="H123" s="389">
        <f t="shared" ca="1" si="55"/>
        <v>2</v>
      </c>
      <c r="I123" s="1096">
        <f t="shared" ca="1" si="56"/>
        <v>2</v>
      </c>
      <c r="J123" s="376">
        <f t="shared" si="57"/>
        <v>200</v>
      </c>
      <c r="K123" s="375">
        <f t="shared" ca="1" si="58"/>
        <v>0.99130352463612015</v>
      </c>
      <c r="L123" s="1002">
        <v>200</v>
      </c>
      <c r="M123" s="1020">
        <f ca="1">HLOOKUP(G123,'PLW Factors'!$C$214:$W$229,H123+1,FALSE)</f>
        <v>0.9924752791836331</v>
      </c>
      <c r="N123" s="1039">
        <v>200</v>
      </c>
      <c r="O123" s="1040">
        <f>INDEX('Wind speed'!$C$20:$AA$20,1,MATCH(G123,$H$11:$AB$11,0))/'Wind speed'!$D$17</f>
        <v>1.00264148567204</v>
      </c>
      <c r="P123" t="str">
        <f t="shared" ca="1" si="66"/>
        <v>"</v>
      </c>
      <c r="Q123" s="1092"/>
      <c r="R123" s="419">
        <f t="shared" si="59"/>
        <v>200</v>
      </c>
      <c r="S123" s="420">
        <f t="shared" ca="1" si="60"/>
        <v>0.99130352463612015</v>
      </c>
      <c r="T123" s="1117">
        <f t="shared" ca="1" si="42"/>
        <v>1</v>
      </c>
      <c r="AA123" s="554">
        <f t="shared" si="43"/>
        <v>200</v>
      </c>
      <c r="AB123" s="561">
        <f ca="1">INDEX('Profile Data'!$W$53:$AJ$53,1,H123)*K123</f>
        <v>0.83579663690927286</v>
      </c>
      <c r="AC123" s="393">
        <f t="shared" si="44"/>
        <v>12</v>
      </c>
      <c r="AD123" s="276">
        <f t="shared" si="61"/>
        <v>200</v>
      </c>
      <c r="AE123" s="278">
        <f t="shared" si="45"/>
        <v>50.614870779813096</v>
      </c>
      <c r="AF123" s="278">
        <f t="shared" si="62"/>
        <v>52.56736059502267</v>
      </c>
      <c r="AG123" s="278">
        <f t="shared" si="46"/>
        <v>50.614870779813096</v>
      </c>
      <c r="AH123" s="278">
        <f t="shared" si="47"/>
        <v>47.772185901052453</v>
      </c>
      <c r="AI123" s="278">
        <f t="shared" si="48"/>
        <v>45.580708433766802</v>
      </c>
      <c r="AK123" s="277">
        <f t="shared" si="49"/>
        <v>0.12033426426237992</v>
      </c>
      <c r="AL123" s="278">
        <f t="shared" si="63"/>
        <v>0.10136646185266636</v>
      </c>
      <c r="AM123" s="278">
        <f t="shared" si="50"/>
        <v>0.12033426426237992</v>
      </c>
      <c r="AN123" s="278">
        <f t="shared" si="51"/>
        <v>0.15041439697904124</v>
      </c>
      <c r="AO123" s="278">
        <f t="shared" si="52"/>
        <v>0.1811554897459601</v>
      </c>
      <c r="BB123" s="376">
        <f t="shared" si="64"/>
        <v>190</v>
      </c>
      <c r="BC123" s="375">
        <f t="shared" ca="1" si="67"/>
        <v>0.98268267795599484</v>
      </c>
      <c r="BE123" s="419">
        <f t="shared" si="65"/>
        <v>190</v>
      </c>
      <c r="BF123" s="420">
        <f t="shared" ca="1" si="68"/>
        <v>0.98268267795599484</v>
      </c>
    </row>
    <row r="124" spans="1:58" x14ac:dyDescent="0.2">
      <c r="A124" s="485" t="str">
        <v>T</v>
      </c>
      <c r="B124" s="313">
        <v>0</v>
      </c>
      <c r="D124" s="290">
        <f t="shared" si="53"/>
        <v>0.12033426426237992</v>
      </c>
      <c r="F124" s="501" t="str">
        <f t="shared" ca="1" si="54"/>
        <v/>
      </c>
      <c r="G124" s="539" t="str">
        <f>'Export Old Projects'!BI81</f>
        <v>L</v>
      </c>
      <c r="H124" s="389">
        <f t="shared" ca="1" si="55"/>
        <v>2</v>
      </c>
      <c r="I124" s="1096">
        <f t="shared" ca="1" si="56"/>
        <v>2</v>
      </c>
      <c r="J124" s="376">
        <f t="shared" si="57"/>
        <v>210</v>
      </c>
      <c r="K124" s="375">
        <f t="shared" ca="1" si="58"/>
        <v>0.99130352463612015</v>
      </c>
      <c r="L124" s="1002">
        <v>210</v>
      </c>
      <c r="M124" s="1020">
        <f ca="1">HLOOKUP(G124,'PLW Factors'!$C$214:$W$229,H124+1,FALSE)</f>
        <v>0.9924752791836331</v>
      </c>
      <c r="N124" s="1039">
        <v>210</v>
      </c>
      <c r="O124" s="1040">
        <f>INDEX('Wind speed'!$C$20:$AA$20,1,MATCH(G124,$H$11:$AB$11,0))/'Wind speed'!$D$17</f>
        <v>1.00264148567204</v>
      </c>
      <c r="P124" t="str">
        <f t="shared" ca="1" si="66"/>
        <v>"</v>
      </c>
      <c r="Q124" s="1092"/>
      <c r="R124" s="419">
        <f t="shared" si="59"/>
        <v>210</v>
      </c>
      <c r="S124" s="420">
        <f t="shared" ca="1" si="60"/>
        <v>0.99130352463612015</v>
      </c>
      <c r="T124" s="1117">
        <f t="shared" ca="1" si="42"/>
        <v>1</v>
      </c>
      <c r="AA124" s="554">
        <f t="shared" si="43"/>
        <v>210</v>
      </c>
      <c r="AB124" s="561">
        <f ca="1">INDEX('Profile Data'!$W$53:$AJ$53,1,H124)*K124</f>
        <v>0.83579663690927286</v>
      </c>
      <c r="AC124" s="393">
        <f t="shared" si="44"/>
        <v>12</v>
      </c>
      <c r="AD124" s="276">
        <f t="shared" si="61"/>
        <v>210</v>
      </c>
      <c r="AE124" s="278">
        <f t="shared" si="45"/>
        <v>50.614870779813096</v>
      </c>
      <c r="AF124" s="278">
        <f t="shared" si="62"/>
        <v>52.56736059502267</v>
      </c>
      <c r="AG124" s="278">
        <f t="shared" si="46"/>
        <v>50.614870779813096</v>
      </c>
      <c r="AH124" s="278">
        <f t="shared" si="47"/>
        <v>47.772185901052453</v>
      </c>
      <c r="AI124" s="278">
        <f t="shared" si="48"/>
        <v>45.580708433766802</v>
      </c>
      <c r="AK124" s="277">
        <f t="shared" si="49"/>
        <v>0.12033426426237992</v>
      </c>
      <c r="AL124" s="278">
        <f t="shared" si="63"/>
        <v>0.10136646185266636</v>
      </c>
      <c r="AM124" s="278">
        <f t="shared" si="50"/>
        <v>0.12033426426237992</v>
      </c>
      <c r="AN124" s="278">
        <f t="shared" si="51"/>
        <v>0.15041439697904124</v>
      </c>
      <c r="AO124" s="278">
        <f t="shared" si="52"/>
        <v>0.1811554897459601</v>
      </c>
      <c r="BB124" s="376">
        <f t="shared" si="64"/>
        <v>200</v>
      </c>
      <c r="BC124" s="375">
        <f t="shared" ca="1" si="67"/>
        <v>0.98268267795599484</v>
      </c>
      <c r="BE124" s="419">
        <f t="shared" si="65"/>
        <v>200</v>
      </c>
      <c r="BF124" s="420">
        <f t="shared" ca="1" si="68"/>
        <v>0.98268267795599484</v>
      </c>
    </row>
    <row r="125" spans="1:58" x14ac:dyDescent="0.2">
      <c r="A125" s="485" t="str">
        <v>U</v>
      </c>
      <c r="B125" s="313">
        <v>0</v>
      </c>
      <c r="D125" s="290">
        <f t="shared" si="53"/>
        <v>0.15041439697904124</v>
      </c>
      <c r="F125" s="501" t="str">
        <f t="shared" ca="1" si="54"/>
        <v/>
      </c>
      <c r="G125" s="539" t="str">
        <f>'Export Old Projects'!BI82</f>
        <v>M</v>
      </c>
      <c r="H125" s="389">
        <f t="shared" ca="1" si="55"/>
        <v>3</v>
      </c>
      <c r="I125" s="1096">
        <f t="shared" ca="1" si="56"/>
        <v>3</v>
      </c>
      <c r="J125" s="376">
        <f t="shared" si="57"/>
        <v>220</v>
      </c>
      <c r="K125" s="375">
        <f t="shared" ca="1" si="58"/>
        <v>0.96263598672097161</v>
      </c>
      <c r="L125" s="1002">
        <v>220</v>
      </c>
      <c r="M125" s="1020">
        <f ca="1">HLOOKUP(G125,'PLW Factors'!$C$214:$W$229,H125+1,FALSE)</f>
        <v>0.96737678537941196</v>
      </c>
      <c r="N125" s="1039">
        <v>220</v>
      </c>
      <c r="O125" s="1040">
        <f>INDEX('Wind speed'!$C$20:$AA$20,1,MATCH(G125,$H$11:$AB$11,0))/'Wind speed'!$D$17</f>
        <v>0.94754678599154263</v>
      </c>
      <c r="P125" t="str">
        <f t="shared" ca="1" si="66"/>
        <v>Opsub A24LE</v>
      </c>
      <c r="Q125" s="1092"/>
      <c r="R125" s="419">
        <f t="shared" si="59"/>
        <v>220</v>
      </c>
      <c r="S125" s="420">
        <f t="shared" ca="1" si="60"/>
        <v>0.97275895745726115</v>
      </c>
      <c r="T125" s="1117">
        <f t="shared" ca="1" si="42"/>
        <v>1.0211423567830464</v>
      </c>
      <c r="AA125" s="554">
        <f t="shared" si="43"/>
        <v>220</v>
      </c>
      <c r="AB125" s="561">
        <f ca="1">INDEX('Profile Data'!$W$53:$AJ$53,1,H125)*K125</f>
        <v>0.76497430267276412</v>
      </c>
      <c r="AC125" s="393">
        <f t="shared" si="44"/>
        <v>13</v>
      </c>
      <c r="AD125" s="276">
        <f t="shared" si="61"/>
        <v>220</v>
      </c>
      <c r="AE125" s="278">
        <f t="shared" si="45"/>
        <v>47.772185901052453</v>
      </c>
      <c r="AF125" s="278">
        <f t="shared" si="62"/>
        <v>52.56736059502267</v>
      </c>
      <c r="AG125" s="278">
        <f t="shared" si="46"/>
        <v>50.614870779813096</v>
      </c>
      <c r="AH125" s="278">
        <f t="shared" si="47"/>
        <v>47.772185901052453</v>
      </c>
      <c r="AI125" s="278">
        <f t="shared" si="48"/>
        <v>45.580708433766802</v>
      </c>
      <c r="AK125" s="277">
        <f t="shared" si="49"/>
        <v>0.15041439697904124</v>
      </c>
      <c r="AL125" s="278">
        <f t="shared" si="63"/>
        <v>0.10136646185266636</v>
      </c>
      <c r="AM125" s="278">
        <f t="shared" si="50"/>
        <v>0.12033426426237992</v>
      </c>
      <c r="AN125" s="278">
        <f t="shared" si="51"/>
        <v>0.15041439697904124</v>
      </c>
      <c r="AO125" s="278">
        <f t="shared" si="52"/>
        <v>0.1811554897459601</v>
      </c>
      <c r="BB125" s="376">
        <f t="shared" si="64"/>
        <v>210</v>
      </c>
      <c r="BC125" s="375">
        <f t="shared" ca="1" si="67"/>
        <v>0.98268267795599484</v>
      </c>
      <c r="BE125" s="419">
        <f t="shared" si="65"/>
        <v>210</v>
      </c>
      <c r="BF125" s="420">
        <f t="shared" ca="1" si="68"/>
        <v>0.98268267795599484</v>
      </c>
    </row>
    <row r="126" spans="1:58" x14ac:dyDescent="0.2">
      <c r="D126" s="290">
        <f t="shared" si="53"/>
        <v>0.15041439697904124</v>
      </c>
      <c r="F126" s="501" t="str">
        <f t="shared" ca="1" si="54"/>
        <v/>
      </c>
      <c r="G126" s="539" t="str">
        <f>'Export Old Projects'!BI83</f>
        <v>M</v>
      </c>
      <c r="H126" s="389">
        <f t="shared" ca="1" si="55"/>
        <v>3</v>
      </c>
      <c r="I126" s="1096">
        <f t="shared" ca="1" si="56"/>
        <v>3</v>
      </c>
      <c r="J126" s="376">
        <f t="shared" si="57"/>
        <v>230</v>
      </c>
      <c r="K126" s="375">
        <f t="shared" ca="1" si="58"/>
        <v>0.96263598672097161</v>
      </c>
      <c r="L126" s="1002">
        <v>230</v>
      </c>
      <c r="M126" s="1020">
        <f ca="1">HLOOKUP(G126,'PLW Factors'!$C$214:$W$229,H126+1,FALSE)</f>
        <v>0.96737678537941196</v>
      </c>
      <c r="N126" s="1039">
        <v>230</v>
      </c>
      <c r="O126" s="1040">
        <f>INDEX('Wind speed'!$C$20:$AA$20,1,MATCH(G126,$H$11:$AB$11,0))/'Wind speed'!$D$17</f>
        <v>0.94754678599154263</v>
      </c>
      <c r="P126" t="str">
        <f t="shared" ca="1" si="66"/>
        <v>"</v>
      </c>
      <c r="Q126" s="1092"/>
      <c r="R126" s="419">
        <f t="shared" si="59"/>
        <v>230</v>
      </c>
      <c r="S126" s="420">
        <f t="shared" ca="1" si="60"/>
        <v>0.97275895745726115</v>
      </c>
      <c r="T126" s="1117">
        <f t="shared" ca="1" si="42"/>
        <v>1.0211423567830464</v>
      </c>
      <c r="AA126" s="554">
        <f t="shared" si="43"/>
        <v>230</v>
      </c>
      <c r="AB126" s="561">
        <f ca="1">INDEX('Profile Data'!$W$53:$AJ$53,1,H126)*K126</f>
        <v>0.76497430267276412</v>
      </c>
      <c r="AC126" s="393">
        <f t="shared" si="44"/>
        <v>13</v>
      </c>
      <c r="AD126" s="276">
        <f t="shared" si="61"/>
        <v>230</v>
      </c>
      <c r="AE126" s="278">
        <f t="shared" si="45"/>
        <v>47.772185901052453</v>
      </c>
      <c r="AF126" s="278">
        <f t="shared" si="62"/>
        <v>52.56736059502267</v>
      </c>
      <c r="AG126" s="278">
        <f t="shared" si="46"/>
        <v>50.614870779813096</v>
      </c>
      <c r="AH126" s="278">
        <f t="shared" si="47"/>
        <v>47.772185901052453</v>
      </c>
      <c r="AI126" s="278">
        <f t="shared" si="48"/>
        <v>45.580708433766802</v>
      </c>
      <c r="AK126" s="277">
        <f t="shared" si="49"/>
        <v>0.15041439697904124</v>
      </c>
      <c r="AL126" s="278">
        <f t="shared" si="63"/>
        <v>0.10136646185266636</v>
      </c>
      <c r="AM126" s="278">
        <f t="shared" si="50"/>
        <v>0.12033426426237992</v>
      </c>
      <c r="AN126" s="278">
        <f t="shared" si="51"/>
        <v>0.15041439697904124</v>
      </c>
      <c r="AO126" s="278">
        <f t="shared" si="52"/>
        <v>0.1811554897459601</v>
      </c>
      <c r="BB126" s="376">
        <f t="shared" si="64"/>
        <v>220</v>
      </c>
      <c r="BC126" s="375">
        <f t="shared" ca="1" si="67"/>
        <v>0.92666804293025862</v>
      </c>
      <c r="BE126" s="419">
        <f t="shared" si="65"/>
        <v>220</v>
      </c>
      <c r="BF126" s="420">
        <f t="shared" ca="1" si="68"/>
        <v>0.94625998931333766</v>
      </c>
    </row>
    <row r="127" spans="1:58" x14ac:dyDescent="0.2">
      <c r="D127" s="290">
        <f t="shared" si="53"/>
        <v>0.15041439697904124</v>
      </c>
      <c r="F127" s="501" t="str">
        <f t="shared" ca="1" si="54"/>
        <v/>
      </c>
      <c r="G127" s="539" t="str">
        <f>'Export Old Projects'!BI84</f>
        <v>M</v>
      </c>
      <c r="H127" s="389">
        <f t="shared" ca="1" si="55"/>
        <v>3</v>
      </c>
      <c r="I127" s="1096">
        <f t="shared" ca="1" si="56"/>
        <v>3</v>
      </c>
      <c r="J127" s="376">
        <f t="shared" si="57"/>
        <v>240</v>
      </c>
      <c r="K127" s="375">
        <f t="shared" ca="1" si="58"/>
        <v>0.96263598672097161</v>
      </c>
      <c r="L127" s="1002">
        <v>240</v>
      </c>
      <c r="M127" s="1020">
        <f ca="1">HLOOKUP(G127,'PLW Factors'!$C$214:$W$229,H127+1,FALSE)</f>
        <v>0.96737678537941196</v>
      </c>
      <c r="N127" s="1039">
        <v>240</v>
      </c>
      <c r="O127" s="1040">
        <f>INDEX('Wind speed'!$C$20:$AA$20,1,MATCH(G127,$H$11:$AB$11,0))/'Wind speed'!$D$17</f>
        <v>0.94754678599154263</v>
      </c>
      <c r="P127" t="str">
        <f t="shared" ca="1" si="66"/>
        <v>"</v>
      </c>
      <c r="Q127" s="1092"/>
      <c r="R127" s="419">
        <f t="shared" si="59"/>
        <v>240</v>
      </c>
      <c r="S127" s="420">
        <f t="shared" ca="1" si="60"/>
        <v>0.97275895745726115</v>
      </c>
      <c r="T127" s="1117">
        <f t="shared" ca="1" si="42"/>
        <v>1.0211423567830464</v>
      </c>
      <c r="AA127" s="554">
        <f t="shared" si="43"/>
        <v>240</v>
      </c>
      <c r="AB127" s="561">
        <f ca="1">INDEX('Profile Data'!$W$53:$AJ$53,1,H127)*K127</f>
        <v>0.76497430267276412</v>
      </c>
      <c r="AC127" s="393">
        <f t="shared" si="44"/>
        <v>13</v>
      </c>
      <c r="AD127" s="276">
        <f t="shared" si="61"/>
        <v>240</v>
      </c>
      <c r="AE127" s="278">
        <f t="shared" si="45"/>
        <v>47.772185901052453</v>
      </c>
      <c r="AF127" s="278">
        <f t="shared" si="62"/>
        <v>52.56736059502267</v>
      </c>
      <c r="AG127" s="278">
        <f t="shared" si="46"/>
        <v>50.614870779813096</v>
      </c>
      <c r="AH127" s="278">
        <f t="shared" si="47"/>
        <v>47.772185901052453</v>
      </c>
      <c r="AI127" s="278">
        <f t="shared" si="48"/>
        <v>45.580708433766802</v>
      </c>
      <c r="AK127" s="277">
        <f t="shared" si="49"/>
        <v>0.15041439697904124</v>
      </c>
      <c r="AL127" s="278">
        <f t="shared" si="63"/>
        <v>0.10136646185266636</v>
      </c>
      <c r="AM127" s="278">
        <f t="shared" si="50"/>
        <v>0.12033426426237992</v>
      </c>
      <c r="AN127" s="278">
        <f t="shared" si="51"/>
        <v>0.15041439697904124</v>
      </c>
      <c r="AO127" s="278">
        <f t="shared" si="52"/>
        <v>0.1811554897459601</v>
      </c>
      <c r="BB127" s="376">
        <f t="shared" si="64"/>
        <v>230</v>
      </c>
      <c r="BC127" s="375">
        <f t="shared" ca="1" si="67"/>
        <v>0.92666804293025862</v>
      </c>
      <c r="BE127" s="419">
        <f t="shared" si="65"/>
        <v>230</v>
      </c>
      <c r="BF127" s="420">
        <f t="shared" ca="1" si="68"/>
        <v>0.94625998931333766</v>
      </c>
    </row>
    <row r="128" spans="1:58" x14ac:dyDescent="0.2">
      <c r="D128" s="290">
        <f t="shared" si="53"/>
        <v>0.1811554897459601</v>
      </c>
      <c r="F128" s="501" t="str">
        <f t="shared" ca="1" si="54"/>
        <v/>
      </c>
      <c r="G128" s="539" t="str">
        <f>'Export Old Projects'!BI85</f>
        <v>N</v>
      </c>
      <c r="H128" s="389">
        <f t="shared" ca="1" si="55"/>
        <v>4</v>
      </c>
      <c r="I128" s="1096">
        <f t="shared" ca="1" si="56"/>
        <v>4</v>
      </c>
      <c r="J128" s="376">
        <f t="shared" si="57"/>
        <v>250</v>
      </c>
      <c r="K128" s="375">
        <f t="shared" ca="1" si="58"/>
        <v>0.96972610042157525</v>
      </c>
      <c r="L128" s="1002">
        <v>250</v>
      </c>
      <c r="M128" s="1020">
        <f ca="1">HLOOKUP(G128,'PLW Factors'!$C$214:$W$229,H128+1,FALSE)</f>
        <v>0.96819950494616569</v>
      </c>
      <c r="N128" s="1039">
        <v>250</v>
      </c>
      <c r="O128" s="1040">
        <f>INDEX('Wind speed'!$C$20:$AA$20,1,MATCH(G128,$H$11:$AB$11,0))/'Wind speed'!$D$17</f>
        <v>0.91997043574425608</v>
      </c>
      <c r="P128" t="str">
        <f t="shared" ca="1" si="66"/>
        <v>Suburban A24LE</v>
      </c>
      <c r="Q128" s="1092"/>
      <c r="R128" s="419">
        <f t="shared" si="59"/>
        <v>250</v>
      </c>
      <c r="S128" s="420">
        <f t="shared" ca="1" si="60"/>
        <v>0.98618120420590971</v>
      </c>
      <c r="T128" s="1117">
        <f t="shared" ca="1" si="42"/>
        <v>1.0342255727497558</v>
      </c>
      <c r="AA128" s="554">
        <f t="shared" si="43"/>
        <v>250</v>
      </c>
      <c r="AB128" s="561">
        <f ca="1">INDEX('Profile Data'!$W$53:$AJ$53,1,H128)*K128</f>
        <v>0.71998408810379211</v>
      </c>
      <c r="AC128" s="393">
        <f t="shared" si="44"/>
        <v>14</v>
      </c>
      <c r="AD128" s="276">
        <f t="shared" si="61"/>
        <v>250</v>
      </c>
      <c r="AE128" s="278">
        <f t="shared" si="45"/>
        <v>45.580708433766802</v>
      </c>
      <c r="AF128" s="278">
        <f t="shared" si="62"/>
        <v>52.56736059502267</v>
      </c>
      <c r="AG128" s="278">
        <f t="shared" si="46"/>
        <v>50.614870779813096</v>
      </c>
      <c r="AH128" s="278">
        <f t="shared" si="47"/>
        <v>47.772185901052453</v>
      </c>
      <c r="AI128" s="278">
        <f t="shared" si="48"/>
        <v>45.580708433766802</v>
      </c>
      <c r="AK128" s="277">
        <f t="shared" si="49"/>
        <v>0.1811554897459601</v>
      </c>
      <c r="AL128" s="278">
        <f t="shared" si="63"/>
        <v>0.10136646185266636</v>
      </c>
      <c r="AM128" s="278">
        <f t="shared" si="50"/>
        <v>0.12033426426237992</v>
      </c>
      <c r="AN128" s="278">
        <f t="shared" si="51"/>
        <v>0.15041439697904124</v>
      </c>
      <c r="AO128" s="278">
        <f t="shared" si="52"/>
        <v>0.1811554897459601</v>
      </c>
      <c r="BB128" s="376">
        <f t="shared" si="64"/>
        <v>240</v>
      </c>
      <c r="BC128" s="375">
        <f t="shared" ca="1" si="67"/>
        <v>0.92666804293025862</v>
      </c>
      <c r="BE128" s="419">
        <f t="shared" si="65"/>
        <v>240</v>
      </c>
      <c r="BF128" s="420">
        <f t="shared" ca="1" si="68"/>
        <v>0.94625998931333766</v>
      </c>
    </row>
    <row r="129" spans="4:58" x14ac:dyDescent="0.2">
      <c r="D129" s="290">
        <f t="shared" si="53"/>
        <v>0.1811554897459601</v>
      </c>
      <c r="F129" s="501" t="str">
        <f t="shared" ca="1" si="54"/>
        <v/>
      </c>
      <c r="G129" s="539" t="str">
        <f>'Export Old Projects'!BI86</f>
        <v>N</v>
      </c>
      <c r="H129" s="389">
        <f t="shared" ca="1" si="55"/>
        <v>4</v>
      </c>
      <c r="I129" s="1096">
        <f t="shared" ca="1" si="56"/>
        <v>4</v>
      </c>
      <c r="J129" s="376">
        <f t="shared" si="57"/>
        <v>260</v>
      </c>
      <c r="K129" s="375">
        <f t="shared" ca="1" si="58"/>
        <v>0.96972610042157525</v>
      </c>
      <c r="L129" s="1002">
        <v>260</v>
      </c>
      <c r="M129" s="1020">
        <f ca="1">HLOOKUP(G129,'PLW Factors'!$C$214:$W$229,H129+1,FALSE)</f>
        <v>0.96819950494616569</v>
      </c>
      <c r="N129" s="1039">
        <v>260</v>
      </c>
      <c r="O129" s="1040">
        <f>INDEX('Wind speed'!$C$20:$AA$20,1,MATCH(G129,$H$11:$AB$11,0))/'Wind speed'!$D$17</f>
        <v>0.91997043574425608</v>
      </c>
      <c r="P129" t="str">
        <f t="shared" ca="1" si="66"/>
        <v>"</v>
      </c>
      <c r="Q129" s="1092"/>
      <c r="R129" s="419">
        <f t="shared" si="59"/>
        <v>260</v>
      </c>
      <c r="S129" s="420">
        <f t="shared" ca="1" si="60"/>
        <v>0.98618120420590971</v>
      </c>
      <c r="T129" s="1117">
        <f t="shared" ca="1" si="42"/>
        <v>1.0342255727497558</v>
      </c>
      <c r="AA129" s="554">
        <f t="shared" si="43"/>
        <v>260</v>
      </c>
      <c r="AB129" s="561">
        <f ca="1">INDEX('Profile Data'!$W$53:$AJ$53,1,H129)*K129</f>
        <v>0.71998408810379211</v>
      </c>
      <c r="AC129" s="393">
        <f t="shared" si="44"/>
        <v>14</v>
      </c>
      <c r="AD129" s="276">
        <f t="shared" si="61"/>
        <v>260</v>
      </c>
      <c r="AE129" s="278">
        <f t="shared" si="45"/>
        <v>45.580708433766802</v>
      </c>
      <c r="AF129" s="278">
        <f t="shared" si="62"/>
        <v>52.56736059502267</v>
      </c>
      <c r="AG129" s="278">
        <f t="shared" si="46"/>
        <v>50.614870779813096</v>
      </c>
      <c r="AH129" s="278">
        <f t="shared" si="47"/>
        <v>47.772185901052453</v>
      </c>
      <c r="AI129" s="278">
        <f t="shared" si="48"/>
        <v>45.580708433766802</v>
      </c>
      <c r="AK129" s="277">
        <f t="shared" si="49"/>
        <v>0.1811554897459601</v>
      </c>
      <c r="AL129" s="278">
        <f t="shared" si="63"/>
        <v>0.10136646185266636</v>
      </c>
      <c r="AM129" s="278">
        <f t="shared" si="50"/>
        <v>0.12033426426237992</v>
      </c>
      <c r="AN129" s="278">
        <f t="shared" si="51"/>
        <v>0.15041439697904124</v>
      </c>
      <c r="AO129" s="278">
        <f t="shared" si="52"/>
        <v>0.1811554897459601</v>
      </c>
      <c r="BB129" s="376">
        <f t="shared" si="64"/>
        <v>250</v>
      </c>
      <c r="BC129" s="375">
        <f t="shared" ca="1" si="67"/>
        <v>0.94036870983883503</v>
      </c>
      <c r="BE129" s="419">
        <f t="shared" si="65"/>
        <v>250</v>
      </c>
      <c r="BF129" s="420">
        <f t="shared" ca="1" si="68"/>
        <v>0.97255336752901822</v>
      </c>
    </row>
    <row r="130" spans="4:58" x14ac:dyDescent="0.2">
      <c r="D130" s="290">
        <f t="shared" si="53"/>
        <v>0.1811554897459601</v>
      </c>
      <c r="F130" s="501" t="str">
        <f t="shared" ca="1" si="54"/>
        <v/>
      </c>
      <c r="G130" s="539" t="str">
        <f>'Export Old Projects'!BI87</f>
        <v>N</v>
      </c>
      <c r="H130" s="389">
        <f t="shared" ca="1" si="55"/>
        <v>4</v>
      </c>
      <c r="I130" s="1096">
        <f t="shared" ca="1" si="56"/>
        <v>4</v>
      </c>
      <c r="J130" s="376">
        <f t="shared" si="57"/>
        <v>270</v>
      </c>
      <c r="K130" s="375">
        <f t="shared" ca="1" si="58"/>
        <v>0.96972610042157525</v>
      </c>
      <c r="L130" s="1002">
        <v>270</v>
      </c>
      <c r="M130" s="1020">
        <f ca="1">HLOOKUP(G130,'PLW Factors'!$C$214:$W$229,H130+1,FALSE)</f>
        <v>0.96819950494616569</v>
      </c>
      <c r="N130" s="1039">
        <v>270</v>
      </c>
      <c r="O130" s="1040">
        <f>INDEX('Wind speed'!$C$20:$AA$20,1,MATCH(G130,$H$11:$AB$11,0))/'Wind speed'!$D$17</f>
        <v>0.91997043574425608</v>
      </c>
      <c r="P130" t="str">
        <f t="shared" ca="1" si="66"/>
        <v>"</v>
      </c>
      <c r="Q130" s="1092"/>
      <c r="R130" s="419">
        <f t="shared" si="59"/>
        <v>270</v>
      </c>
      <c r="S130" s="420">
        <f t="shared" ca="1" si="60"/>
        <v>0.98618120420590971</v>
      </c>
      <c r="T130" s="1117">
        <f t="shared" ca="1" si="42"/>
        <v>1.0342255727497558</v>
      </c>
      <c r="AA130" s="554">
        <f t="shared" si="43"/>
        <v>270</v>
      </c>
      <c r="AB130" s="561">
        <f ca="1">INDEX('Profile Data'!$W$53:$AJ$53,1,H130)*K130</f>
        <v>0.71998408810379211</v>
      </c>
      <c r="AC130" s="393">
        <f t="shared" si="44"/>
        <v>14</v>
      </c>
      <c r="AD130" s="276">
        <f t="shared" si="61"/>
        <v>270</v>
      </c>
      <c r="AE130" s="278">
        <f t="shared" si="45"/>
        <v>45.580708433766802</v>
      </c>
      <c r="AF130" s="278">
        <f t="shared" si="62"/>
        <v>52.56736059502267</v>
      </c>
      <c r="AG130" s="278">
        <f t="shared" si="46"/>
        <v>50.614870779813096</v>
      </c>
      <c r="AH130" s="278">
        <f t="shared" si="47"/>
        <v>47.772185901052453</v>
      </c>
      <c r="AI130" s="278">
        <f t="shared" si="48"/>
        <v>45.580708433766802</v>
      </c>
      <c r="AK130" s="277">
        <f t="shared" si="49"/>
        <v>0.1811554897459601</v>
      </c>
      <c r="AL130" s="278">
        <f t="shared" si="63"/>
        <v>0.10136646185266636</v>
      </c>
      <c r="AM130" s="278">
        <f t="shared" si="50"/>
        <v>0.12033426426237992</v>
      </c>
      <c r="AN130" s="278">
        <f t="shared" si="51"/>
        <v>0.15041439697904124</v>
      </c>
      <c r="AO130" s="278">
        <f t="shared" si="52"/>
        <v>0.1811554897459601</v>
      </c>
      <c r="BB130" s="376">
        <f t="shared" si="64"/>
        <v>260</v>
      </c>
      <c r="BC130" s="375">
        <f t="shared" ca="1" si="67"/>
        <v>0.94036870983883503</v>
      </c>
      <c r="BE130" s="419">
        <f t="shared" si="65"/>
        <v>260</v>
      </c>
      <c r="BF130" s="420">
        <f t="shared" ca="1" si="68"/>
        <v>0.97255336752901822</v>
      </c>
    </row>
    <row r="131" spans="4:58" x14ac:dyDescent="0.2">
      <c r="D131" s="290">
        <f t="shared" si="53"/>
        <v>0.23667254275369529</v>
      </c>
      <c r="F131" s="501" t="str">
        <f t="shared" ca="1" si="54"/>
        <v/>
      </c>
      <c r="G131" s="539" t="str">
        <f>'Export Old Projects'!BI88</f>
        <v>O</v>
      </c>
      <c r="H131" s="389">
        <f t="shared" ca="1" si="55"/>
        <v>6</v>
      </c>
      <c r="I131" s="1096">
        <f t="shared" ca="1" si="56"/>
        <v>5</v>
      </c>
      <c r="J131" s="376">
        <f t="shared" si="57"/>
        <v>280</v>
      </c>
      <c r="K131" s="375">
        <f t="shared" ca="1" si="58"/>
        <v>0.91598429033220519</v>
      </c>
      <c r="L131" s="1002">
        <v>280</v>
      </c>
      <c r="M131" s="1020">
        <f ca="1">HLOOKUP(G131,'PLW Factors'!$C$214:$W$229,H131+1,FALSE)</f>
        <v>0.91334334226366853</v>
      </c>
      <c r="N131" s="1039">
        <v>280</v>
      </c>
      <c r="O131" s="1040">
        <f>INDEX('Wind speed'!$C$20:$AA$20,1,MATCH(G131,$H$11:$AB$11,0))/'Wind speed'!$D$17</f>
        <v>0.87929646319773369</v>
      </c>
      <c r="P131" t="str">
        <f t="shared" ca="1" si="66"/>
        <v>Urban A24LE</v>
      </c>
      <c r="Q131" s="1092"/>
      <c r="R131" s="419">
        <f t="shared" si="59"/>
        <v>280</v>
      </c>
      <c r="S131" s="420">
        <f t="shared" ca="1" si="60"/>
        <v>0.95174213513773087</v>
      </c>
      <c r="T131" s="1117">
        <f t="shared" ca="1" si="42"/>
        <v>1.0795991715862998</v>
      </c>
      <c r="AA131" s="554">
        <f t="shared" si="43"/>
        <v>280</v>
      </c>
      <c r="AB131" s="561">
        <f ca="1">INDEX('Profile Data'!$W$53:$AJ$53,1,H131)*K131</f>
        <v>0.6426724171738406</v>
      </c>
      <c r="AC131" s="393">
        <f t="shared" si="44"/>
        <v>15</v>
      </c>
      <c r="AD131" s="276">
        <f t="shared" si="61"/>
        <v>280</v>
      </c>
      <c r="AE131" s="278">
        <f t="shared" si="45"/>
        <v>42.117577040195741</v>
      </c>
      <c r="AF131" s="278">
        <f t="shared" si="62"/>
        <v>52.56736059502267</v>
      </c>
      <c r="AG131" s="278">
        <f t="shared" si="46"/>
        <v>50.614870779813096</v>
      </c>
      <c r="AH131" s="278">
        <f t="shared" si="47"/>
        <v>47.772185901052453</v>
      </c>
      <c r="AI131" s="278">
        <f t="shared" si="48"/>
        <v>45.580708433766802</v>
      </c>
      <c r="AK131" s="277">
        <f t="shared" si="49"/>
        <v>0.23667254275369529</v>
      </c>
      <c r="AL131" s="278">
        <f t="shared" si="63"/>
        <v>0.10136646185266636</v>
      </c>
      <c r="AM131" s="278">
        <f t="shared" si="50"/>
        <v>0.12033426426237992</v>
      </c>
      <c r="AN131" s="278">
        <f t="shared" si="51"/>
        <v>0.15041439697904124</v>
      </c>
      <c r="AO131" s="278">
        <f t="shared" si="52"/>
        <v>0.1811554897459601</v>
      </c>
      <c r="BB131" s="376">
        <f t="shared" si="64"/>
        <v>270</v>
      </c>
      <c r="BC131" s="375">
        <f t="shared" ca="1" si="67"/>
        <v>0.94036870983883503</v>
      </c>
      <c r="BE131" s="419">
        <f t="shared" si="65"/>
        <v>270</v>
      </c>
      <c r="BF131" s="420">
        <f t="shared" ca="1" si="68"/>
        <v>0.97255336752901822</v>
      </c>
    </row>
    <row r="132" spans="4:58" x14ac:dyDescent="0.2">
      <c r="D132" s="290">
        <f t="shared" si="53"/>
        <v>0.23667254275369529</v>
      </c>
      <c r="F132" s="501" t="str">
        <f t="shared" ca="1" si="54"/>
        <v/>
      </c>
      <c r="G132" s="539" t="str">
        <f>'Export Old Projects'!BI89</f>
        <v>O</v>
      </c>
      <c r="H132" s="389">
        <f t="shared" ca="1" si="55"/>
        <v>6</v>
      </c>
      <c r="I132" s="1096">
        <f t="shared" ca="1" si="56"/>
        <v>5</v>
      </c>
      <c r="J132" s="376">
        <f t="shared" si="57"/>
        <v>290</v>
      </c>
      <c r="K132" s="375">
        <f t="shared" ca="1" si="58"/>
        <v>0.91598429033220519</v>
      </c>
      <c r="L132" s="1002">
        <v>290</v>
      </c>
      <c r="M132" s="1020">
        <f ca="1">HLOOKUP(G132,'PLW Factors'!$C$214:$W$229,H132+1,FALSE)</f>
        <v>0.91334334226366853</v>
      </c>
      <c r="N132" s="1039">
        <v>290</v>
      </c>
      <c r="O132" s="1040">
        <f>INDEX('Wind speed'!$C$20:$AA$20,1,MATCH(G132,$H$11:$AB$11,0))/'Wind speed'!$D$17</f>
        <v>0.87929646319773369</v>
      </c>
      <c r="P132" t="str">
        <f t="shared" ca="1" si="66"/>
        <v>"</v>
      </c>
      <c r="Q132" s="1092"/>
      <c r="R132" s="419">
        <f t="shared" si="59"/>
        <v>290</v>
      </c>
      <c r="S132" s="420">
        <f t="shared" ca="1" si="60"/>
        <v>0.95174213513773087</v>
      </c>
      <c r="T132" s="1117">
        <f t="shared" ca="1" si="42"/>
        <v>1.0795991715862998</v>
      </c>
      <c r="AA132" s="554">
        <f t="shared" si="43"/>
        <v>290</v>
      </c>
      <c r="AB132" s="561">
        <f ca="1">INDEX('Profile Data'!$W$53:$AJ$53,1,H132)*K132</f>
        <v>0.6426724171738406</v>
      </c>
      <c r="AC132" s="393">
        <f t="shared" si="44"/>
        <v>15</v>
      </c>
      <c r="AD132" s="276">
        <f t="shared" si="61"/>
        <v>290</v>
      </c>
      <c r="AE132" s="278">
        <f t="shared" si="45"/>
        <v>42.117577040195741</v>
      </c>
      <c r="AF132" s="278">
        <f t="shared" si="62"/>
        <v>52.56736059502267</v>
      </c>
      <c r="AG132" s="278">
        <f t="shared" si="46"/>
        <v>50.614870779813096</v>
      </c>
      <c r="AH132" s="278">
        <f t="shared" si="47"/>
        <v>47.772185901052453</v>
      </c>
      <c r="AI132" s="278">
        <f t="shared" si="48"/>
        <v>45.580708433766802</v>
      </c>
      <c r="AK132" s="277">
        <f t="shared" si="49"/>
        <v>0.23667254275369529</v>
      </c>
      <c r="AL132" s="278">
        <f t="shared" si="63"/>
        <v>0.10136646185266636</v>
      </c>
      <c r="AM132" s="278">
        <f t="shared" si="50"/>
        <v>0.12033426426237992</v>
      </c>
      <c r="AN132" s="278">
        <f t="shared" si="51"/>
        <v>0.15041439697904124</v>
      </c>
      <c r="AO132" s="278">
        <f t="shared" si="52"/>
        <v>0.1811554897459601</v>
      </c>
      <c r="BB132" s="376">
        <f t="shared" si="64"/>
        <v>280</v>
      </c>
      <c r="BC132" s="375">
        <f t="shared" ca="1" si="67"/>
        <v>0.83902722013539355</v>
      </c>
      <c r="BE132" s="419">
        <f t="shared" si="65"/>
        <v>280</v>
      </c>
      <c r="BF132" s="420">
        <f t="shared" ca="1" si="68"/>
        <v>0.9058130917965268</v>
      </c>
    </row>
    <row r="133" spans="4:58" x14ac:dyDescent="0.2">
      <c r="D133" s="290">
        <f t="shared" si="53"/>
        <v>0.23667254275369529</v>
      </c>
      <c r="F133" s="501" t="str">
        <f t="shared" ca="1" si="54"/>
        <v/>
      </c>
      <c r="G133" s="539" t="str">
        <f>'Export Old Projects'!BI90</f>
        <v>O</v>
      </c>
      <c r="H133" s="389">
        <f t="shared" ca="1" si="55"/>
        <v>6</v>
      </c>
      <c r="I133" s="1096">
        <f t="shared" ca="1" si="56"/>
        <v>5</v>
      </c>
      <c r="J133" s="376">
        <f t="shared" si="57"/>
        <v>300</v>
      </c>
      <c r="K133" s="375">
        <f t="shared" ca="1" si="58"/>
        <v>0.91598429033220519</v>
      </c>
      <c r="L133" s="1002">
        <v>300</v>
      </c>
      <c r="M133" s="1020">
        <f ca="1">HLOOKUP(G133,'PLW Factors'!$C$214:$W$229,H133+1,FALSE)</f>
        <v>0.91334334226366853</v>
      </c>
      <c r="N133" s="1039">
        <v>300</v>
      </c>
      <c r="O133" s="1040">
        <f>INDEX('Wind speed'!$C$20:$AA$20,1,MATCH(G133,$H$11:$AB$11,0))/'Wind speed'!$D$17</f>
        <v>0.87929646319773369</v>
      </c>
      <c r="P133" t="str">
        <f t="shared" ca="1" si="66"/>
        <v>"</v>
      </c>
      <c r="Q133" s="1092"/>
      <c r="R133" s="419">
        <f t="shared" si="59"/>
        <v>300</v>
      </c>
      <c r="S133" s="420">
        <f t="shared" ca="1" si="60"/>
        <v>0.95174213513773087</v>
      </c>
      <c r="T133" s="1117">
        <f t="shared" ca="1" si="42"/>
        <v>1.0795991715862998</v>
      </c>
      <c r="AA133" s="554">
        <f t="shared" si="43"/>
        <v>300</v>
      </c>
      <c r="AB133" s="561">
        <f ca="1">INDEX('Profile Data'!$W$53:$AJ$53,1,H133)*K133</f>
        <v>0.6426724171738406</v>
      </c>
      <c r="AC133" s="393">
        <f t="shared" si="44"/>
        <v>15</v>
      </c>
      <c r="AD133" s="276">
        <f t="shared" si="61"/>
        <v>300</v>
      </c>
      <c r="AE133" s="278">
        <f t="shared" si="45"/>
        <v>42.117577040195741</v>
      </c>
      <c r="AF133" s="278">
        <f t="shared" si="62"/>
        <v>52.56736059502267</v>
      </c>
      <c r="AG133" s="278">
        <f t="shared" si="46"/>
        <v>50.614870779813096</v>
      </c>
      <c r="AH133" s="278">
        <f t="shared" si="47"/>
        <v>47.772185901052453</v>
      </c>
      <c r="AI133" s="278">
        <f t="shared" si="48"/>
        <v>45.580708433766802</v>
      </c>
      <c r="AK133" s="277">
        <f t="shared" si="49"/>
        <v>0.23667254275369529</v>
      </c>
      <c r="AL133" s="278">
        <f t="shared" si="63"/>
        <v>0.10136646185266636</v>
      </c>
      <c r="AM133" s="278">
        <f t="shared" si="50"/>
        <v>0.12033426426237992</v>
      </c>
      <c r="AN133" s="278">
        <f t="shared" si="51"/>
        <v>0.15041439697904124</v>
      </c>
      <c r="AO133" s="278">
        <f t="shared" si="52"/>
        <v>0.1811554897459601</v>
      </c>
      <c r="BB133" s="376">
        <f t="shared" si="64"/>
        <v>290</v>
      </c>
      <c r="BC133" s="375">
        <f t="shared" ca="1" si="67"/>
        <v>0.83902722013539355</v>
      </c>
      <c r="BE133" s="419">
        <f t="shared" si="65"/>
        <v>290</v>
      </c>
      <c r="BF133" s="420">
        <f t="shared" ca="1" si="68"/>
        <v>0.9058130917965268</v>
      </c>
    </row>
    <row r="134" spans="4:58" x14ac:dyDescent="0.2">
      <c r="D134" s="290">
        <f t="shared" si="53"/>
        <v>0.21244327899944421</v>
      </c>
      <c r="F134" s="501" t="str">
        <f t="shared" ca="1" si="54"/>
        <v/>
      </c>
      <c r="G134" s="539" t="str">
        <f>'Export Old Projects'!BI91</f>
        <v>P</v>
      </c>
      <c r="H134" s="389">
        <f t="shared" ca="1" si="55"/>
        <v>5</v>
      </c>
      <c r="I134" s="1096">
        <f t="shared" ca="1" si="56"/>
        <v>5</v>
      </c>
      <c r="J134" s="376">
        <f t="shared" si="57"/>
        <v>310</v>
      </c>
      <c r="K134" s="375">
        <f t="shared" ca="1" si="58"/>
        <v>0.92980951389945787</v>
      </c>
      <c r="L134" s="1002">
        <v>310</v>
      </c>
      <c r="M134" s="1020">
        <f ca="1">HLOOKUP(G134,'PLW Factors'!$C$214:$W$229,H134+1,FALSE)</f>
        <v>0.92224839867368047</v>
      </c>
      <c r="N134" s="1039">
        <v>310</v>
      </c>
      <c r="O134" s="1040">
        <f>INDEX('Wind speed'!$C$20:$AA$20,1,MATCH(G134,$H$11:$AB$11,0))/'Wind speed'!$D$17</f>
        <v>0.88799062522734373</v>
      </c>
      <c r="P134" t="str">
        <f t="shared" ca="1" si="66"/>
        <v>Light Urban A24LE</v>
      </c>
      <c r="Q134" s="1092"/>
      <c r="R134" s="419">
        <f t="shared" si="59"/>
        <v>310</v>
      </c>
      <c r="S134" s="420">
        <f t="shared" ca="1" si="60"/>
        <v>0.94946462152852662</v>
      </c>
      <c r="T134" s="1117">
        <f t="shared" ca="1" si="42"/>
        <v>1.042724559295457</v>
      </c>
      <c r="AA134" s="554">
        <f t="shared" si="43"/>
        <v>310</v>
      </c>
      <c r="AB134" s="561">
        <f ca="1">INDEX('Profile Data'!$W$53:$AJ$53,1,H134)*K134</f>
        <v>0.68583054060032989</v>
      </c>
      <c r="AC134" s="393">
        <f t="shared" si="44"/>
        <v>16</v>
      </c>
      <c r="AD134" s="276">
        <f t="shared" si="61"/>
        <v>310</v>
      </c>
      <c r="AE134" s="278">
        <f t="shared" si="45"/>
        <v>43.697811079983012</v>
      </c>
      <c r="AF134" s="278">
        <f t="shared" si="62"/>
        <v>52.56736059502267</v>
      </c>
      <c r="AG134" s="278">
        <f t="shared" si="46"/>
        <v>50.614870779813096</v>
      </c>
      <c r="AH134" s="278">
        <f t="shared" si="47"/>
        <v>47.772185901052453</v>
      </c>
      <c r="AI134" s="278">
        <f t="shared" si="48"/>
        <v>45.580708433766802</v>
      </c>
      <c r="AK134" s="277">
        <f t="shared" si="49"/>
        <v>0.21244327899944421</v>
      </c>
      <c r="AL134" s="278">
        <f t="shared" si="63"/>
        <v>0.10136646185266636</v>
      </c>
      <c r="AM134" s="278">
        <f t="shared" si="50"/>
        <v>0.12033426426237992</v>
      </c>
      <c r="AN134" s="278">
        <f t="shared" si="51"/>
        <v>0.15041439697904124</v>
      </c>
      <c r="AO134" s="278">
        <f t="shared" si="52"/>
        <v>0.1811554897459601</v>
      </c>
      <c r="BB134" s="376">
        <f t="shared" si="64"/>
        <v>300</v>
      </c>
      <c r="BC134" s="375">
        <f t="shared" ca="1" si="67"/>
        <v>0.83902722013539355</v>
      </c>
      <c r="BE134" s="419">
        <f t="shared" si="65"/>
        <v>300</v>
      </c>
      <c r="BF134" s="420">
        <f t="shared" ca="1" si="68"/>
        <v>0.9058130917965268</v>
      </c>
    </row>
    <row r="135" spans="4:58" x14ac:dyDescent="0.2">
      <c r="D135" s="290">
        <f t="shared" si="53"/>
        <v>0.21244327899944421</v>
      </c>
      <c r="F135" s="501" t="str">
        <f t="shared" ca="1" si="54"/>
        <v/>
      </c>
      <c r="G135" s="539" t="str">
        <f>'Export Old Projects'!BI92</f>
        <v>P</v>
      </c>
      <c r="H135" s="389">
        <f t="shared" ca="1" si="55"/>
        <v>5</v>
      </c>
      <c r="I135" s="1096">
        <f t="shared" ca="1" si="56"/>
        <v>5</v>
      </c>
      <c r="J135" s="376">
        <f t="shared" si="57"/>
        <v>320</v>
      </c>
      <c r="K135" s="375">
        <f t="shared" ca="1" si="58"/>
        <v>0.92980951389945787</v>
      </c>
      <c r="L135" s="1002">
        <v>320</v>
      </c>
      <c r="M135" s="1020">
        <f ca="1">HLOOKUP(G135,'PLW Factors'!$C$214:$W$229,H135+1,FALSE)</f>
        <v>0.92224839867368047</v>
      </c>
      <c r="N135" s="1039">
        <v>320</v>
      </c>
      <c r="O135" s="1040">
        <f>INDEX('Wind speed'!$C$20:$AA$20,1,MATCH(G135,$H$11:$AB$11,0))/'Wind speed'!$D$17</f>
        <v>0.88799062522734373</v>
      </c>
      <c r="P135" t="str">
        <f t="shared" ca="1" si="66"/>
        <v>"</v>
      </c>
      <c r="Q135" s="1092"/>
      <c r="R135" s="419">
        <f t="shared" si="59"/>
        <v>320</v>
      </c>
      <c r="S135" s="420">
        <f t="shared" ca="1" si="60"/>
        <v>0.94946462152852662</v>
      </c>
      <c r="T135" s="1117">
        <f t="shared" ca="1" si="42"/>
        <v>1.042724559295457</v>
      </c>
      <c r="AA135" s="554">
        <f t="shared" si="43"/>
        <v>320</v>
      </c>
      <c r="AB135" s="561">
        <f ca="1">INDEX('Profile Data'!$W$53:$AJ$53,1,H135)*K135</f>
        <v>0.68583054060032989</v>
      </c>
      <c r="AC135" s="393">
        <f t="shared" si="44"/>
        <v>16</v>
      </c>
      <c r="AD135" s="276">
        <f t="shared" si="61"/>
        <v>320</v>
      </c>
      <c r="AE135" s="278">
        <f t="shared" si="45"/>
        <v>43.697811079983012</v>
      </c>
      <c r="AF135" s="278">
        <f t="shared" si="62"/>
        <v>52.56736059502267</v>
      </c>
      <c r="AG135" s="278">
        <f t="shared" si="46"/>
        <v>50.614870779813096</v>
      </c>
      <c r="AH135" s="278">
        <f t="shared" si="47"/>
        <v>47.772185901052453</v>
      </c>
      <c r="AI135" s="278">
        <f t="shared" si="48"/>
        <v>45.580708433766802</v>
      </c>
      <c r="AK135" s="277">
        <f t="shared" si="49"/>
        <v>0.21244327899944421</v>
      </c>
      <c r="AL135" s="278">
        <f t="shared" si="63"/>
        <v>0.10136646185266636</v>
      </c>
      <c r="AM135" s="278">
        <f t="shared" si="50"/>
        <v>0.12033426426237992</v>
      </c>
      <c r="AN135" s="278">
        <f t="shared" si="51"/>
        <v>0.15041439697904124</v>
      </c>
      <c r="AO135" s="278">
        <f t="shared" si="52"/>
        <v>0.1811554897459601</v>
      </c>
      <c r="BB135" s="376">
        <f t="shared" si="64"/>
        <v>310</v>
      </c>
      <c r="BC135" s="375">
        <f t="shared" ca="1" si="67"/>
        <v>0.86454573213794617</v>
      </c>
      <c r="BE135" s="419">
        <f t="shared" si="65"/>
        <v>310</v>
      </c>
      <c r="BF135" s="420">
        <f t="shared" ca="1" si="68"/>
        <v>0.90148306753430829</v>
      </c>
    </row>
    <row r="136" spans="4:58" x14ac:dyDescent="0.2">
      <c r="D136" s="290">
        <f t="shared" si="53"/>
        <v>0.21244327899944421</v>
      </c>
      <c r="F136" s="501" t="str">
        <f t="shared" ca="1" si="54"/>
        <v/>
      </c>
      <c r="G136" s="539" t="str">
        <f>'Export Old Projects'!BI93</f>
        <v>P</v>
      </c>
      <c r="H136" s="389">
        <f t="shared" ca="1" si="55"/>
        <v>5</v>
      </c>
      <c r="I136" s="1096">
        <f t="shared" ca="1" si="56"/>
        <v>5</v>
      </c>
      <c r="J136" s="376">
        <f t="shared" si="57"/>
        <v>330</v>
      </c>
      <c r="K136" s="375">
        <f t="shared" ca="1" si="58"/>
        <v>0.92980951389945787</v>
      </c>
      <c r="L136" s="1002">
        <v>330</v>
      </c>
      <c r="M136" s="1020">
        <f ca="1">HLOOKUP(G136,'PLW Factors'!$C$214:$W$229,H136+1,FALSE)</f>
        <v>0.92224839867368047</v>
      </c>
      <c r="N136" s="1039">
        <v>330</v>
      </c>
      <c r="O136" s="1040">
        <f>INDEX('Wind speed'!$C$20:$AA$20,1,MATCH(G136,$H$11:$AB$11,0))/'Wind speed'!$D$17</f>
        <v>0.88799062522734373</v>
      </c>
      <c r="P136" t="str">
        <f t="shared" ca="1" si="66"/>
        <v>"</v>
      </c>
      <c r="Q136" s="1092"/>
      <c r="R136" s="419">
        <f t="shared" si="59"/>
        <v>330</v>
      </c>
      <c r="S136" s="420">
        <f t="shared" ca="1" si="60"/>
        <v>0.94946462152852662</v>
      </c>
      <c r="T136" s="1117">
        <f t="shared" ca="1" si="42"/>
        <v>1.042724559295457</v>
      </c>
      <c r="AA136" s="554">
        <f t="shared" si="43"/>
        <v>330</v>
      </c>
      <c r="AB136" s="561">
        <f ca="1">INDEX('Profile Data'!$W$53:$AJ$53,1,H136)*K136</f>
        <v>0.68583054060032989</v>
      </c>
      <c r="AC136" s="393">
        <f t="shared" si="44"/>
        <v>16</v>
      </c>
      <c r="AD136" s="276">
        <f t="shared" si="61"/>
        <v>330</v>
      </c>
      <c r="AE136" s="278">
        <f t="shared" si="45"/>
        <v>43.697811079983012</v>
      </c>
      <c r="AF136" s="278">
        <f t="shared" si="62"/>
        <v>52.56736059502267</v>
      </c>
      <c r="AG136" s="278">
        <f t="shared" si="46"/>
        <v>50.614870779813096</v>
      </c>
      <c r="AH136" s="278">
        <f t="shared" si="47"/>
        <v>47.772185901052453</v>
      </c>
      <c r="AI136" s="278">
        <f t="shared" si="48"/>
        <v>45.580708433766802</v>
      </c>
      <c r="AK136" s="277">
        <f t="shared" si="49"/>
        <v>0.21244327899944421</v>
      </c>
      <c r="AL136" s="278">
        <f t="shared" si="63"/>
        <v>0.10136646185266636</v>
      </c>
      <c r="AM136" s="278">
        <f t="shared" si="50"/>
        <v>0.12033426426237992</v>
      </c>
      <c r="AN136" s="278">
        <f t="shared" si="51"/>
        <v>0.15041439697904124</v>
      </c>
      <c r="AO136" s="278">
        <f t="shared" si="52"/>
        <v>0.1811554897459601</v>
      </c>
      <c r="BB136" s="376">
        <f t="shared" si="64"/>
        <v>320</v>
      </c>
      <c r="BC136" s="375">
        <f t="shared" ca="1" si="67"/>
        <v>0.86454573213794617</v>
      </c>
      <c r="BE136" s="419">
        <f t="shared" si="65"/>
        <v>320</v>
      </c>
      <c r="BF136" s="420">
        <f t="shared" ca="1" si="68"/>
        <v>0.90148306753430829</v>
      </c>
    </row>
    <row r="137" spans="4:58" x14ac:dyDescent="0.2">
      <c r="D137" s="290">
        <f t="shared" si="53"/>
        <v>0.18996455122229031</v>
      </c>
      <c r="F137" s="501" t="str">
        <f t="shared" ca="1" si="54"/>
        <v/>
      </c>
      <c r="G137" s="539" t="str">
        <f>'Export Old Projects'!BI94</f>
        <v>Q</v>
      </c>
      <c r="H137" s="389">
        <f t="shared" ca="1" si="55"/>
        <v>4</v>
      </c>
      <c r="I137" s="1096">
        <f t="shared" ca="1" si="56"/>
        <v>4</v>
      </c>
      <c r="J137" s="376">
        <f t="shared" si="57"/>
        <v>340</v>
      </c>
      <c r="K137" s="375">
        <f t="shared" ca="1" si="58"/>
        <v>0.9569868096583245</v>
      </c>
      <c r="L137" s="1002">
        <v>340</v>
      </c>
      <c r="M137" s="1020">
        <f ca="1">HLOOKUP(G137,'PLW Factors'!$C$214:$W$229,H137+1,FALSE)</f>
        <v>0.95444379124154788</v>
      </c>
      <c r="N137" s="1039">
        <v>340</v>
      </c>
      <c r="O137" s="1040">
        <f>INDEX('Wind speed'!$C$20:$AA$20,1,MATCH(G137,$H$11:$AB$11,0))/'Wind speed'!$D$17</f>
        <v>0.91315606410633543</v>
      </c>
      <c r="P137" t="str">
        <f t="shared" ca="1" si="66"/>
        <v>Suburban A24LE</v>
      </c>
      <c r="Q137" s="1092"/>
      <c r="R137" s="419">
        <f t="shared" si="59"/>
        <v>340</v>
      </c>
      <c r="S137" s="420">
        <f t="shared" ca="1" si="60"/>
        <v>0.98618120420590971</v>
      </c>
      <c r="T137" s="1117">
        <f t="shared" ca="1" si="42"/>
        <v>1.0619438111644253</v>
      </c>
      <c r="AA137" s="554">
        <f t="shared" si="43"/>
        <v>340</v>
      </c>
      <c r="AB137" s="561">
        <f ca="1">INDEX('Profile Data'!$W$53:$AJ$53,1,H137)*K137</f>
        <v>0.71052565789418898</v>
      </c>
      <c r="AC137" s="393">
        <f t="shared" si="44"/>
        <v>17</v>
      </c>
      <c r="AD137" s="276">
        <f t="shared" si="61"/>
        <v>340</v>
      </c>
      <c r="AE137" s="278">
        <f t="shared" si="45"/>
        <v>44.981914714921579</v>
      </c>
      <c r="AF137" s="278">
        <f t="shared" si="62"/>
        <v>52.56736059502267</v>
      </c>
      <c r="AG137" s="278">
        <f t="shared" si="46"/>
        <v>50.614870779813096</v>
      </c>
      <c r="AH137" s="278">
        <f t="shared" si="47"/>
        <v>47.772185901052453</v>
      </c>
      <c r="AI137" s="278">
        <f t="shared" si="48"/>
        <v>45.580708433766802</v>
      </c>
      <c r="AK137" s="277">
        <f t="shared" si="49"/>
        <v>0.18996455122229031</v>
      </c>
      <c r="AL137" s="278">
        <f t="shared" si="63"/>
        <v>0.10136646185266636</v>
      </c>
      <c r="AM137" s="278">
        <f t="shared" si="50"/>
        <v>0.12033426426237992</v>
      </c>
      <c r="AN137" s="278">
        <f t="shared" si="51"/>
        <v>0.15041439697904124</v>
      </c>
      <c r="AO137" s="278">
        <f t="shared" si="52"/>
        <v>0.1811554897459601</v>
      </c>
      <c r="BB137" s="376">
        <f t="shared" si="64"/>
        <v>330</v>
      </c>
      <c r="BC137" s="375">
        <f t="shared" ca="1" si="67"/>
        <v>0.86454573213794617</v>
      </c>
      <c r="BE137" s="419">
        <f t="shared" si="65"/>
        <v>330</v>
      </c>
      <c r="BF137" s="420">
        <f t="shared" ca="1" si="68"/>
        <v>0.90148306753430829</v>
      </c>
    </row>
    <row r="138" spans="4:58" x14ac:dyDescent="0.2">
      <c r="D138" s="290">
        <f t="shared" si="53"/>
        <v>0.18996455122229031</v>
      </c>
      <c r="F138" s="501" t="str">
        <f t="shared" ca="1" si="54"/>
        <v/>
      </c>
      <c r="G138" s="539" t="str">
        <f>'Export Old Projects'!BI95</f>
        <v>Q</v>
      </c>
      <c r="H138" s="389">
        <f t="shared" ca="1" si="55"/>
        <v>4</v>
      </c>
      <c r="I138" s="1096">
        <f t="shared" ca="1" si="56"/>
        <v>4</v>
      </c>
      <c r="J138" s="376">
        <f t="shared" si="57"/>
        <v>350</v>
      </c>
      <c r="K138" s="375">
        <f t="shared" ca="1" si="58"/>
        <v>0.9569868096583245</v>
      </c>
      <c r="L138" s="1002">
        <v>350</v>
      </c>
      <c r="M138" s="1020">
        <f ca="1">HLOOKUP(G138,'PLW Factors'!$C$214:$W$229,H138+1,FALSE)</f>
        <v>0.95444379124154788</v>
      </c>
      <c r="N138" s="1039">
        <v>350</v>
      </c>
      <c r="O138" s="1040">
        <f>INDEX('Wind speed'!$C$20:$AA$20,1,MATCH(G138,$H$11:$AB$11,0))/'Wind speed'!$D$17</f>
        <v>0.91315606410633543</v>
      </c>
      <c r="P138" t="str">
        <f t="shared" ca="1" si="66"/>
        <v>"</v>
      </c>
      <c r="Q138" s="1092"/>
      <c r="R138" s="419">
        <f t="shared" si="59"/>
        <v>350</v>
      </c>
      <c r="S138" s="420">
        <f t="shared" ca="1" si="60"/>
        <v>0.98618120420590971</v>
      </c>
      <c r="T138" s="1117">
        <f t="shared" ca="1" si="42"/>
        <v>1.0619438111644253</v>
      </c>
      <c r="AA138" s="554">
        <f t="shared" si="43"/>
        <v>350</v>
      </c>
      <c r="AB138" s="561">
        <f ca="1">INDEX('Profile Data'!$W$53:$AJ$53,1,H138)*K138</f>
        <v>0.71052565789418898</v>
      </c>
      <c r="AC138" s="393">
        <f t="shared" si="44"/>
        <v>17</v>
      </c>
      <c r="AD138" s="276">
        <f t="shared" si="61"/>
        <v>350</v>
      </c>
      <c r="AE138" s="278">
        <f t="shared" si="45"/>
        <v>44.981914714921579</v>
      </c>
      <c r="AF138" s="278">
        <f t="shared" si="62"/>
        <v>52.56736059502267</v>
      </c>
      <c r="AG138" s="278">
        <f t="shared" si="46"/>
        <v>50.614870779813096</v>
      </c>
      <c r="AH138" s="278">
        <f t="shared" si="47"/>
        <v>47.772185901052453</v>
      </c>
      <c r="AI138" s="278">
        <f t="shared" si="48"/>
        <v>45.580708433766802</v>
      </c>
      <c r="AK138" s="277">
        <f t="shared" si="49"/>
        <v>0.18996455122229031</v>
      </c>
      <c r="AL138" s="278">
        <f t="shared" si="63"/>
        <v>0.10136646185266636</v>
      </c>
      <c r="AM138" s="278">
        <f t="shared" si="50"/>
        <v>0.12033426426237992</v>
      </c>
      <c r="AN138" s="278">
        <f t="shared" si="51"/>
        <v>0.15041439697904124</v>
      </c>
      <c r="AO138" s="278">
        <f t="shared" si="52"/>
        <v>0.1811554897459601</v>
      </c>
      <c r="BB138" s="376">
        <f t="shared" si="64"/>
        <v>340</v>
      </c>
      <c r="BC138" s="375">
        <f t="shared" ca="1" si="67"/>
        <v>0.91582375386001824</v>
      </c>
      <c r="BE138" s="419">
        <f t="shared" si="65"/>
        <v>340</v>
      </c>
      <c r="BF138" s="420">
        <f t="shared" ca="1" si="68"/>
        <v>0.97255336752901822</v>
      </c>
    </row>
    <row r="139" spans="4:58" x14ac:dyDescent="0.2">
      <c r="D139" s="290">
        <f t="shared" si="53"/>
        <v>0.18996455122229031</v>
      </c>
      <c r="F139" s="501" t="str">
        <f t="shared" ca="1" si="54"/>
        <v/>
      </c>
      <c r="G139" s="539" t="str">
        <f>'Export Old Projects'!BI96</f>
        <v>Q</v>
      </c>
      <c r="H139" s="389">
        <f t="shared" ca="1" si="55"/>
        <v>4</v>
      </c>
      <c r="I139" s="1096">
        <f t="shared" ca="1" si="56"/>
        <v>4</v>
      </c>
      <c r="J139" s="376">
        <f t="shared" si="57"/>
        <v>360</v>
      </c>
      <c r="K139" s="375">
        <f t="shared" ca="1" si="58"/>
        <v>0.9569868096583245</v>
      </c>
      <c r="L139" s="1002">
        <v>360</v>
      </c>
      <c r="M139" s="1020">
        <f ca="1">HLOOKUP(G139,'PLW Factors'!$C$214:$W$229,H139+1,FALSE)</f>
        <v>0.95444379124154788</v>
      </c>
      <c r="N139" s="1039">
        <v>360</v>
      </c>
      <c r="O139" s="1040">
        <f>INDEX('Wind speed'!$C$20:$AA$20,1,MATCH(G139,$H$11:$AB$11,0))/'Wind speed'!$D$17</f>
        <v>0.91315606410633543</v>
      </c>
      <c r="P139" t="str">
        <f t="shared" ca="1" si="66"/>
        <v>"</v>
      </c>
      <c r="Q139" s="1092"/>
      <c r="R139" s="419">
        <f t="shared" si="59"/>
        <v>360</v>
      </c>
      <c r="S139" s="420">
        <f t="shared" ca="1" si="60"/>
        <v>0.98618120420590971</v>
      </c>
      <c r="T139" s="1117">
        <f t="shared" ca="1" si="42"/>
        <v>1.0619438111644253</v>
      </c>
      <c r="AA139" s="554">
        <f t="shared" si="43"/>
        <v>360</v>
      </c>
      <c r="AB139" s="561">
        <f ca="1">INDEX('Profile Data'!$W$53:$AJ$53,1,H139)*K139</f>
        <v>0.71052565789418898</v>
      </c>
      <c r="AC139" s="393">
        <f t="shared" si="44"/>
        <v>17</v>
      </c>
      <c r="AD139" s="276">
        <f t="shared" si="61"/>
        <v>360</v>
      </c>
      <c r="AE139" s="278">
        <f t="shared" si="45"/>
        <v>44.981914714921579</v>
      </c>
      <c r="AF139" s="278">
        <f t="shared" si="62"/>
        <v>52.56736059502267</v>
      </c>
      <c r="AG139" s="278">
        <f t="shared" si="46"/>
        <v>50.614870779813096</v>
      </c>
      <c r="AH139" s="278">
        <f t="shared" si="47"/>
        <v>47.772185901052453</v>
      </c>
      <c r="AI139" s="278">
        <f t="shared" si="48"/>
        <v>45.580708433766802</v>
      </c>
      <c r="AK139" s="277">
        <f t="shared" si="49"/>
        <v>0.18996455122229031</v>
      </c>
      <c r="AL139" s="278">
        <f t="shared" si="63"/>
        <v>0.10136646185266636</v>
      </c>
      <c r="AM139" s="278">
        <f t="shared" si="50"/>
        <v>0.12033426426237992</v>
      </c>
      <c r="AN139" s="278">
        <f t="shared" si="51"/>
        <v>0.15041439697904124</v>
      </c>
      <c r="AO139" s="278">
        <f t="shared" si="52"/>
        <v>0.1811554897459601</v>
      </c>
      <c r="BB139" s="376">
        <f t="shared" si="64"/>
        <v>350</v>
      </c>
      <c r="BC139" s="375">
        <f t="shared" ca="1" si="67"/>
        <v>0.91582375386001824</v>
      </c>
      <c r="BE139" s="419">
        <f t="shared" si="65"/>
        <v>350</v>
      </c>
      <c r="BF139" s="420">
        <f t="shared" ca="1" si="68"/>
        <v>0.97255336752901822</v>
      </c>
    </row>
    <row r="140" spans="4:58" x14ac:dyDescent="0.2">
      <c r="F140" s="501" t="str">
        <f t="shared" si="54"/>
        <v/>
      </c>
      <c r="BB140" s="376">
        <f t="shared" si="64"/>
        <v>360</v>
      </c>
      <c r="BC140" s="375">
        <f t="shared" ca="1" si="67"/>
        <v>0.91582375386001824</v>
      </c>
      <c r="BE140" s="419">
        <f t="shared" si="65"/>
        <v>360</v>
      </c>
      <c r="BF140" s="420">
        <f t="shared" ca="1" si="68"/>
        <v>0.97255336752901822</v>
      </c>
    </row>
    <row r="141" spans="4:58" x14ac:dyDescent="0.2">
      <c r="K141" s="274" t="s">
        <v>354</v>
      </c>
      <c r="L141" s="274"/>
      <c r="M141" s="274"/>
      <c r="N141" s="274"/>
      <c r="P141" s="274"/>
      <c r="R141" s="274"/>
      <c r="S141" s="274" t="s">
        <v>353</v>
      </c>
      <c r="T141" s="274"/>
    </row>
    <row r="143" spans="4:58" x14ac:dyDescent="0.2">
      <c r="K143" s="501"/>
      <c r="L143" s="501"/>
      <c r="M143" s="501"/>
      <c r="N143" s="501"/>
    </row>
    <row r="144" spans="4:58" x14ac:dyDescent="0.2">
      <c r="K144" s="501"/>
      <c r="L144" s="501"/>
      <c r="M144" s="501"/>
      <c r="N144" s="501"/>
      <c r="O144" s="501"/>
    </row>
    <row r="145" spans="11:14" x14ac:dyDescent="0.2">
      <c r="K145" s="501"/>
      <c r="L145" s="501"/>
      <c r="M145" s="501"/>
      <c r="N145" s="501"/>
    </row>
    <row r="146" spans="11:14" x14ac:dyDescent="0.2">
      <c r="K146" s="501"/>
      <c r="L146" s="501"/>
      <c r="M146" s="501"/>
      <c r="N146" s="501"/>
    </row>
    <row r="147" spans="11:14" x14ac:dyDescent="0.2">
      <c r="K147" s="501"/>
      <c r="L147" s="501"/>
      <c r="M147" s="501"/>
      <c r="N147" s="501"/>
    </row>
    <row r="148" spans="11:14" x14ac:dyDescent="0.2">
      <c r="K148" s="501"/>
      <c r="L148" s="501"/>
      <c r="M148" s="501"/>
      <c r="N148" s="501"/>
    </row>
    <row r="149" spans="11:14" x14ac:dyDescent="0.2">
      <c r="K149" s="501"/>
      <c r="L149" s="501"/>
      <c r="M149" s="501"/>
      <c r="N149" s="501"/>
    </row>
    <row r="150" spans="11:14" x14ac:dyDescent="0.2">
      <c r="K150" s="501"/>
      <c r="L150" s="501"/>
      <c r="M150" s="501"/>
      <c r="N150" s="501"/>
    </row>
    <row r="151" spans="11:14" x14ac:dyDescent="0.2">
      <c r="K151" s="501"/>
      <c r="L151" s="501"/>
      <c r="M151" s="501"/>
      <c r="N151" s="501"/>
    </row>
    <row r="152" spans="11:14" x14ac:dyDescent="0.2">
      <c r="K152" s="501"/>
      <c r="L152" s="501"/>
      <c r="M152" s="501"/>
      <c r="N152" s="501"/>
    </row>
    <row r="153" spans="11:14" x14ac:dyDescent="0.2">
      <c r="K153" s="501"/>
      <c r="L153" s="501"/>
      <c r="M153" s="501"/>
      <c r="N153" s="501"/>
    </row>
    <row r="154" spans="11:14" x14ac:dyDescent="0.2">
      <c r="K154" s="501"/>
      <c r="L154" s="501"/>
      <c r="M154" s="501"/>
      <c r="N154" s="501"/>
    </row>
    <row r="155" spans="11:14" x14ac:dyDescent="0.2">
      <c r="K155" s="501"/>
      <c r="L155" s="501"/>
      <c r="M155" s="501"/>
      <c r="N155" s="501"/>
    </row>
    <row r="156" spans="11:14" x14ac:dyDescent="0.2">
      <c r="K156" s="501"/>
      <c r="L156" s="501"/>
      <c r="M156" s="501"/>
      <c r="N156" s="501"/>
    </row>
    <row r="157" spans="11:14" x14ac:dyDescent="0.2">
      <c r="K157" s="501"/>
      <c r="L157" s="501"/>
      <c r="M157" s="501"/>
      <c r="N157" s="501"/>
    </row>
    <row r="158" spans="11:14" x14ac:dyDescent="0.2">
      <c r="K158" s="501"/>
      <c r="L158" s="501"/>
      <c r="M158" s="501"/>
      <c r="N158" s="501"/>
    </row>
    <row r="159" spans="11:14" x14ac:dyDescent="0.2">
      <c r="K159" s="501"/>
      <c r="L159" s="501"/>
      <c r="M159" s="501"/>
      <c r="N159" s="501"/>
    </row>
    <row r="160" spans="11:14" x14ac:dyDescent="0.2">
      <c r="K160" s="501"/>
      <c r="L160" s="501"/>
      <c r="M160" s="501"/>
      <c r="N160" s="501"/>
    </row>
    <row r="161" spans="11:14" x14ac:dyDescent="0.2">
      <c r="K161" s="501"/>
      <c r="L161" s="501"/>
      <c r="M161" s="501"/>
      <c r="N161" s="501"/>
    </row>
    <row r="162" spans="11:14" x14ac:dyDescent="0.2">
      <c r="K162" s="501"/>
      <c r="L162" s="501"/>
      <c r="M162" s="501"/>
      <c r="N162" s="501"/>
    </row>
    <row r="163" spans="11:14" x14ac:dyDescent="0.2">
      <c r="K163" s="501"/>
      <c r="L163" s="501"/>
      <c r="M163" s="501"/>
      <c r="N163" s="501"/>
    </row>
    <row r="164" spans="11:14" x14ac:dyDescent="0.2">
      <c r="K164" s="501"/>
      <c r="L164" s="501"/>
      <c r="M164" s="501"/>
      <c r="N164" s="501"/>
    </row>
    <row r="165" spans="11:14" x14ac:dyDescent="0.2">
      <c r="K165" s="501"/>
      <c r="L165" s="501"/>
      <c r="M165" s="501"/>
      <c r="N165" s="501"/>
    </row>
    <row r="166" spans="11:14" x14ac:dyDescent="0.2">
      <c r="K166" s="501"/>
      <c r="L166" s="501"/>
      <c r="M166" s="501"/>
      <c r="N166" s="501"/>
    </row>
    <row r="167" spans="11:14" x14ac:dyDescent="0.2">
      <c r="K167" s="501"/>
      <c r="L167" s="501"/>
      <c r="M167" s="501"/>
      <c r="N167" s="501"/>
    </row>
    <row r="168" spans="11:14" x14ac:dyDescent="0.2">
      <c r="K168" s="501"/>
      <c r="L168" s="501"/>
      <c r="M168" s="501"/>
      <c r="N168" s="501"/>
    </row>
    <row r="169" spans="11:14" x14ac:dyDescent="0.2">
      <c r="K169" s="501"/>
      <c r="L169" s="501"/>
      <c r="M169" s="501"/>
      <c r="N169" s="501"/>
    </row>
    <row r="170" spans="11:14" x14ac:dyDescent="0.2">
      <c r="K170" s="501"/>
      <c r="L170" s="501"/>
      <c r="M170" s="501"/>
      <c r="N170" s="501"/>
    </row>
    <row r="171" spans="11:14" x14ac:dyDescent="0.2">
      <c r="K171" s="501"/>
      <c r="L171" s="501"/>
      <c r="M171" s="501"/>
      <c r="N171" s="501"/>
    </row>
    <row r="172" spans="11:14" x14ac:dyDescent="0.2">
      <c r="K172" s="501"/>
      <c r="L172" s="501"/>
      <c r="M172" s="501"/>
      <c r="N172" s="501"/>
    </row>
    <row r="173" spans="11:14" x14ac:dyDescent="0.2">
      <c r="K173" s="501"/>
      <c r="L173" s="501"/>
      <c r="M173" s="501"/>
      <c r="N173" s="501"/>
    </row>
    <row r="174" spans="11:14" x14ac:dyDescent="0.2">
      <c r="K174" s="501"/>
      <c r="L174" s="501"/>
      <c r="M174" s="501"/>
      <c r="N174" s="501"/>
    </row>
    <row r="175" spans="11:14" x14ac:dyDescent="0.2">
      <c r="K175" s="501"/>
      <c r="L175" s="501"/>
      <c r="M175" s="501"/>
      <c r="N175" s="501"/>
    </row>
    <row r="176" spans="11:14" x14ac:dyDescent="0.2">
      <c r="K176" s="501"/>
      <c r="L176" s="501"/>
      <c r="M176" s="501"/>
      <c r="N176" s="501"/>
    </row>
    <row r="177" spans="11:14" x14ac:dyDescent="0.2">
      <c r="K177" s="501"/>
      <c r="L177" s="501"/>
      <c r="M177" s="501"/>
      <c r="N177" s="501"/>
    </row>
    <row r="178" spans="11:14" x14ac:dyDescent="0.2">
      <c r="K178" s="501"/>
      <c r="L178" s="501"/>
      <c r="M178" s="501"/>
      <c r="N178" s="501"/>
    </row>
    <row r="179" spans="11:14" x14ac:dyDescent="0.2">
      <c r="K179" s="501"/>
      <c r="L179" s="501"/>
      <c r="M179" s="501"/>
      <c r="N179" s="501"/>
    </row>
    <row r="180" spans="11:14" x14ac:dyDescent="0.2">
      <c r="K180" s="501"/>
      <c r="L180" s="501"/>
      <c r="M180" s="501"/>
      <c r="N180" s="501"/>
    </row>
    <row r="181" spans="11:14" x14ac:dyDescent="0.2">
      <c r="K181" s="501"/>
      <c r="L181" s="501"/>
      <c r="M181" s="501"/>
      <c r="N181" s="501"/>
    </row>
    <row r="182" spans="11:14" x14ac:dyDescent="0.2">
      <c r="K182" s="501"/>
      <c r="L182" s="501"/>
      <c r="M182" s="501"/>
      <c r="N182" s="501"/>
    </row>
    <row r="183" spans="11:14" x14ac:dyDescent="0.2">
      <c r="K183" s="501"/>
      <c r="L183" s="501"/>
      <c r="M183" s="501"/>
      <c r="N183" s="501"/>
    </row>
    <row r="184" spans="11:14" x14ac:dyDescent="0.2">
      <c r="K184" s="501"/>
      <c r="L184" s="501"/>
      <c r="M184" s="501"/>
      <c r="N184" s="501"/>
    </row>
    <row r="185" spans="11:14" x14ac:dyDescent="0.2">
      <c r="K185" s="501"/>
      <c r="L185" s="501"/>
      <c r="M185" s="501"/>
      <c r="N185" s="501"/>
    </row>
    <row r="186" spans="11:14" x14ac:dyDescent="0.2">
      <c r="K186" s="501"/>
      <c r="L186" s="501"/>
      <c r="M186" s="501"/>
      <c r="N186" s="501"/>
    </row>
    <row r="187" spans="11:14" x14ac:dyDescent="0.2">
      <c r="K187" s="501"/>
      <c r="L187" s="501"/>
      <c r="M187" s="501"/>
      <c r="N187" s="501"/>
    </row>
    <row r="188" spans="11:14" x14ac:dyDescent="0.2">
      <c r="K188" s="501"/>
      <c r="L188" s="501"/>
      <c r="M188" s="501"/>
      <c r="N188" s="501"/>
    </row>
    <row r="189" spans="11:14" x14ac:dyDescent="0.2">
      <c r="K189" s="501"/>
      <c r="L189" s="501"/>
      <c r="M189" s="501"/>
      <c r="N189" s="501"/>
    </row>
    <row r="190" spans="11:14" x14ac:dyDescent="0.2">
      <c r="K190" s="501"/>
      <c r="L190" s="501"/>
      <c r="M190" s="501"/>
      <c r="N190" s="501"/>
    </row>
    <row r="191" spans="11:14" x14ac:dyDescent="0.2">
      <c r="K191" s="501"/>
      <c r="L191" s="501"/>
      <c r="M191" s="501"/>
      <c r="N191" s="501"/>
    </row>
    <row r="192" spans="11:14" x14ac:dyDescent="0.2">
      <c r="K192" s="501"/>
      <c r="L192" s="501"/>
      <c r="M192" s="501"/>
      <c r="N192" s="501"/>
    </row>
    <row r="193" spans="11:14" x14ac:dyDescent="0.2">
      <c r="K193" s="501"/>
      <c r="L193" s="501"/>
      <c r="M193" s="501"/>
      <c r="N193" s="501"/>
    </row>
    <row r="194" spans="11:14" x14ac:dyDescent="0.2">
      <c r="K194" s="501"/>
      <c r="L194" s="501"/>
      <c r="M194" s="501"/>
      <c r="N194" s="501"/>
    </row>
    <row r="195" spans="11:14" x14ac:dyDescent="0.2">
      <c r="K195" s="501"/>
      <c r="L195" s="501"/>
      <c r="M195" s="501"/>
      <c r="N195" s="501"/>
    </row>
    <row r="196" spans="11:14" x14ac:dyDescent="0.2">
      <c r="K196" s="501"/>
      <c r="L196" s="501"/>
      <c r="M196" s="501"/>
      <c r="N196" s="501"/>
    </row>
    <row r="197" spans="11:14" x14ac:dyDescent="0.2">
      <c r="K197" s="501"/>
      <c r="L197" s="501"/>
      <c r="M197" s="501"/>
      <c r="N197" s="501"/>
    </row>
    <row r="198" spans="11:14" x14ac:dyDescent="0.2">
      <c r="K198" s="501"/>
      <c r="L198" s="501"/>
      <c r="M198" s="501"/>
      <c r="N198" s="501"/>
    </row>
    <row r="199" spans="11:14" x14ac:dyDescent="0.2">
      <c r="K199" s="501"/>
      <c r="L199" s="501"/>
      <c r="M199" s="501"/>
      <c r="N199" s="501"/>
    </row>
    <row r="200" spans="11:14" x14ac:dyDescent="0.2">
      <c r="K200" s="501"/>
      <c r="L200" s="501"/>
      <c r="M200" s="501"/>
      <c r="N200" s="501"/>
    </row>
    <row r="201" spans="11:14" x14ac:dyDescent="0.2">
      <c r="K201" s="501"/>
      <c r="L201" s="501"/>
      <c r="M201" s="501"/>
      <c r="N201" s="501"/>
    </row>
    <row r="202" spans="11:14" x14ac:dyDescent="0.2">
      <c r="K202" s="501"/>
      <c r="L202" s="501"/>
      <c r="M202" s="501"/>
      <c r="N202" s="501"/>
    </row>
    <row r="203" spans="11:14" x14ac:dyDescent="0.2">
      <c r="K203" s="501"/>
      <c r="L203" s="501"/>
      <c r="M203" s="501"/>
      <c r="N203" s="501"/>
    </row>
    <row r="204" spans="11:14" x14ac:dyDescent="0.2">
      <c r="K204" s="501"/>
      <c r="L204" s="501"/>
      <c r="M204" s="501"/>
      <c r="N204" s="501"/>
    </row>
    <row r="205" spans="11:14" x14ac:dyDescent="0.2">
      <c r="K205" s="501"/>
      <c r="L205" s="501"/>
      <c r="M205" s="501"/>
      <c r="N205" s="501"/>
    </row>
    <row r="206" spans="11:14" x14ac:dyDescent="0.2">
      <c r="K206" s="501"/>
      <c r="L206" s="501"/>
      <c r="M206" s="501"/>
      <c r="N206" s="501"/>
    </row>
    <row r="207" spans="11:14" x14ac:dyDescent="0.2">
      <c r="K207" s="501"/>
      <c r="L207" s="501"/>
      <c r="M207" s="501"/>
      <c r="N207" s="501"/>
    </row>
    <row r="208" spans="11:14" x14ac:dyDescent="0.2">
      <c r="K208" s="501"/>
      <c r="L208" s="501"/>
      <c r="M208" s="501"/>
      <c r="N208" s="501"/>
    </row>
    <row r="209" spans="11:14" x14ac:dyDescent="0.2">
      <c r="K209" s="501"/>
      <c r="L209" s="501"/>
      <c r="M209" s="501"/>
      <c r="N209" s="501"/>
    </row>
    <row r="210" spans="11:14" x14ac:dyDescent="0.2">
      <c r="K210" s="501"/>
      <c r="L210" s="501"/>
      <c r="M210" s="501"/>
      <c r="N210" s="501"/>
    </row>
    <row r="211" spans="11:14" x14ac:dyDescent="0.2">
      <c r="K211" s="501"/>
      <c r="L211" s="501"/>
      <c r="M211" s="501"/>
      <c r="N211" s="501"/>
    </row>
    <row r="212" spans="11:14" x14ac:dyDescent="0.2">
      <c r="K212" s="501"/>
      <c r="L212" s="501"/>
      <c r="M212" s="501"/>
      <c r="N212" s="501"/>
    </row>
    <row r="213" spans="11:14" x14ac:dyDescent="0.2">
      <c r="K213" s="501"/>
      <c r="L213" s="501"/>
      <c r="M213" s="501"/>
      <c r="N213" s="501"/>
    </row>
    <row r="214" spans="11:14" x14ac:dyDescent="0.2">
      <c r="K214" s="501"/>
      <c r="L214" s="501"/>
      <c r="M214" s="501"/>
      <c r="N214" s="501"/>
    </row>
    <row r="215" spans="11:14" x14ac:dyDescent="0.2">
      <c r="K215" s="501"/>
      <c r="L215" s="501"/>
      <c r="M215" s="501"/>
      <c r="N215" s="501"/>
    </row>
    <row r="216" spans="11:14" x14ac:dyDescent="0.2">
      <c r="K216" s="501"/>
      <c r="L216" s="501"/>
      <c r="M216" s="501"/>
      <c r="N216" s="501"/>
    </row>
    <row r="217" spans="11:14" x14ac:dyDescent="0.2">
      <c r="K217" s="501"/>
      <c r="L217" s="501"/>
      <c r="M217" s="501"/>
      <c r="N217" s="501"/>
    </row>
    <row r="218" spans="11:14" x14ac:dyDescent="0.2">
      <c r="K218" s="501"/>
      <c r="L218" s="501"/>
      <c r="M218" s="501"/>
      <c r="N218" s="501"/>
    </row>
    <row r="219" spans="11:14" x14ac:dyDescent="0.2">
      <c r="K219" s="501"/>
      <c r="L219" s="501"/>
      <c r="M219" s="501"/>
      <c r="N219" s="501"/>
    </row>
    <row r="220" spans="11:14" x14ac:dyDescent="0.2">
      <c r="K220" s="501"/>
      <c r="L220" s="501"/>
      <c r="M220" s="501"/>
      <c r="N220" s="501"/>
    </row>
    <row r="221" spans="11:14" x14ac:dyDescent="0.2">
      <c r="K221" s="501"/>
      <c r="L221" s="501"/>
      <c r="M221" s="501"/>
      <c r="N221" s="501"/>
    </row>
  </sheetData>
  <sortState xmlns:xlrd2="http://schemas.microsoft.com/office/spreadsheetml/2017/richdata2" ref="A12:A43">
    <sortCondition ref="A11"/>
  </sortState>
  <mergeCells count="3">
    <mergeCell ref="AA100:AB101"/>
    <mergeCell ref="R100:T101"/>
    <mergeCell ref="J100:O101"/>
  </mergeCells>
  <phoneticPr fontId="0" type="noConversion"/>
  <conditionalFormatting sqref="F3">
    <cfRule type="cellIs" dxfId="13" priority="78" operator="equal">
      <formula>"Yes"</formula>
    </cfRule>
    <cfRule type="cellIs" dxfId="12" priority="79" operator="equal">
      <formula>"NO"</formula>
    </cfRule>
  </conditionalFormatting>
  <conditionalFormatting sqref="D8">
    <cfRule type="cellIs" dxfId="11" priority="77" operator="notEqual">
      <formula>60</formula>
    </cfRule>
  </conditionalFormatting>
  <conditionalFormatting sqref="R12:AB12">
    <cfRule type="expression" dxfId="10" priority="52" stopIfTrue="1">
      <formula>R12&lt;&gt;#REF!</formula>
    </cfRule>
  </conditionalFormatting>
  <conditionalFormatting sqref="E9">
    <cfRule type="cellIs" dxfId="9" priority="47" operator="equal">
      <formula>"Inconsisten Heights"</formula>
    </cfRule>
  </conditionalFormatting>
  <conditionalFormatting sqref="Y14:AA18">
    <cfRule type="expression" dxfId="8" priority="10" stopIfTrue="1">
      <formula>Y14&lt;&gt;#REF!</formula>
    </cfRule>
  </conditionalFormatting>
  <conditionalFormatting sqref="AB14:AB18">
    <cfRule type="expression" dxfId="7" priority="9" stopIfTrue="1">
      <formula>AB14&lt;&gt;#REF!</formula>
    </cfRule>
  </conditionalFormatting>
  <conditionalFormatting sqref="M12:Q12">
    <cfRule type="expression" dxfId="6" priority="8" stopIfTrue="1">
      <formula>M12&lt;&gt;#REF!</formula>
    </cfRule>
  </conditionalFormatting>
  <conditionalFormatting sqref="M14:Q24">
    <cfRule type="expression" dxfId="5" priority="7" stopIfTrue="1">
      <formula>M14&lt;&gt;#REF!</formula>
    </cfRule>
  </conditionalFormatting>
  <conditionalFormatting sqref="F104:F140">
    <cfRule type="cellIs" dxfId="4" priority="6" operator="equal">
      <formula>"error"</formula>
    </cfRule>
  </conditionalFormatting>
  <conditionalFormatting sqref="R14:V18">
    <cfRule type="expression" dxfId="3" priority="2" stopIfTrue="1">
      <formula>R14&lt;&gt;#REF!</formula>
    </cfRule>
  </conditionalFormatting>
  <conditionalFormatting sqref="W14:W18">
    <cfRule type="expression" dxfId="2" priority="3" stopIfTrue="1">
      <formula>W14&lt;&gt;#REF!</formula>
    </cfRule>
  </conditionalFormatting>
  <conditionalFormatting sqref="X14:X18">
    <cfRule type="expression" dxfId="1" priority="1" stopIfTrue="1">
      <formula>X14&lt;&gt;#REF!</formula>
    </cfRule>
  </conditionalFormatting>
  <dataValidations count="4">
    <dataValidation type="list" allowBlank="1" showInputMessage="1" showErrorMessage="1" sqref="F3" xr:uid="{00000000-0002-0000-0D00-000000000000}">
      <formula1>"Yes,No"</formula1>
    </dataValidation>
    <dataValidation type="list" allowBlank="1" showInputMessage="1" showErrorMessage="1" sqref="H3" xr:uid="{00000000-0002-0000-0D00-000001000000}">
      <formula1>"PLW,LE"</formula1>
    </dataValidation>
    <dataValidation type="list" allowBlank="1" showInputMessage="1" showErrorMessage="1" sqref="E8" xr:uid="{00000000-0002-0000-0D00-000002000000}">
      <formula1>"inches, meters"</formula1>
    </dataValidation>
    <dataValidation type="list" allowBlank="1" showInputMessage="1" showErrorMessage="1" sqref="I3" xr:uid="{00000000-0002-0000-0D00-000003000000}">
      <formula1>"36,24,16"</formula1>
    </dataValidation>
  </dataValidations>
  <printOptions horizontalCentered="1"/>
  <pageMargins left="0.75" right="0.75" top="1" bottom="1" header="0.5" footer="0.5"/>
  <pageSetup paperSize="17" scale="42" orientation="landscape" r:id="rId1"/>
  <headerFooter alignWithMargins="0">
    <oddFooter>&amp;L&amp;F - &amp;A&amp;R&amp;T,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4" r:id="rId4" name="Button 6">
              <controlPr defaultSize="0" print="0" autoFill="0" autoLine="0" autoPict="0" macro="[0]!Main">
                <anchor moveWithCells="1" sizeWithCells="1">
                  <from>
                    <xdr:col>7</xdr:col>
                    <xdr:colOff>76200</xdr:colOff>
                    <xdr:row>8</xdr:row>
                    <xdr:rowOff>133350</xdr:rowOff>
                  </from>
                  <to>
                    <xdr:col>8</xdr:col>
                    <xdr:colOff>323850</xdr:colOff>
                    <xdr:row>9</xdr:row>
                    <xdr:rowOff>485775</xdr:rowOff>
                  </to>
                </anchor>
              </controlPr>
            </control>
          </mc:Choice>
        </mc:AlternateContent>
        <mc:AlternateContent xmlns:mc="http://schemas.openxmlformats.org/markup-compatibility/2006">
          <mc:Choice Requires="x14">
            <control shapeId="43212" r:id="rId5" name="Button 204">
              <controlPr defaultSize="0" print="0" autoFill="0" autoPict="0" macro="[0]!Sheet20.importESDUViewFile">
                <anchor moveWithCells="1" sizeWithCells="1">
                  <from>
                    <xdr:col>7</xdr:col>
                    <xdr:colOff>76200</xdr:colOff>
                    <xdr:row>5</xdr:row>
                    <xdr:rowOff>133350</xdr:rowOff>
                  </from>
                  <to>
                    <xdr:col>8</xdr:col>
                    <xdr:colOff>333375</xdr:colOff>
                    <xdr:row>8</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D00-000004000000}">
          <x14:formula1>
            <xm:f>'Profile Data'!$BQ$40:$BQ$47</xm:f>
          </x14:formula1>
          <xm:sqref>C3</xm:sqref>
        </x14:dataValidation>
        <x14:dataValidation type="list" showInputMessage="1" showErrorMessage="1" xr:uid="{00000000-0002-0000-0D00-000005000000}">
          <x14:formula1>
            <xm:f>'Profile Data'!$BQ$49:$BQ$57</xm:f>
          </x14:formula1>
          <xm:sqref>Q104:Q139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FFF00"/>
    <pageSetUpPr fitToPage="1"/>
  </sheetPr>
  <dimension ref="A1:CE394"/>
  <sheetViews>
    <sheetView workbookViewId="0"/>
  </sheetViews>
  <sheetFormatPr defaultRowHeight="15" x14ac:dyDescent="0.2"/>
  <cols>
    <col min="1" max="1" width="3" style="433" customWidth="1"/>
    <col min="4" max="21" width="10.28515625" customWidth="1"/>
    <col min="22" max="23" width="2.28515625" customWidth="1"/>
    <col min="24" max="24" width="2.7109375" customWidth="1"/>
    <col min="25" max="27" width="10.28515625" customWidth="1"/>
    <col min="48" max="48" width="11.5703125" customWidth="1"/>
  </cols>
  <sheetData>
    <row r="1" spans="1:83" ht="23.25" x14ac:dyDescent="0.35">
      <c r="B1" s="454" t="s">
        <v>373</v>
      </c>
      <c r="AC1" s="458"/>
      <c r="AD1" s="460" t="s">
        <v>374</v>
      </c>
      <c r="AE1" s="458"/>
      <c r="AF1" s="458"/>
      <c r="AG1" s="458"/>
      <c r="AH1" s="458"/>
      <c r="AI1" s="458"/>
      <c r="AJ1" s="458"/>
      <c r="AK1" s="458"/>
      <c r="AL1" s="458"/>
      <c r="AM1" s="458"/>
      <c r="AN1" s="458"/>
      <c r="AO1" s="458"/>
      <c r="AP1" s="458"/>
      <c r="AQ1" s="458"/>
      <c r="AR1" s="458"/>
      <c r="AS1" s="458"/>
    </row>
    <row r="2" spans="1:83" ht="23.25" x14ac:dyDescent="0.35">
      <c r="A2" s="365" t="s">
        <v>266</v>
      </c>
      <c r="T2" s="463" t="s">
        <v>382</v>
      </c>
      <c r="AC2" s="458"/>
      <c r="AD2" s="461" t="s">
        <v>375</v>
      </c>
      <c r="AU2" s="432" t="s">
        <v>370</v>
      </c>
      <c r="AV2" s="431"/>
      <c r="AW2" s="431"/>
      <c r="AX2" s="431"/>
      <c r="AY2" s="431"/>
      <c r="AZ2" s="431"/>
      <c r="BA2" s="431"/>
      <c r="BB2" s="431"/>
      <c r="BC2" s="431"/>
      <c r="BD2" s="431"/>
      <c r="BE2" s="431"/>
      <c r="BF2" s="431"/>
      <c r="BG2" s="431"/>
      <c r="BH2" s="431"/>
      <c r="BI2" s="431"/>
      <c r="BJ2" s="431"/>
      <c r="BK2" s="431"/>
      <c r="BL2" s="431"/>
      <c r="BM2" s="431"/>
    </row>
    <row r="3" spans="1:83" ht="23.25" x14ac:dyDescent="0.35">
      <c r="A3" s="365"/>
      <c r="AC3" s="458"/>
      <c r="AD3" s="456" t="s">
        <v>207</v>
      </c>
      <c r="AE3" s="456" t="s">
        <v>270</v>
      </c>
      <c r="AF3" s="456" t="s">
        <v>267</v>
      </c>
      <c r="AU3" s="448" t="s">
        <v>371</v>
      </c>
      <c r="AV3" s="431"/>
      <c r="AW3" s="431"/>
      <c r="AX3" s="431"/>
      <c r="AY3" s="431"/>
      <c r="AZ3" s="431"/>
      <c r="BA3" s="431"/>
      <c r="BB3" s="431"/>
      <c r="BC3" s="431"/>
      <c r="BD3" s="431"/>
      <c r="BE3" s="431"/>
      <c r="BF3" s="431"/>
      <c r="BG3" s="431"/>
      <c r="BH3" s="431"/>
      <c r="BI3" s="431"/>
      <c r="BJ3" s="431"/>
      <c r="BK3" s="431"/>
      <c r="BL3" s="431"/>
      <c r="BM3" s="431"/>
    </row>
    <row r="4" spans="1:83" ht="15.75" x14ac:dyDescent="0.25">
      <c r="A4" s="365"/>
      <c r="AC4" s="458"/>
      <c r="AD4" s="455" t="s">
        <v>376</v>
      </c>
      <c r="AE4" s="462">
        <f>RWDI_FACTORS!D33</f>
        <v>1.5</v>
      </c>
      <c r="AF4" s="23"/>
    </row>
    <row r="5" spans="1:83" ht="15.75" x14ac:dyDescent="0.25">
      <c r="A5" s="365"/>
      <c r="AC5" s="458"/>
      <c r="AU5" s="457">
        <v>1</v>
      </c>
      <c r="AV5" s="435" t="s">
        <v>362</v>
      </c>
      <c r="AW5" s="452" t="str">
        <f>RWDI_FACTORS!M46</f>
        <v>F</v>
      </c>
      <c r="AX5" s="452" t="str">
        <f>RWDI_FACTORS!N46</f>
        <v>G</v>
      </c>
      <c r="AY5" s="452" t="str">
        <f>RWDI_FACTORS!O46</f>
        <v>H</v>
      </c>
      <c r="AZ5" s="452" t="str">
        <f>RWDI_FACTORS!P46</f>
        <v>I</v>
      </c>
      <c r="BA5" s="452" t="str">
        <f>RWDI_FACTORS!Q46</f>
        <v>J</v>
      </c>
      <c r="BB5" s="452" t="str">
        <f>RWDI_FACTORS!R46</f>
        <v>K</v>
      </c>
      <c r="BC5" s="452" t="str">
        <f>RWDI_FACTORS!S46</f>
        <v>L</v>
      </c>
      <c r="BD5" s="452" t="str">
        <f>RWDI_FACTORS!T46</f>
        <v>M</v>
      </c>
      <c r="BE5" s="452" t="str">
        <f>RWDI_FACTORS!U46</f>
        <v>N</v>
      </c>
      <c r="BF5" s="452" t="str">
        <f>RWDI_FACTORS!V46</f>
        <v>O</v>
      </c>
      <c r="BG5" s="452" t="str">
        <f>RWDI_FACTORS!W46</f>
        <v>P</v>
      </c>
      <c r="BH5" s="452" t="str">
        <f>RWDI_FACTORS!X46</f>
        <v>Q</v>
      </c>
      <c r="BI5" s="452" t="str">
        <f>RWDI_FACTORS!Y46</f>
        <v>R</v>
      </c>
      <c r="BJ5" s="452" t="str">
        <f>RWDI_FACTORS!Z46</f>
        <v>S</v>
      </c>
      <c r="BK5" s="452" t="str">
        <f>RWDI_FACTORS!AA46</f>
        <v>T</v>
      </c>
      <c r="BL5" s="452" t="str">
        <f>RWDI_FACTORS!AB46</f>
        <v>U</v>
      </c>
      <c r="BM5" s="452"/>
      <c r="BO5" s="452" t="str">
        <f>AW5</f>
        <v>F</v>
      </c>
      <c r="BP5" s="452" t="str">
        <f t="shared" ref="BP5:CE5" si="0">AX5</f>
        <v>G</v>
      </c>
      <c r="BQ5" s="452" t="str">
        <f t="shared" si="0"/>
        <v>H</v>
      </c>
      <c r="BR5" s="452" t="str">
        <f t="shared" si="0"/>
        <v>I</v>
      </c>
      <c r="BS5" s="452" t="str">
        <f t="shared" si="0"/>
        <v>J</v>
      </c>
      <c r="BT5" s="452" t="str">
        <f t="shared" si="0"/>
        <v>K</v>
      </c>
      <c r="BU5" s="452" t="str">
        <f t="shared" si="0"/>
        <v>L</v>
      </c>
      <c r="BV5" s="452" t="str">
        <f t="shared" si="0"/>
        <v>M</v>
      </c>
      <c r="BW5" s="452" t="str">
        <f t="shared" si="0"/>
        <v>N</v>
      </c>
      <c r="BX5" s="452" t="str">
        <f t="shared" si="0"/>
        <v>O</v>
      </c>
      <c r="BY5" s="452" t="str">
        <f t="shared" si="0"/>
        <v>P</v>
      </c>
      <c r="BZ5" s="452" t="str">
        <f t="shared" si="0"/>
        <v>Q</v>
      </c>
      <c r="CA5" s="452" t="str">
        <f t="shared" si="0"/>
        <v>R</v>
      </c>
      <c r="CB5" s="452" t="str">
        <f t="shared" si="0"/>
        <v>S</v>
      </c>
      <c r="CC5" s="452" t="str">
        <f t="shared" si="0"/>
        <v>T</v>
      </c>
      <c r="CD5" s="452" t="str">
        <f t="shared" si="0"/>
        <v>U</v>
      </c>
      <c r="CE5" s="452">
        <f t="shared" si="0"/>
        <v>0</v>
      </c>
    </row>
    <row r="6" spans="1:83" ht="15.75" x14ac:dyDescent="0.25">
      <c r="A6" s="365"/>
      <c r="AC6" s="458"/>
      <c r="AD6" s="455" t="s">
        <v>377</v>
      </c>
      <c r="AU6" s="457">
        <f>AU5+1</f>
        <v>2</v>
      </c>
      <c r="AV6" s="436" t="s">
        <v>369</v>
      </c>
      <c r="AW6" s="453" t="str">
        <f>RWDI_FACTORS!M12</f>
        <v>10-30</v>
      </c>
      <c r="AX6" s="453" t="str">
        <f>RWDI_FACTORS!N12</f>
        <v>40-60</v>
      </c>
      <c r="AY6" s="453" t="str">
        <f>RWDI_FACTORS!O12</f>
        <v>70-90</v>
      </c>
      <c r="AZ6" s="453" t="str">
        <f>RWDI_FACTORS!P12</f>
        <v>100-120</v>
      </c>
      <c r="BA6" s="453" t="str">
        <f>RWDI_FACTORS!Q12</f>
        <v>130-150</v>
      </c>
      <c r="BB6" s="453" t="str">
        <f>RWDI_FACTORS!R12</f>
        <v>160-180.</v>
      </c>
      <c r="BC6" s="453" t="str">
        <f>RWDI_FACTORS!S12</f>
        <v>190-210</v>
      </c>
      <c r="BD6" s="453" t="str">
        <f>RWDI_FACTORS!T12</f>
        <v>220-240</v>
      </c>
      <c r="BE6" s="453" t="str">
        <f>RWDI_FACTORS!U12</f>
        <v>250-270</v>
      </c>
      <c r="BF6" s="453" t="str">
        <f>RWDI_FACTORS!V12</f>
        <v>280-300</v>
      </c>
      <c r="BG6" s="453" t="str">
        <f>RWDI_FACTORS!W12</f>
        <v>310-330</v>
      </c>
      <c r="BH6" s="453" t="str">
        <f>RWDI_FACTORS!X12</f>
        <v>340-360</v>
      </c>
      <c r="BI6" s="453">
        <f>RWDI_FACTORS!Y12</f>
        <v>0</v>
      </c>
      <c r="BJ6" s="453">
        <f>RWDI_FACTORS!Z12</f>
        <v>0</v>
      </c>
      <c r="BK6" s="453">
        <f>RWDI_FACTORS!AA12</f>
        <v>0</v>
      </c>
      <c r="BL6" s="453">
        <f>RWDI_FACTORS!AB12</f>
        <v>0</v>
      </c>
      <c r="BM6" s="516"/>
      <c r="BO6" s="453" t="str">
        <f>AD4</f>
        <v>Gust, gp =</v>
      </c>
      <c r="BP6" s="453">
        <f>AE4</f>
        <v>1.5</v>
      </c>
      <c r="BQ6" s="453"/>
      <c r="BR6" s="453"/>
      <c r="BS6" s="453"/>
      <c r="BT6" s="453"/>
      <c r="BU6" s="453"/>
      <c r="BV6" s="453"/>
      <c r="BW6" s="453"/>
      <c r="BX6" s="453"/>
      <c r="BY6" s="453"/>
      <c r="BZ6" s="453"/>
      <c r="CA6" s="453"/>
      <c r="CB6" s="453"/>
      <c r="CC6" s="453"/>
      <c r="CD6" s="453"/>
      <c r="CE6" s="453"/>
    </row>
    <row r="7" spans="1:83" ht="15.75" x14ac:dyDescent="0.25">
      <c r="A7" s="365"/>
      <c r="AC7" s="459">
        <f t="shared" ref="AC7:AC15" si="1">AV8</f>
        <v>10</v>
      </c>
      <c r="AD7" t="e">
        <f t="shared" ref="AD7:AD15" si="2">HLOOKUP(AD$3,$AW$5:$BM$41,$AU8)</f>
        <v>#N/A</v>
      </c>
      <c r="AE7">
        <f t="shared" ref="AE7:AF15" si="3">HLOOKUP(AE$3,$AW$5:$BM$41,$AU8)</f>
        <v>0.32184975829545087</v>
      </c>
      <c r="AF7">
        <f t="shared" si="3"/>
        <v>0.69969638884101248</v>
      </c>
      <c r="AU7" s="457">
        <f t="shared" ref="AU7:AU41" si="4">AU6+1</f>
        <v>3</v>
      </c>
      <c r="AV7" s="437" t="s">
        <v>364</v>
      </c>
      <c r="AW7" s="438" t="s">
        <v>372</v>
      </c>
      <c r="AX7" s="439"/>
      <c r="AY7" s="439"/>
      <c r="AZ7" s="439"/>
      <c r="BA7" s="439"/>
      <c r="BB7" s="439"/>
      <c r="BC7" s="439"/>
      <c r="BD7" s="439"/>
      <c r="BE7" s="439"/>
      <c r="BF7" s="439"/>
      <c r="BG7" s="439"/>
      <c r="BH7" s="439"/>
      <c r="BI7" s="439"/>
      <c r="BJ7" s="439"/>
      <c r="BK7" s="439"/>
      <c r="BL7" s="439"/>
      <c r="BM7" s="439"/>
      <c r="BO7" s="438" t="s">
        <v>379</v>
      </c>
      <c r="BP7" s="439"/>
      <c r="BQ7" s="439"/>
      <c r="BR7" s="439"/>
      <c r="BS7" s="439"/>
      <c r="BT7" s="439"/>
      <c r="BU7" s="439"/>
      <c r="BV7" s="439"/>
      <c r="BW7" s="439"/>
      <c r="BX7" s="439"/>
      <c r="BY7" s="439"/>
      <c r="BZ7" s="439"/>
      <c r="CA7" s="439"/>
      <c r="CB7" s="439"/>
      <c r="CC7" s="439"/>
      <c r="CD7" s="439"/>
      <c r="CE7" s="439"/>
    </row>
    <row r="8" spans="1:83" ht="15.75" x14ac:dyDescent="0.25">
      <c r="A8" s="365"/>
      <c r="AC8" s="459">
        <f t="shared" si="1"/>
        <v>30</v>
      </c>
      <c r="AD8" t="e">
        <f t="shared" si="2"/>
        <v>#N/A</v>
      </c>
      <c r="AE8">
        <f t="shared" si="3"/>
        <v>0.61835588172930156</v>
      </c>
      <c r="AF8">
        <f t="shared" si="3"/>
        <v>0.82681581763668688</v>
      </c>
      <c r="AU8" s="457">
        <f t="shared" si="4"/>
        <v>4</v>
      </c>
      <c r="AV8" s="440">
        <f>'Wind speed'!B9</f>
        <v>10</v>
      </c>
      <c r="AW8" s="439">
        <f>'Wind speed'!H9/'Wind speed'!H$23</f>
        <v>0.73904183231475307</v>
      </c>
      <c r="AX8" s="439">
        <f>'Wind speed'!I9/'Wind speed'!I$23</f>
        <v>0.69969638884101248</v>
      </c>
      <c r="AY8" s="439">
        <f>'Wind speed'!J9/'Wind speed'!J$23</f>
        <v>0.63497081769649288</v>
      </c>
      <c r="AZ8" s="439">
        <f>'Wind speed'!K9/'Wind speed'!K$23</f>
        <v>0.53945659286291781</v>
      </c>
      <c r="BA8" s="439">
        <f>'Wind speed'!L9/'Wind speed'!L$23</f>
        <v>0.32184975829545087</v>
      </c>
      <c r="BB8" s="439">
        <f>'Wind speed'!M9/'Wind speed'!M$23</f>
        <v>0.73904183231475307</v>
      </c>
      <c r="BC8" s="439">
        <f>'Wind speed'!N9/'Wind speed'!N$23</f>
        <v>0.69969638884101248</v>
      </c>
      <c r="BD8" s="439">
        <f>'Wind speed'!O9/'Wind speed'!O$23</f>
        <v>0.63497081769649288</v>
      </c>
      <c r="BE8" s="439">
        <f>'Wind speed'!P9/'Wind speed'!P$23</f>
        <v>0.53945659286291781</v>
      </c>
      <c r="BF8" s="439">
        <f>'Wind speed'!Q9/'Wind speed'!Q$23</f>
        <v>0.32184975829545087</v>
      </c>
      <c r="BG8" s="439">
        <f>'Wind speed'!R9/'Wind speed'!R$23</f>
        <v>0.42657265698056979</v>
      </c>
      <c r="BH8" s="439">
        <f>'Wind speed'!S9/'Wind speed'!S$23</f>
        <v>0.51033220881565133</v>
      </c>
      <c r="BI8" s="439" t="e">
        <f>'Wind speed'!T9/'Wind speed'!T$23</f>
        <v>#DIV/0!</v>
      </c>
      <c r="BJ8" s="439" t="e">
        <f>'Wind speed'!U9/'Wind speed'!U$23</f>
        <v>#DIV/0!</v>
      </c>
      <c r="BK8" s="439" t="e">
        <f>'Wind speed'!V9/'Wind speed'!V$23</f>
        <v>#DIV/0!</v>
      </c>
      <c r="BL8" s="439" t="e">
        <f>'Wind speed'!W9/'Wind speed'!W$23</f>
        <v>#DIV/0!</v>
      </c>
      <c r="BM8" s="439"/>
      <c r="BO8" s="439">
        <f>AW8*(1+$BP$6*AW26)</f>
        <v>0.89561502252490865</v>
      </c>
      <c r="BP8" s="439">
        <f t="shared" ref="BP8:CE8" si="5">AX8*(1+$BP$6*AX26)</f>
        <v>0.8739450034361268</v>
      </c>
      <c r="BQ8" s="439">
        <f t="shared" si="5"/>
        <v>0.83624141721828038</v>
      </c>
      <c r="BR8" s="439">
        <f t="shared" si="5"/>
        <v>0.76785016253388938</v>
      </c>
      <c r="BS8" s="439">
        <f t="shared" si="5"/>
        <v>0.59399555199131748</v>
      </c>
      <c r="BT8" s="439">
        <f t="shared" si="5"/>
        <v>0.89561502252490865</v>
      </c>
      <c r="BU8" s="439">
        <f t="shared" si="5"/>
        <v>0.8739450034361268</v>
      </c>
      <c r="BV8" s="439">
        <f t="shared" si="5"/>
        <v>0.83624141721828038</v>
      </c>
      <c r="BW8" s="439">
        <f t="shared" si="5"/>
        <v>0.76785016253388938</v>
      </c>
      <c r="BX8" s="439">
        <f t="shared" si="5"/>
        <v>0.59399555199131748</v>
      </c>
      <c r="BY8" s="439">
        <f t="shared" si="5"/>
        <v>0.67926382777174688</v>
      </c>
      <c r="BZ8" s="439">
        <f t="shared" si="5"/>
        <v>0.74596465730775352</v>
      </c>
      <c r="CA8" s="439" t="e">
        <f t="shared" si="5"/>
        <v>#DIV/0!</v>
      </c>
      <c r="CB8" s="439" t="e">
        <f t="shared" si="5"/>
        <v>#DIV/0!</v>
      </c>
      <c r="CC8" s="439" t="e">
        <f t="shared" si="5"/>
        <v>#DIV/0!</v>
      </c>
      <c r="CD8" s="439" t="e">
        <f t="shared" si="5"/>
        <v>#DIV/0!</v>
      </c>
      <c r="CE8" s="439">
        <f t="shared" si="5"/>
        <v>0</v>
      </c>
    </row>
    <row r="9" spans="1:83" ht="15.75" x14ac:dyDescent="0.25">
      <c r="A9" s="365"/>
      <c r="AC9" s="459">
        <f t="shared" si="1"/>
        <v>50</v>
      </c>
      <c r="AD9" t="e">
        <f t="shared" si="2"/>
        <v>#N/A</v>
      </c>
      <c r="AE9">
        <f t="shared" si="3"/>
        <v>0.75899194418617144</v>
      </c>
      <c r="AF9">
        <f t="shared" si="3"/>
        <v>0.88792066167268779</v>
      </c>
      <c r="AU9" s="457">
        <f t="shared" si="4"/>
        <v>5</v>
      </c>
      <c r="AV9" s="440">
        <f>'Wind speed'!B10</f>
        <v>30</v>
      </c>
      <c r="AW9" s="439">
        <f>'Wind speed'!H10/'Wind speed'!H$23</f>
        <v>0.84913767063209744</v>
      </c>
      <c r="AX9" s="439">
        <f>'Wind speed'!I10/'Wind speed'!I$23</f>
        <v>0.82681581763668688</v>
      </c>
      <c r="AY9" s="439">
        <f>'Wind speed'!J10/'Wind speed'!J$23</f>
        <v>0.79009382813740281</v>
      </c>
      <c r="AZ9" s="439">
        <f>'Wind speed'!K10/'Wind speed'!K$23</f>
        <v>0.74096539335403477</v>
      </c>
      <c r="BA9" s="439">
        <f>'Wind speed'!L10/'Wind speed'!L$23</f>
        <v>0.61835588172930156</v>
      </c>
      <c r="BB9" s="439">
        <f>'Wind speed'!M10/'Wind speed'!M$23</f>
        <v>0.84913767063209744</v>
      </c>
      <c r="BC9" s="439">
        <f>'Wind speed'!N10/'Wind speed'!N$23</f>
        <v>0.82681581763668688</v>
      </c>
      <c r="BD9" s="439">
        <f>'Wind speed'!O10/'Wind speed'!O$23</f>
        <v>0.79009382813740281</v>
      </c>
      <c r="BE9" s="439">
        <f>'Wind speed'!P10/'Wind speed'!P$23</f>
        <v>0.74096539335403477</v>
      </c>
      <c r="BF9" s="439">
        <f>'Wind speed'!Q10/'Wind speed'!Q$23</f>
        <v>0.61835588172930156</v>
      </c>
      <c r="BG9" s="439">
        <f>'Wind speed'!R10/'Wind speed'!R$23</f>
        <v>0.67705809218017587</v>
      </c>
      <c r="BH9" s="439">
        <f>'Wind speed'!S10/'Wind speed'!S$23</f>
        <v>0.72482133150679939</v>
      </c>
      <c r="BI9" s="439" t="e">
        <f>'Wind speed'!T10/'Wind speed'!T$23</f>
        <v>#DIV/0!</v>
      </c>
      <c r="BJ9" s="439" t="e">
        <f>'Wind speed'!U10/'Wind speed'!U$23</f>
        <v>#DIV/0!</v>
      </c>
      <c r="BK9" s="439" t="e">
        <f>'Wind speed'!V10/'Wind speed'!V$23</f>
        <v>#DIV/0!</v>
      </c>
      <c r="BL9" s="439" t="e">
        <f>'Wind speed'!W10/'Wind speed'!W$23</f>
        <v>#DIV/0!</v>
      </c>
      <c r="BM9" s="439"/>
      <c r="BO9" s="439">
        <f t="shared" ref="BO9:CE9" si="6">AW9*(1+$BP$6*AW27)</f>
        <v>1.012390882549681</v>
      </c>
      <c r="BP9" s="439">
        <f t="shared" si="6"/>
        <v>1.0120409839737712</v>
      </c>
      <c r="BQ9" s="439">
        <f t="shared" si="6"/>
        <v>1.0093347388693323</v>
      </c>
      <c r="BR9" s="439">
        <f t="shared" si="6"/>
        <v>0.9967492152572287</v>
      </c>
      <c r="BS9" s="439">
        <f t="shared" si="6"/>
        <v>0.93440935707419415</v>
      </c>
      <c r="BT9" s="439">
        <f t="shared" si="6"/>
        <v>1.012390882549681</v>
      </c>
      <c r="BU9" s="439">
        <f t="shared" si="6"/>
        <v>1.0120409839737712</v>
      </c>
      <c r="BV9" s="439">
        <f t="shared" si="6"/>
        <v>1.0093347388693323</v>
      </c>
      <c r="BW9" s="439">
        <f t="shared" si="6"/>
        <v>0.9967492152572287</v>
      </c>
      <c r="BX9" s="439">
        <f t="shared" si="6"/>
        <v>0.93440935707419415</v>
      </c>
      <c r="BY9" s="439">
        <f t="shared" si="6"/>
        <v>0.96599313844290036</v>
      </c>
      <c r="BZ9" s="439">
        <f t="shared" si="6"/>
        <v>0.99042606430516522</v>
      </c>
      <c r="CA9" s="439" t="e">
        <f t="shared" si="6"/>
        <v>#DIV/0!</v>
      </c>
      <c r="CB9" s="439" t="e">
        <f t="shared" si="6"/>
        <v>#DIV/0!</v>
      </c>
      <c r="CC9" s="439" t="e">
        <f t="shared" si="6"/>
        <v>#DIV/0!</v>
      </c>
      <c r="CD9" s="439" t="e">
        <f t="shared" si="6"/>
        <v>#DIV/0!</v>
      </c>
      <c r="CE9" s="439">
        <f t="shared" si="6"/>
        <v>0</v>
      </c>
    </row>
    <row r="10" spans="1:83" ht="15.75" x14ac:dyDescent="0.25">
      <c r="A10" s="365"/>
      <c r="AC10" s="459">
        <f t="shared" si="1"/>
        <v>100</v>
      </c>
      <c r="AD10" t="e">
        <f t="shared" si="2"/>
        <v>#N/A</v>
      </c>
      <c r="AE10">
        <f t="shared" si="3"/>
        <v>0.95028459254559428</v>
      </c>
      <c r="AF10">
        <f t="shared" si="3"/>
        <v>0.97505203485024694</v>
      </c>
      <c r="AU10" s="457">
        <f t="shared" si="4"/>
        <v>6</v>
      </c>
      <c r="AV10" s="440">
        <f>'Wind speed'!B11</f>
        <v>50</v>
      </c>
      <c r="AW10" s="439">
        <f>'Wind speed'!H11/'Wind speed'!H$23</f>
        <v>0.90220456083833089</v>
      </c>
      <c r="AX10" s="439">
        <f>'Wind speed'!I11/'Wind speed'!I$23</f>
        <v>0.88792066167268779</v>
      </c>
      <c r="AY10" s="439">
        <f>'Wind speed'!J11/'Wind speed'!J$23</f>
        <v>0.86442189490606791</v>
      </c>
      <c r="AZ10" s="439">
        <f>'Wind speed'!K11/'Wind speed'!K$23</f>
        <v>0.83705586338978955</v>
      </c>
      <c r="BA10" s="439">
        <f>'Wind speed'!L11/'Wind speed'!L$23</f>
        <v>0.75899194418617144</v>
      </c>
      <c r="BB10" s="439">
        <f>'Wind speed'!M11/'Wind speed'!M$23</f>
        <v>0.90220456083833089</v>
      </c>
      <c r="BC10" s="439">
        <f>'Wind speed'!N11/'Wind speed'!N$23</f>
        <v>0.88792066167268779</v>
      </c>
      <c r="BD10" s="439">
        <f>'Wind speed'!O11/'Wind speed'!O$23</f>
        <v>0.86442189490606791</v>
      </c>
      <c r="BE10" s="439">
        <f>'Wind speed'!P11/'Wind speed'!P$23</f>
        <v>0.83705586338978955</v>
      </c>
      <c r="BF10" s="439">
        <f>'Wind speed'!Q11/'Wind speed'!Q$23</f>
        <v>0.75899194418617144</v>
      </c>
      <c r="BG10" s="439">
        <f>'Wind speed'!R11/'Wind speed'!R$23</f>
        <v>0.79612214829291428</v>
      </c>
      <c r="BH10" s="439">
        <f>'Wind speed'!S11/'Wind speed'!S$23</f>
        <v>0.82700758416419262</v>
      </c>
      <c r="BI10" s="439" t="e">
        <f>'Wind speed'!T11/'Wind speed'!T$23</f>
        <v>#DIV/0!</v>
      </c>
      <c r="BJ10" s="439" t="e">
        <f>'Wind speed'!U11/'Wind speed'!U$23</f>
        <v>#DIV/0!</v>
      </c>
      <c r="BK10" s="439" t="e">
        <f>'Wind speed'!V11/'Wind speed'!V$23</f>
        <v>#DIV/0!</v>
      </c>
      <c r="BL10" s="439" t="e">
        <f>'Wind speed'!W11/'Wind speed'!W$23</f>
        <v>#DIV/0!</v>
      </c>
      <c r="BM10" s="439"/>
      <c r="BO10" s="439">
        <f t="shared" ref="BO10:CE10" si="7">AW10*(1+$BP$6*AW28)</f>
        <v>1.0649101839079893</v>
      </c>
      <c r="BP10" s="439">
        <f t="shared" si="7"/>
        <v>1.0749745392222505</v>
      </c>
      <c r="BQ10" s="439">
        <f t="shared" si="7"/>
        <v>1.0893773576010257</v>
      </c>
      <c r="BR10" s="439">
        <f t="shared" si="7"/>
        <v>1.1032180247151162</v>
      </c>
      <c r="BS10" s="439">
        <f t="shared" si="7"/>
        <v>1.0938324974323679</v>
      </c>
      <c r="BT10" s="439">
        <f t="shared" si="7"/>
        <v>1.0649101839079893</v>
      </c>
      <c r="BU10" s="439">
        <f t="shared" si="7"/>
        <v>1.0749745392222505</v>
      </c>
      <c r="BV10" s="439">
        <f t="shared" si="7"/>
        <v>1.0893773576010257</v>
      </c>
      <c r="BW10" s="439">
        <f t="shared" si="7"/>
        <v>1.1032180247151162</v>
      </c>
      <c r="BX10" s="439">
        <f t="shared" si="7"/>
        <v>1.0938324974323679</v>
      </c>
      <c r="BY10" s="439">
        <f t="shared" si="7"/>
        <v>1.1001235597193737</v>
      </c>
      <c r="BZ10" s="439">
        <f t="shared" si="7"/>
        <v>1.1043569812229495</v>
      </c>
      <c r="CA10" s="439" t="e">
        <f t="shared" si="7"/>
        <v>#DIV/0!</v>
      </c>
      <c r="CB10" s="439" t="e">
        <f t="shared" si="7"/>
        <v>#DIV/0!</v>
      </c>
      <c r="CC10" s="439" t="e">
        <f t="shared" si="7"/>
        <v>#DIV/0!</v>
      </c>
      <c r="CD10" s="439" t="e">
        <f t="shared" si="7"/>
        <v>#DIV/0!</v>
      </c>
      <c r="CE10" s="439">
        <f t="shared" si="7"/>
        <v>0</v>
      </c>
    </row>
    <row r="11" spans="1:83" ht="15.75" x14ac:dyDescent="0.25">
      <c r="A11" s="365"/>
      <c r="AC11" s="459">
        <f t="shared" si="1"/>
        <v>150</v>
      </c>
      <c r="AD11" t="e">
        <f t="shared" si="2"/>
        <v>#N/A</v>
      </c>
      <c r="AE11">
        <f t="shared" si="3"/>
        <v>1.0607214334257682</v>
      </c>
      <c r="AF11">
        <f t="shared" si="3"/>
        <v>1.0297853347336801</v>
      </c>
      <c r="AU11" s="457">
        <f t="shared" si="4"/>
        <v>7</v>
      </c>
      <c r="AV11" s="440">
        <f>'Wind speed'!B12</f>
        <v>100</v>
      </c>
      <c r="AW11" s="439">
        <f>'Wind speed'!H12/'Wind speed'!H$23</f>
        <v>0.97816622092630823</v>
      </c>
      <c r="AX11" s="439">
        <f>'Wind speed'!I12/'Wind speed'!I$23</f>
        <v>0.97505203485024694</v>
      </c>
      <c r="AY11" s="439">
        <f>'Wind speed'!J12/'Wind speed'!J$23</f>
        <v>0.96992905960006193</v>
      </c>
      <c r="AZ11" s="439">
        <f>'Wind speed'!K12/'Wind speed'!K$23</f>
        <v>0.96356308780278666</v>
      </c>
      <c r="BA11" s="439">
        <f>'Wind speed'!L12/'Wind speed'!L$23</f>
        <v>0.95028459254559428</v>
      </c>
      <c r="BB11" s="439">
        <f>'Wind speed'!M12/'Wind speed'!M$23</f>
        <v>0.97816622092630823</v>
      </c>
      <c r="BC11" s="439">
        <f>'Wind speed'!N12/'Wind speed'!N$23</f>
        <v>0.97505203485024694</v>
      </c>
      <c r="BD11" s="439">
        <f>'Wind speed'!O12/'Wind speed'!O$23</f>
        <v>0.96992905960006193</v>
      </c>
      <c r="BE11" s="439">
        <f>'Wind speed'!P12/'Wind speed'!P$23</f>
        <v>0.96356308780278666</v>
      </c>
      <c r="BF11" s="439">
        <f>'Wind speed'!Q12/'Wind speed'!Q$23</f>
        <v>0.95028459254559428</v>
      </c>
      <c r="BG11" s="439">
        <f>'Wind speed'!R12/'Wind speed'!R$23</f>
        <v>0.95545311879403139</v>
      </c>
      <c r="BH11" s="439">
        <f>'Wind speed'!S12/'Wind speed'!S$23</f>
        <v>0.96240372012754438</v>
      </c>
      <c r="BI11" s="439" t="e">
        <f>'Wind speed'!T12/'Wind speed'!T$23</f>
        <v>#DIV/0!</v>
      </c>
      <c r="BJ11" s="439" t="e">
        <f>'Wind speed'!U12/'Wind speed'!U$23</f>
        <v>#DIV/0!</v>
      </c>
      <c r="BK11" s="439" t="e">
        <f>'Wind speed'!V12/'Wind speed'!V$23</f>
        <v>#DIV/0!</v>
      </c>
      <c r="BL11" s="439" t="e">
        <f>'Wind speed'!W12/'Wind speed'!W$23</f>
        <v>#DIV/0!</v>
      </c>
      <c r="BM11" s="439"/>
      <c r="BO11" s="439">
        <f t="shared" ref="BO11:CE11" si="8">AW11*(1+$BP$6*AW29)</f>
        <v>1.133684141352608</v>
      </c>
      <c r="BP11" s="439">
        <f t="shared" si="8"/>
        <v>1.158234478959391</v>
      </c>
      <c r="BQ11" s="439">
        <f t="shared" si="8"/>
        <v>1.1967367108123246</v>
      </c>
      <c r="BR11" s="439">
        <f t="shared" si="8"/>
        <v>1.2360874307164929</v>
      </c>
      <c r="BS11" s="439">
        <f t="shared" si="8"/>
        <v>1.3032773720605579</v>
      </c>
      <c r="BT11" s="439">
        <f t="shared" si="8"/>
        <v>1.133684141352608</v>
      </c>
      <c r="BU11" s="439">
        <f t="shared" si="8"/>
        <v>1.158234478959391</v>
      </c>
      <c r="BV11" s="439">
        <f t="shared" si="8"/>
        <v>1.1967367108123246</v>
      </c>
      <c r="BW11" s="439">
        <f t="shared" si="8"/>
        <v>1.2360874307164929</v>
      </c>
      <c r="BX11" s="439">
        <f t="shared" si="8"/>
        <v>1.3032773720605579</v>
      </c>
      <c r="BY11" s="439">
        <f t="shared" si="8"/>
        <v>1.2730536183417593</v>
      </c>
      <c r="BZ11" s="439">
        <f t="shared" si="8"/>
        <v>1.2478062820246181</v>
      </c>
      <c r="CA11" s="439" t="e">
        <f t="shared" si="8"/>
        <v>#DIV/0!</v>
      </c>
      <c r="CB11" s="439" t="e">
        <f t="shared" si="8"/>
        <v>#DIV/0!</v>
      </c>
      <c r="CC11" s="439" t="e">
        <f t="shared" si="8"/>
        <v>#DIV/0!</v>
      </c>
      <c r="CD11" s="439" t="e">
        <f t="shared" si="8"/>
        <v>#DIV/0!</v>
      </c>
      <c r="CE11" s="439">
        <f t="shared" si="8"/>
        <v>0</v>
      </c>
    </row>
    <row r="12" spans="1:83" ht="15.75" x14ac:dyDescent="0.25">
      <c r="A12" s="365"/>
      <c r="AC12" s="459">
        <f t="shared" si="1"/>
        <v>200</v>
      </c>
      <c r="AD12" t="e">
        <f t="shared" si="2"/>
        <v>#N/A</v>
      </c>
      <c r="AE12">
        <f t="shared" si="3"/>
        <v>1.1464170343080651</v>
      </c>
      <c r="AF12">
        <f t="shared" si="3"/>
        <v>1.0711950292148167</v>
      </c>
      <c r="AU12" s="457">
        <f t="shared" si="4"/>
        <v>8</v>
      </c>
      <c r="AV12" s="440">
        <f>'Wind speed'!B13</f>
        <v>150</v>
      </c>
      <c r="AW12" s="439">
        <f>'Wind speed'!H13/'Wind speed'!H$23</f>
        <v>1.0261252398843985</v>
      </c>
      <c r="AX12" s="439">
        <f>'Wind speed'!I13/'Wind speed'!I$23</f>
        <v>1.0297853347336801</v>
      </c>
      <c r="AY12" s="439">
        <f>'Wind speed'!J13/'Wind speed'!J$23</f>
        <v>1.0358057021557656</v>
      </c>
      <c r="AZ12" s="439">
        <f>'Wind speed'!K13/'Wind speed'!K$23</f>
        <v>1.0443308798791107</v>
      </c>
      <c r="BA12" s="439">
        <f>'Wind speed'!L13/'Wind speed'!L$23</f>
        <v>1.0607214334257682</v>
      </c>
      <c r="BB12" s="439">
        <f>'Wind speed'!M13/'Wind speed'!M$23</f>
        <v>1.0261252398843985</v>
      </c>
      <c r="BC12" s="439">
        <f>'Wind speed'!N13/'Wind speed'!N$23</f>
        <v>1.0297853347336801</v>
      </c>
      <c r="BD12" s="439">
        <f>'Wind speed'!O13/'Wind speed'!O$23</f>
        <v>1.0358057021557656</v>
      </c>
      <c r="BE12" s="439">
        <f>'Wind speed'!P13/'Wind speed'!P$23</f>
        <v>1.0443308798791107</v>
      </c>
      <c r="BF12" s="439">
        <f>'Wind speed'!Q13/'Wind speed'!Q$23</f>
        <v>1.0607214334257682</v>
      </c>
      <c r="BG12" s="439">
        <f>'Wind speed'!R13/'Wind speed'!R$23</f>
        <v>1.0530035590165847</v>
      </c>
      <c r="BH12" s="439">
        <f>'Wind speed'!S13/'Wind speed'!S$23</f>
        <v>1.0463368728505624</v>
      </c>
      <c r="BI12" s="439" t="e">
        <f>'Wind speed'!T13/'Wind speed'!T$23</f>
        <v>#DIV/0!</v>
      </c>
      <c r="BJ12" s="439" t="e">
        <f>'Wind speed'!U13/'Wind speed'!U$23</f>
        <v>#DIV/0!</v>
      </c>
      <c r="BK12" s="439" t="e">
        <f>'Wind speed'!V13/'Wind speed'!V$23</f>
        <v>#DIV/0!</v>
      </c>
      <c r="BL12" s="439" t="e">
        <f>'Wind speed'!W13/'Wind speed'!W$23</f>
        <v>#DIV/0!</v>
      </c>
      <c r="BM12" s="439"/>
      <c r="BO12" s="439">
        <f t="shared" ref="BO12:CE12" si="9">AW12*(1+$BP$6*AW30)</f>
        <v>1.1733789089171178</v>
      </c>
      <c r="BP12" s="439">
        <f t="shared" si="9"/>
        <v>1.2062501418928762</v>
      </c>
      <c r="BQ12" s="439">
        <f t="shared" si="9"/>
        <v>1.2589665607021256</v>
      </c>
      <c r="BR12" s="439">
        <f t="shared" si="9"/>
        <v>1.3133600841722852</v>
      </c>
      <c r="BS12" s="439">
        <f t="shared" si="9"/>
        <v>1.4156298497387061</v>
      </c>
      <c r="BT12" s="439">
        <f t="shared" si="9"/>
        <v>1.1733789089171178</v>
      </c>
      <c r="BU12" s="439">
        <f t="shared" si="9"/>
        <v>1.2062501418928762</v>
      </c>
      <c r="BV12" s="439">
        <f t="shared" si="9"/>
        <v>1.2589665607021256</v>
      </c>
      <c r="BW12" s="439">
        <f t="shared" si="9"/>
        <v>1.3133600841722852</v>
      </c>
      <c r="BX12" s="439">
        <f t="shared" si="9"/>
        <v>1.4156298497387061</v>
      </c>
      <c r="BY12" s="439">
        <f t="shared" si="9"/>
        <v>1.3707488798609218</v>
      </c>
      <c r="BZ12" s="439">
        <f t="shared" si="9"/>
        <v>1.3288387685353824</v>
      </c>
      <c r="CA12" s="439" t="e">
        <f t="shared" si="9"/>
        <v>#DIV/0!</v>
      </c>
      <c r="CB12" s="439" t="e">
        <f t="shared" si="9"/>
        <v>#DIV/0!</v>
      </c>
      <c r="CC12" s="439" t="e">
        <f t="shared" si="9"/>
        <v>#DIV/0!</v>
      </c>
      <c r="CD12" s="439" t="e">
        <f t="shared" si="9"/>
        <v>#DIV/0!</v>
      </c>
      <c r="CE12" s="439">
        <f t="shared" si="9"/>
        <v>0</v>
      </c>
    </row>
    <row r="13" spans="1:83" ht="15.75" x14ac:dyDescent="0.25">
      <c r="A13" s="365"/>
      <c r="AC13" s="459">
        <f t="shared" si="1"/>
        <v>300</v>
      </c>
      <c r="AD13" t="e">
        <f t="shared" si="2"/>
        <v>#N/A</v>
      </c>
      <c r="AE13">
        <f t="shared" si="3"/>
        <v>1.2770867427492123</v>
      </c>
      <c r="AF13">
        <f t="shared" si="3"/>
        <v>1.1346316199950908</v>
      </c>
      <c r="AU13" s="457">
        <f t="shared" si="4"/>
        <v>9</v>
      </c>
      <c r="AV13" s="440">
        <f>'Wind speed'!B14</f>
        <v>200</v>
      </c>
      <c r="AW13" s="439">
        <f>'Wind speed'!H14/'Wind speed'!H$23</f>
        <v>1.0625583997248218</v>
      </c>
      <c r="AX13" s="439">
        <f>'Wind speed'!I14/'Wind speed'!I$23</f>
        <v>1.0711950292148167</v>
      </c>
      <c r="AY13" s="439">
        <f>'Wind speed'!J14/'Wind speed'!J$23</f>
        <v>1.0853988891292607</v>
      </c>
      <c r="AZ13" s="439">
        <f>'Wind speed'!K14/'Wind speed'!K$23</f>
        <v>1.1065896901290559</v>
      </c>
      <c r="BA13" s="439">
        <f>'Wind speed'!L14/'Wind speed'!L$23</f>
        <v>1.1464170343080651</v>
      </c>
      <c r="BB13" s="439">
        <f>'Wind speed'!M14/'Wind speed'!M$23</f>
        <v>1.0625583997248218</v>
      </c>
      <c r="BC13" s="439">
        <f>'Wind speed'!N14/'Wind speed'!N$23</f>
        <v>1.0711950292148167</v>
      </c>
      <c r="BD13" s="439">
        <f>'Wind speed'!O14/'Wind speed'!O$23</f>
        <v>1.0853988891292607</v>
      </c>
      <c r="BE13" s="439">
        <f>'Wind speed'!P14/'Wind speed'!P$23</f>
        <v>1.1065896901290559</v>
      </c>
      <c r="BF13" s="439">
        <f>'Wind speed'!Q14/'Wind speed'!Q$23</f>
        <v>1.1464170343080651</v>
      </c>
      <c r="BG13" s="439">
        <f>'Wind speed'!R14/'Wind speed'!R$23</f>
        <v>1.1258845751521196</v>
      </c>
      <c r="BH13" s="439">
        <f>'Wind speed'!S14/'Wind speed'!S$23</f>
        <v>1.1121553991621218</v>
      </c>
      <c r="BI13" s="439" t="e">
        <f>'Wind speed'!T14/'Wind speed'!T$23</f>
        <v>#DIV/0!</v>
      </c>
      <c r="BJ13" s="439" t="e">
        <f>'Wind speed'!U14/'Wind speed'!U$23</f>
        <v>#DIV/0!</v>
      </c>
      <c r="BK13" s="439" t="e">
        <f>'Wind speed'!V14/'Wind speed'!V$23</f>
        <v>#DIV/0!</v>
      </c>
      <c r="BL13" s="439" t="e">
        <f>'Wind speed'!W14/'Wind speed'!W$23</f>
        <v>#DIV/0!</v>
      </c>
      <c r="BM13" s="439"/>
      <c r="BO13" s="439">
        <f t="shared" ref="BO13:CE13" si="10">AW13*(1+$BP$6*AW31)</f>
        <v>1.2023450408312384</v>
      </c>
      <c r="BP13" s="439">
        <f t="shared" si="10"/>
        <v>1.2408421475171276</v>
      </c>
      <c r="BQ13" s="439">
        <f t="shared" si="10"/>
        <v>1.3034063597214587</v>
      </c>
      <c r="BR13" s="439">
        <f t="shared" si="10"/>
        <v>1.3687371318402282</v>
      </c>
      <c r="BS13" s="439">
        <f t="shared" si="10"/>
        <v>1.4961366824991245</v>
      </c>
      <c r="BT13" s="439">
        <f t="shared" si="10"/>
        <v>1.2023450408312384</v>
      </c>
      <c r="BU13" s="439">
        <f t="shared" si="10"/>
        <v>1.2408421475171276</v>
      </c>
      <c r="BV13" s="439">
        <f t="shared" si="10"/>
        <v>1.3034063597214587</v>
      </c>
      <c r="BW13" s="439">
        <f t="shared" si="10"/>
        <v>1.3687371318402282</v>
      </c>
      <c r="BX13" s="439">
        <f t="shared" si="10"/>
        <v>1.4961366824991245</v>
      </c>
      <c r="BY13" s="439">
        <f t="shared" si="10"/>
        <v>1.4380042293493815</v>
      </c>
      <c r="BZ13" s="439">
        <f t="shared" si="10"/>
        <v>1.387823127656469</v>
      </c>
      <c r="CA13" s="439" t="e">
        <f t="shared" si="10"/>
        <v>#DIV/0!</v>
      </c>
      <c r="CB13" s="439" t="e">
        <f t="shared" si="10"/>
        <v>#DIV/0!</v>
      </c>
      <c r="CC13" s="439" t="e">
        <f t="shared" si="10"/>
        <v>#DIV/0!</v>
      </c>
      <c r="CD13" s="439" t="e">
        <f t="shared" si="10"/>
        <v>#DIV/0!</v>
      </c>
      <c r="CE13" s="439">
        <f t="shared" si="10"/>
        <v>0</v>
      </c>
    </row>
    <row r="14" spans="1:83" ht="15.75" x14ac:dyDescent="0.25">
      <c r="A14" s="365"/>
      <c r="AC14" s="459">
        <f t="shared" si="1"/>
        <v>400</v>
      </c>
      <c r="AD14" t="e">
        <f t="shared" si="2"/>
        <v>#N/A</v>
      </c>
      <c r="AE14">
        <f t="shared" si="3"/>
        <v>1.3766798999993601</v>
      </c>
      <c r="AF14">
        <f t="shared" si="3"/>
        <v>1.1844177847695228</v>
      </c>
      <c r="AU14" s="457">
        <f t="shared" si="4"/>
        <v>10</v>
      </c>
      <c r="AV14" s="440">
        <f>'Wind speed'!B15</f>
        <v>300</v>
      </c>
      <c r="AW14" s="439">
        <f>'Wind speed'!H15/'Wind speed'!H$23</f>
        <v>1.1186294475847789</v>
      </c>
      <c r="AX14" s="439">
        <f>'Wind speed'!I15/'Wind speed'!I$23</f>
        <v>1.1346316199950908</v>
      </c>
      <c r="AY14" s="439">
        <f>'Wind speed'!J15/'Wind speed'!J$23</f>
        <v>1.1609371301919273</v>
      </c>
      <c r="AZ14" s="439">
        <f>'Wind speed'!K15/'Wind speed'!K$23</f>
        <v>1.2012855895140986</v>
      </c>
      <c r="BA14" s="439">
        <f>'Wind speed'!L15/'Wind speed'!L$23</f>
        <v>1.2770867427492123</v>
      </c>
      <c r="BB14" s="439">
        <f>'Wind speed'!M15/'Wind speed'!M$23</f>
        <v>1.1186294475847789</v>
      </c>
      <c r="BC14" s="439">
        <f>'Wind speed'!N15/'Wind speed'!N$23</f>
        <v>1.1346316199950908</v>
      </c>
      <c r="BD14" s="439">
        <f>'Wind speed'!O15/'Wind speed'!O$23</f>
        <v>1.1609371301919273</v>
      </c>
      <c r="BE14" s="439">
        <f>'Wind speed'!P15/'Wind speed'!P$23</f>
        <v>1.2012855895140986</v>
      </c>
      <c r="BF14" s="439">
        <f>'Wind speed'!Q15/'Wind speed'!Q$23</f>
        <v>1.2770867427492123</v>
      </c>
      <c r="BG14" s="439">
        <f>'Wind speed'!R15/'Wind speed'!R$23</f>
        <v>1.235104362769776</v>
      </c>
      <c r="BH14" s="439">
        <f>'Wind speed'!S15/'Wind speed'!S$23</f>
        <v>1.2129650970982411</v>
      </c>
      <c r="BI14" s="439" t="e">
        <f>'Wind speed'!T15/'Wind speed'!T$23</f>
        <v>#DIV/0!</v>
      </c>
      <c r="BJ14" s="439" t="e">
        <f>'Wind speed'!U15/'Wind speed'!U$23</f>
        <v>#DIV/0!</v>
      </c>
      <c r="BK14" s="439" t="e">
        <f>'Wind speed'!V15/'Wind speed'!V$23</f>
        <v>#DIV/0!</v>
      </c>
      <c r="BL14" s="439" t="e">
        <f>'Wind speed'!W15/'Wind speed'!W$23</f>
        <v>#DIV/0!</v>
      </c>
      <c r="BM14" s="439"/>
      <c r="BO14" s="439">
        <f t="shared" ref="BO14:CE14" si="11">AW14*(1+$BP$6*AW32)</f>
        <v>1.246507230547758</v>
      </c>
      <c r="BP14" s="439">
        <f t="shared" si="11"/>
        <v>1.2923792280583692</v>
      </c>
      <c r="BQ14" s="439">
        <f t="shared" si="11"/>
        <v>1.3681341000043084</v>
      </c>
      <c r="BR14" s="439">
        <f t="shared" si="11"/>
        <v>1.447168911142618</v>
      </c>
      <c r="BS14" s="439">
        <f t="shared" si="11"/>
        <v>1.6075460669255577</v>
      </c>
      <c r="BT14" s="439">
        <f t="shared" si="11"/>
        <v>1.246507230547758</v>
      </c>
      <c r="BU14" s="439">
        <f t="shared" si="11"/>
        <v>1.2923792280583692</v>
      </c>
      <c r="BV14" s="439">
        <f t="shared" si="11"/>
        <v>1.3681341000043084</v>
      </c>
      <c r="BW14" s="439">
        <f t="shared" si="11"/>
        <v>1.447168911142618</v>
      </c>
      <c r="BX14" s="439">
        <f t="shared" si="11"/>
        <v>1.6075460669255577</v>
      </c>
      <c r="BY14" s="439">
        <f t="shared" si="11"/>
        <v>1.529124693582542</v>
      </c>
      <c r="BZ14" s="439">
        <f t="shared" si="11"/>
        <v>1.4716612261605952</v>
      </c>
      <c r="CA14" s="439" t="e">
        <f t="shared" si="11"/>
        <v>#DIV/0!</v>
      </c>
      <c r="CB14" s="439" t="e">
        <f t="shared" si="11"/>
        <v>#DIV/0!</v>
      </c>
      <c r="CC14" s="439" t="e">
        <f t="shared" si="11"/>
        <v>#DIV/0!</v>
      </c>
      <c r="CD14" s="439" t="e">
        <f t="shared" si="11"/>
        <v>#DIV/0!</v>
      </c>
      <c r="CE14" s="439">
        <f t="shared" si="11"/>
        <v>0</v>
      </c>
    </row>
    <row r="15" spans="1:83" ht="15.75" x14ac:dyDescent="0.25">
      <c r="A15" s="365"/>
      <c r="AC15" s="459">
        <f t="shared" si="1"/>
        <v>600</v>
      </c>
      <c r="AD15" t="e">
        <f t="shared" si="2"/>
        <v>#N/A</v>
      </c>
      <c r="AE15">
        <f t="shared" si="3"/>
        <v>1.5264970998564358</v>
      </c>
      <c r="AF15">
        <f t="shared" si="3"/>
        <v>1.2635552015261324</v>
      </c>
      <c r="AU15" s="457">
        <f t="shared" si="4"/>
        <v>11</v>
      </c>
      <c r="AV15" s="440">
        <f>'Wind speed'!B16</f>
        <v>400</v>
      </c>
      <c r="AW15" s="439">
        <f>'Wind speed'!H16/'Wind speed'!H$23</f>
        <v>1.1628357016829898</v>
      </c>
      <c r="AX15" s="439">
        <f>'Wind speed'!I16/'Wind speed'!I$23</f>
        <v>1.1844177847695228</v>
      </c>
      <c r="AY15" s="439">
        <f>'Wind speed'!J16/'Wind speed'!J$23</f>
        <v>1.2198743170237178</v>
      </c>
      <c r="AZ15" s="439">
        <f>'Wind speed'!K16/'Wind speed'!K$23</f>
        <v>1.2739131878157237</v>
      </c>
      <c r="BA15" s="439">
        <f>'Wind speed'!L16/'Wind speed'!L$23</f>
        <v>1.3766798999993601</v>
      </c>
      <c r="BB15" s="439">
        <f>'Wind speed'!M16/'Wind speed'!M$23</f>
        <v>1.1628357016829898</v>
      </c>
      <c r="BC15" s="439">
        <f>'Wind speed'!N16/'Wind speed'!N$23</f>
        <v>1.1844177847695228</v>
      </c>
      <c r="BD15" s="439">
        <f>'Wind speed'!O16/'Wind speed'!O$23</f>
        <v>1.2198743170237178</v>
      </c>
      <c r="BE15" s="439">
        <f>'Wind speed'!P16/'Wind speed'!P$23</f>
        <v>1.2739131878157237</v>
      </c>
      <c r="BF15" s="439">
        <f>'Wind speed'!Q16/'Wind speed'!Q$23</f>
        <v>1.3766798999993601</v>
      </c>
      <c r="BG15" s="439">
        <f>'Wind speed'!R16/'Wind speed'!R$23</f>
        <v>1.3184708807723864</v>
      </c>
      <c r="BH15" s="439">
        <f>'Wind speed'!S16/'Wind speed'!S$23</f>
        <v>1.2901764617088738</v>
      </c>
      <c r="BI15" s="439" t="e">
        <f>'Wind speed'!T16/'Wind speed'!T$23</f>
        <v>#DIV/0!</v>
      </c>
      <c r="BJ15" s="439" t="e">
        <f>'Wind speed'!U16/'Wind speed'!U$23</f>
        <v>#DIV/0!</v>
      </c>
      <c r="BK15" s="439" t="e">
        <f>'Wind speed'!V16/'Wind speed'!V$23</f>
        <v>#DIV/0!</v>
      </c>
      <c r="BL15" s="439" t="e">
        <f>'Wind speed'!W16/'Wind speed'!W$23</f>
        <v>#DIV/0!</v>
      </c>
      <c r="BM15" s="439"/>
      <c r="BO15" s="439">
        <f t="shared" ref="BO15:CE15" si="12">AW15*(1+$BP$6*AW33)</f>
        <v>1.2819427766808462</v>
      </c>
      <c r="BP15" s="439">
        <f t="shared" si="12"/>
        <v>1.3327168614097504</v>
      </c>
      <c r="BQ15" s="439">
        <f t="shared" si="12"/>
        <v>1.4172798789413896</v>
      </c>
      <c r="BR15" s="439">
        <f t="shared" si="12"/>
        <v>1.5042909784741572</v>
      </c>
      <c r="BS15" s="439">
        <f t="shared" si="12"/>
        <v>1.6845648249953427</v>
      </c>
      <c r="BT15" s="439">
        <f t="shared" si="12"/>
        <v>1.2819427766808462</v>
      </c>
      <c r="BU15" s="439">
        <f t="shared" si="12"/>
        <v>1.3327168614097504</v>
      </c>
      <c r="BV15" s="439">
        <f t="shared" si="12"/>
        <v>1.4172798789413896</v>
      </c>
      <c r="BW15" s="439">
        <f t="shared" si="12"/>
        <v>1.5042909784741572</v>
      </c>
      <c r="BX15" s="439">
        <f t="shared" si="12"/>
        <v>1.6845648249953427</v>
      </c>
      <c r="BY15" s="439">
        <f t="shared" si="12"/>
        <v>1.5923433375438976</v>
      </c>
      <c r="BZ15" s="439">
        <f t="shared" si="12"/>
        <v>1.5322290415447211</v>
      </c>
      <c r="CA15" s="439" t="e">
        <f t="shared" si="12"/>
        <v>#DIV/0!</v>
      </c>
      <c r="CB15" s="439" t="e">
        <f t="shared" si="12"/>
        <v>#DIV/0!</v>
      </c>
      <c r="CC15" s="439" t="e">
        <f t="shared" si="12"/>
        <v>#DIV/0!</v>
      </c>
      <c r="CD15" s="439" t="e">
        <f t="shared" si="12"/>
        <v>#DIV/0!</v>
      </c>
      <c r="CE15" s="439">
        <f t="shared" si="12"/>
        <v>0</v>
      </c>
    </row>
    <row r="16" spans="1:83" ht="15.75" x14ac:dyDescent="0.25">
      <c r="A16" s="365"/>
      <c r="AC16" s="459"/>
      <c r="AU16" s="457">
        <f t="shared" si="4"/>
        <v>12</v>
      </c>
      <c r="AV16" s="440">
        <f>'Wind speed'!B17</f>
        <v>600</v>
      </c>
      <c r="AW16" s="439">
        <f>'Wind speed'!H17/'Wind speed'!H$23</f>
        <v>1.2333571465252515</v>
      </c>
      <c r="AX16" s="439">
        <f>'Wind speed'!I17/'Wind speed'!I$23</f>
        <v>1.2635552015261324</v>
      </c>
      <c r="AY16" s="439">
        <f>'Wind speed'!J17/'Wind speed'!J$23</f>
        <v>1.3130834759087742</v>
      </c>
      <c r="AZ16" s="439">
        <f>'Wind speed'!K17/'Wind speed'!K$23</f>
        <v>1.3859302402036353</v>
      </c>
      <c r="BA16" s="439">
        <f>'Wind speed'!L17/'Wind speed'!L$23</f>
        <v>1.5264970998564358</v>
      </c>
      <c r="BB16" s="439">
        <f>'Wind speed'!M17/'Wind speed'!M$23</f>
        <v>1.2333571465252515</v>
      </c>
      <c r="BC16" s="439">
        <f>'Wind speed'!N17/'Wind speed'!N$23</f>
        <v>1.2635552015261324</v>
      </c>
      <c r="BD16" s="439">
        <f>'Wind speed'!O17/'Wind speed'!O$23</f>
        <v>1.3130834759087742</v>
      </c>
      <c r="BE16" s="439">
        <f>'Wind speed'!P17/'Wind speed'!P$23</f>
        <v>1.3859302402036353</v>
      </c>
      <c r="BF16" s="439">
        <f>'Wind speed'!Q17/'Wind speed'!Q$23</f>
        <v>1.5264970998564358</v>
      </c>
      <c r="BG16" s="439">
        <f>'Wind speed'!R17/'Wind speed'!R$23</f>
        <v>1.4464582156630457</v>
      </c>
      <c r="BH16" s="439">
        <f>'Wind speed'!S17/'Wind speed'!S$23</f>
        <v>1.4083123938498372</v>
      </c>
      <c r="BI16" s="439" t="e">
        <f>'Wind speed'!T17/'Wind speed'!T$23</f>
        <v>#DIV/0!</v>
      </c>
      <c r="BJ16" s="439" t="e">
        <f>'Wind speed'!U17/'Wind speed'!U$23</f>
        <v>#DIV/0!</v>
      </c>
      <c r="BK16" s="439" t="e">
        <f>'Wind speed'!V17/'Wind speed'!V$23</f>
        <v>#DIV/0!</v>
      </c>
      <c r="BL16" s="439" t="e">
        <f>'Wind speed'!W17/'Wind speed'!W$23</f>
        <v>#DIV/0!</v>
      </c>
      <c r="BM16" s="439"/>
      <c r="BO16" s="439">
        <f t="shared" ref="BO16:CE16" si="13">AW16*(1+$BP$6*AW34)</f>
        <v>1.3400595156009643</v>
      </c>
      <c r="BP16" s="439">
        <f t="shared" si="13"/>
        <v>1.3977580890779577</v>
      </c>
      <c r="BQ16" s="439">
        <f t="shared" si="13"/>
        <v>1.4944037990863475</v>
      </c>
      <c r="BR16" s="439">
        <f t="shared" si="13"/>
        <v>1.5911546417723152</v>
      </c>
      <c r="BS16" s="439">
        <f t="shared" si="13"/>
        <v>1.7927826577509722</v>
      </c>
      <c r="BT16" s="439">
        <f t="shared" si="13"/>
        <v>1.3400595156009643</v>
      </c>
      <c r="BU16" s="439">
        <f t="shared" si="13"/>
        <v>1.3977580890779577</v>
      </c>
      <c r="BV16" s="439">
        <f t="shared" si="13"/>
        <v>1.4944037990863475</v>
      </c>
      <c r="BW16" s="439">
        <f t="shared" si="13"/>
        <v>1.5911546417723152</v>
      </c>
      <c r="BX16" s="439">
        <f t="shared" si="13"/>
        <v>1.7927826577509722</v>
      </c>
      <c r="BY16" s="439">
        <f t="shared" si="13"/>
        <v>1.6845322029625469</v>
      </c>
      <c r="BZ16" s="439">
        <f t="shared" si="13"/>
        <v>1.6228236335218114</v>
      </c>
      <c r="CA16" s="439" t="e">
        <f t="shared" si="13"/>
        <v>#DIV/0!</v>
      </c>
      <c r="CB16" s="439" t="e">
        <f t="shared" si="13"/>
        <v>#DIV/0!</v>
      </c>
      <c r="CC16" s="439" t="e">
        <f t="shared" si="13"/>
        <v>#DIV/0!</v>
      </c>
      <c r="CD16" s="439" t="e">
        <f t="shared" si="13"/>
        <v>#DIV/0!</v>
      </c>
      <c r="CE16" s="439">
        <f t="shared" si="13"/>
        <v>0</v>
      </c>
    </row>
    <row r="17" spans="1:83" ht="15.75" x14ac:dyDescent="0.25">
      <c r="A17" s="365"/>
      <c r="AC17" s="458"/>
      <c r="AD17" t="e">
        <f t="shared" ref="AD17:AD26" si="14">HLOOKUP(AD$3,$AW$5:$BM$41,$AU25)</f>
        <v>#N/A</v>
      </c>
      <c r="AU17" s="457">
        <f t="shared" si="4"/>
        <v>13</v>
      </c>
      <c r="AV17" s="441">
        <f>'Wind speed'!B18</f>
        <v>1000</v>
      </c>
      <c r="AW17" s="439">
        <f>'Wind speed'!H18/'Wind speed'!H$23</f>
        <v>1.3390425601038891</v>
      </c>
      <c r="AX17" s="439">
        <f>'Wind speed'!I18/'Wind speed'!I$23</f>
        <v>1.3821524430341374</v>
      </c>
      <c r="AY17" s="439">
        <f>'Wind speed'!J18/'Wind speed'!J$23</f>
        <v>1.452499855520337</v>
      </c>
      <c r="AZ17" s="439">
        <f>'Wind speed'!K18/'Wind speed'!K$23</f>
        <v>1.5487533035829546</v>
      </c>
      <c r="BA17" s="439">
        <f>'Wind speed'!L18/'Wind speed'!L$23</f>
        <v>1.7318430060244709</v>
      </c>
      <c r="BB17" s="439">
        <f>'Wind speed'!M18/'Wind speed'!M$23</f>
        <v>1.3390425601038891</v>
      </c>
      <c r="BC17" s="439">
        <f>'Wind speed'!N18/'Wind speed'!N$23</f>
        <v>1.3821524430341374</v>
      </c>
      <c r="BD17" s="439">
        <f>'Wind speed'!O18/'Wind speed'!O$23</f>
        <v>1.452499855520337</v>
      </c>
      <c r="BE17" s="439">
        <f>'Wind speed'!P18/'Wind speed'!P$23</f>
        <v>1.5487533035829546</v>
      </c>
      <c r="BF17" s="439">
        <f>'Wind speed'!Q18/'Wind speed'!Q$23</f>
        <v>1.7318430060244709</v>
      </c>
      <c r="BG17" s="439">
        <f>'Wind speed'!R18/'Wind speed'!R$23</f>
        <v>1.6302061589701924</v>
      </c>
      <c r="BH17" s="439">
        <f>'Wind speed'!S18/'Wind speed'!S$23</f>
        <v>1.5777285537387116</v>
      </c>
      <c r="BI17" s="439" t="e">
        <f>'Wind speed'!T18/'Wind speed'!T$23</f>
        <v>#DIV/0!</v>
      </c>
      <c r="BJ17" s="439" t="e">
        <f>'Wind speed'!U18/'Wind speed'!U$23</f>
        <v>#DIV/0!</v>
      </c>
      <c r="BK17" s="439" t="e">
        <f>'Wind speed'!V18/'Wind speed'!V$23</f>
        <v>#DIV/0!</v>
      </c>
      <c r="BL17" s="439" t="e">
        <f>'Wind speed'!W18/'Wind speed'!W$23</f>
        <v>#DIV/0!</v>
      </c>
      <c r="BM17" s="442"/>
      <c r="BO17" s="442">
        <f t="shared" ref="BO17:CE17" si="15">AW17*(1+$BP$6*AW35)</f>
        <v>1.4276652651857267</v>
      </c>
      <c r="BP17" s="442">
        <f t="shared" si="15"/>
        <v>1.4955107054027093</v>
      </c>
      <c r="BQ17" s="442">
        <f t="shared" si="15"/>
        <v>1.6087524933688424</v>
      </c>
      <c r="BR17" s="442">
        <f t="shared" si="15"/>
        <v>1.7197086153792585</v>
      </c>
      <c r="BS17" s="442">
        <f t="shared" si="15"/>
        <v>1.939187606944156</v>
      </c>
      <c r="BT17" s="442">
        <f t="shared" si="15"/>
        <v>1.4276652651857267</v>
      </c>
      <c r="BU17" s="442">
        <f t="shared" si="15"/>
        <v>1.4955107054027093</v>
      </c>
      <c r="BV17" s="442">
        <f t="shared" si="15"/>
        <v>1.6087524933688424</v>
      </c>
      <c r="BW17" s="442">
        <f t="shared" si="15"/>
        <v>1.7197086153792585</v>
      </c>
      <c r="BX17" s="442">
        <f t="shared" si="15"/>
        <v>1.939187606944156</v>
      </c>
      <c r="BY17" s="442">
        <f t="shared" si="15"/>
        <v>1.8195202217046953</v>
      </c>
      <c r="BZ17" s="442">
        <f t="shared" si="15"/>
        <v>1.7543566486864872</v>
      </c>
      <c r="CA17" s="442" t="e">
        <f t="shared" si="15"/>
        <v>#DIV/0!</v>
      </c>
      <c r="CB17" s="442" t="e">
        <f t="shared" si="15"/>
        <v>#DIV/0!</v>
      </c>
      <c r="CC17" s="442" t="e">
        <f t="shared" si="15"/>
        <v>#DIV/0!</v>
      </c>
      <c r="CD17" s="442" t="e">
        <f t="shared" si="15"/>
        <v>#DIV/0!</v>
      </c>
      <c r="CE17" s="442">
        <f t="shared" si="15"/>
        <v>0</v>
      </c>
    </row>
    <row r="18" spans="1:83" ht="15.75" x14ac:dyDescent="0.25">
      <c r="A18" s="365"/>
      <c r="AC18" s="459">
        <f t="shared" ref="AC18:AC26" si="16">AV26</f>
        <v>10</v>
      </c>
      <c r="AD18" t="e">
        <f t="shared" si="14"/>
        <v>#N/A</v>
      </c>
      <c r="AE18">
        <f t="shared" ref="AE18:AF26" si="17">HLOOKUP(AE$3,$AW$5:$BM$41,$AU26)</f>
        <v>0.56371187007084411</v>
      </c>
      <c r="AF18">
        <f t="shared" si="17"/>
        <v>0.16602307074333802</v>
      </c>
      <c r="AU18" s="457">
        <f t="shared" si="4"/>
        <v>14</v>
      </c>
      <c r="AV18" s="441">
        <f>'Wind speed'!B19</f>
        <v>2000</v>
      </c>
      <c r="AW18" s="439">
        <f>'Wind speed'!H19/'Wind speed'!H$23</f>
        <v>1.5030754302175471</v>
      </c>
      <c r="AX18" s="439">
        <f>'Wind speed'!I19/'Wind speed'!I$23</f>
        <v>1.5716525389369516</v>
      </c>
      <c r="AY18" s="439">
        <f>'Wind speed'!J19/'Wind speed'!J$23</f>
        <v>1.6812244435946591</v>
      </c>
      <c r="AZ18" s="439">
        <f>'Wind speed'!K19/'Wind speed'!K$23</f>
        <v>1.8124442753345429</v>
      </c>
      <c r="BA18" s="439">
        <f>'Wind speed'!L19/'Wind speed'!L$23</f>
        <v>2.0442773048722862</v>
      </c>
      <c r="BB18" s="439">
        <f>'Wind speed'!M19/'Wind speed'!M$23</f>
        <v>1.5030754302175471</v>
      </c>
      <c r="BC18" s="439">
        <f>'Wind speed'!N19/'Wind speed'!N$23</f>
        <v>1.5716525389369516</v>
      </c>
      <c r="BD18" s="439">
        <f>'Wind speed'!O19/'Wind speed'!O$23</f>
        <v>1.6812244435946591</v>
      </c>
      <c r="BE18" s="439">
        <f>'Wind speed'!P19/'Wind speed'!P$23</f>
        <v>1.8124442753345429</v>
      </c>
      <c r="BF18" s="439">
        <f>'Wind speed'!Q19/'Wind speed'!Q$23</f>
        <v>2.0442773048722862</v>
      </c>
      <c r="BG18" s="439">
        <f>'Wind speed'!R19/'Wind speed'!R$23</f>
        <v>1.9277501478959322</v>
      </c>
      <c r="BH18" s="439">
        <f>'Wind speed'!S19/'Wind speed'!S$23</f>
        <v>1.8489493828103343</v>
      </c>
      <c r="BI18" s="439" t="e">
        <f>'Wind speed'!T19/'Wind speed'!T$23</f>
        <v>#DIV/0!</v>
      </c>
      <c r="BJ18" s="439" t="e">
        <f>'Wind speed'!U19/'Wind speed'!U$23</f>
        <v>#DIV/0!</v>
      </c>
      <c r="BK18" s="439" t="e">
        <f>'Wind speed'!V19/'Wind speed'!V$23</f>
        <v>#DIV/0!</v>
      </c>
      <c r="BL18" s="439" t="e">
        <f>'Wind speed'!W19/'Wind speed'!W$23</f>
        <v>#DIV/0!</v>
      </c>
      <c r="BM18" s="442"/>
      <c r="BO18" s="442">
        <f t="shared" ref="BO18:CE18" si="18">AW18*(1+$BP$6*AW36)</f>
        <v>1.5503136850961496</v>
      </c>
      <c r="BP18" s="442">
        <f t="shared" si="18"/>
        <v>1.6380597066393827</v>
      </c>
      <c r="BQ18" s="442">
        <f t="shared" si="18"/>
        <v>1.7815401409707408</v>
      </c>
      <c r="BR18" s="442">
        <f t="shared" si="18"/>
        <v>1.921538699872448</v>
      </c>
      <c r="BS18" s="442">
        <f t="shared" si="18"/>
        <v>2.1700731644230502</v>
      </c>
      <c r="BT18" s="442">
        <f t="shared" si="18"/>
        <v>1.5503136850961496</v>
      </c>
      <c r="BU18" s="442">
        <f t="shared" si="18"/>
        <v>1.6380597066393827</v>
      </c>
      <c r="BV18" s="442">
        <f t="shared" si="18"/>
        <v>1.7815401409707408</v>
      </c>
      <c r="BW18" s="442">
        <f t="shared" si="18"/>
        <v>1.921538699872448</v>
      </c>
      <c r="BX18" s="442">
        <f t="shared" si="18"/>
        <v>2.1700731644230502</v>
      </c>
      <c r="BY18" s="442">
        <f t="shared" si="18"/>
        <v>2.0457448139200283</v>
      </c>
      <c r="BZ18" s="442">
        <f t="shared" si="18"/>
        <v>1.9606446635598147</v>
      </c>
      <c r="CA18" s="442" t="e">
        <f t="shared" si="18"/>
        <v>#DIV/0!</v>
      </c>
      <c r="CB18" s="442" t="e">
        <f t="shared" si="18"/>
        <v>#DIV/0!</v>
      </c>
      <c r="CC18" s="442" t="e">
        <f t="shared" si="18"/>
        <v>#DIV/0!</v>
      </c>
      <c r="CD18" s="442" t="e">
        <f t="shared" si="18"/>
        <v>#DIV/0!</v>
      </c>
      <c r="CE18" s="442">
        <f t="shared" si="18"/>
        <v>0</v>
      </c>
    </row>
    <row r="19" spans="1:83" ht="15.75" x14ac:dyDescent="0.25">
      <c r="A19" s="365"/>
      <c r="AC19" s="459">
        <f t="shared" si="16"/>
        <v>30</v>
      </c>
      <c r="AD19" t="e">
        <f t="shared" si="14"/>
        <v>#N/A</v>
      </c>
      <c r="AE19">
        <f t="shared" si="17"/>
        <v>0.34074603819946286</v>
      </c>
      <c r="AF19">
        <f t="shared" si="17"/>
        <v>0.14934818806161623</v>
      </c>
      <c r="AU19" s="457">
        <f t="shared" si="4"/>
        <v>15</v>
      </c>
      <c r="AV19" s="441">
        <f>'Wind speed'!B20</f>
        <v>609.57025297165501</v>
      </c>
      <c r="AW19" s="439">
        <f>'Wind speed'!H20/'Wind speed'!H$23</f>
        <v>1.2363352176128051</v>
      </c>
      <c r="AX19" s="439">
        <f>'Wind speed'!I20/'Wind speed'!I$23</f>
        <v>1.2668928644867954</v>
      </c>
      <c r="AY19" s="439">
        <f>'Wind speed'!J20/'Wind speed'!J$23</f>
        <v>1.3170061440664487</v>
      </c>
      <c r="AZ19" s="439">
        <f>'Wind speed'!K20/'Wind speed'!K$23</f>
        <v>1.3905758038515894</v>
      </c>
      <c r="BA19" s="439">
        <f>'Wind speed'!L20/'Wind speed'!L$23</f>
        <v>1.5325685700511229</v>
      </c>
      <c r="BB19" s="439">
        <f>'Wind speed'!M20/'Wind speed'!M$23</f>
        <v>1.2363352176128051</v>
      </c>
      <c r="BC19" s="439">
        <f>'Wind speed'!N20/'Wind speed'!N$23</f>
        <v>1.2668928644867954</v>
      </c>
      <c r="BD19" s="439">
        <f>'Wind speed'!O20/'Wind speed'!O$23</f>
        <v>1.3170061440664487</v>
      </c>
      <c r="BE19" s="439">
        <f>'Wind speed'!P20/'Wind speed'!P$23</f>
        <v>1.3905758038515894</v>
      </c>
      <c r="BF19" s="439">
        <f>'Wind speed'!Q20/'Wind speed'!Q$23</f>
        <v>1.5325685700511229</v>
      </c>
      <c r="BG19" s="439">
        <f>'Wind speed'!R20/'Wind speed'!R$23</f>
        <v>1.4517405166686022</v>
      </c>
      <c r="BH19" s="439">
        <f>'Wind speed'!S20/'Wind speed'!S$23</f>
        <v>1.41318192205663</v>
      </c>
      <c r="BI19" s="439" t="e">
        <f>'Wind speed'!T20/'Wind speed'!T$23</f>
        <v>#DIV/0!</v>
      </c>
      <c r="BJ19" s="439" t="e">
        <f>'Wind speed'!U20/'Wind speed'!U$23</f>
        <v>#DIV/0!</v>
      </c>
      <c r="BK19" s="439" t="e">
        <f>'Wind speed'!V20/'Wind speed'!V$23</f>
        <v>#DIV/0!</v>
      </c>
      <c r="BL19" s="439" t="e">
        <f>'Wind speed'!W20/'Wind speed'!W$23</f>
        <v>#DIV/0!</v>
      </c>
      <c r="BM19" s="442"/>
      <c r="BO19" s="442">
        <f t="shared" ref="BO19:CE19" si="19">AW19*(1+$BP$6*AW37)</f>
        <v>1.342541756501473</v>
      </c>
      <c r="BP19" s="442">
        <f t="shared" si="19"/>
        <v>1.4005223364120178</v>
      </c>
      <c r="BQ19" s="442">
        <f t="shared" si="19"/>
        <v>1.4976460989341334</v>
      </c>
      <c r="BR19" s="442">
        <f t="shared" si="19"/>
        <v>1.5947755603344986</v>
      </c>
      <c r="BS19" s="442">
        <f t="shared" si="19"/>
        <v>1.7970792793516877</v>
      </c>
      <c r="BT19" s="442">
        <f t="shared" si="19"/>
        <v>1.342541756501473</v>
      </c>
      <c r="BU19" s="442">
        <f t="shared" si="19"/>
        <v>1.4005223364120178</v>
      </c>
      <c r="BV19" s="442">
        <f t="shared" si="19"/>
        <v>1.4976460989341334</v>
      </c>
      <c r="BW19" s="442">
        <f t="shared" si="19"/>
        <v>1.5947755603344986</v>
      </c>
      <c r="BX19" s="442">
        <f t="shared" si="19"/>
        <v>1.7970792793516877</v>
      </c>
      <c r="BY19" s="442">
        <f t="shared" si="19"/>
        <v>1.6883164706825564</v>
      </c>
      <c r="BZ19" s="442">
        <f t="shared" si="19"/>
        <v>1.6265618752149815</v>
      </c>
      <c r="CA19" s="442" t="e">
        <f t="shared" si="19"/>
        <v>#DIV/0!</v>
      </c>
      <c r="CB19" s="442" t="e">
        <f t="shared" si="19"/>
        <v>#DIV/0!</v>
      </c>
      <c r="CC19" s="442" t="e">
        <f t="shared" si="19"/>
        <v>#DIV/0!</v>
      </c>
      <c r="CD19" s="442" t="e">
        <f t="shared" si="19"/>
        <v>#DIV/0!</v>
      </c>
      <c r="CE19" s="442">
        <f t="shared" si="19"/>
        <v>0</v>
      </c>
    </row>
    <row r="20" spans="1:83" ht="15.75" x14ac:dyDescent="0.25">
      <c r="A20" s="365"/>
      <c r="AC20" s="459">
        <f t="shared" si="16"/>
        <v>50</v>
      </c>
      <c r="AD20" t="e">
        <f t="shared" si="14"/>
        <v>#N/A</v>
      </c>
      <c r="AE20">
        <f t="shared" si="17"/>
        <v>0.29410988773644936</v>
      </c>
      <c r="AF20">
        <f t="shared" si="17"/>
        <v>0.140443386910407</v>
      </c>
      <c r="AU20" s="457">
        <f t="shared" si="4"/>
        <v>16</v>
      </c>
      <c r="AV20" s="441">
        <f>'Wind speed'!B21</f>
        <v>54.3</v>
      </c>
      <c r="AW20" s="439">
        <f>'Wind speed'!H21/'Wind speed'!H$23</f>
        <v>0.91096137578983416</v>
      </c>
      <c r="AX20" s="439">
        <f>'Wind speed'!I21/'Wind speed'!I$23</f>
        <v>0.89798792434466834</v>
      </c>
      <c r="AY20" s="439">
        <f>'Wind speed'!J21/'Wind speed'!J$23</f>
        <v>0.87664502764692587</v>
      </c>
      <c r="AZ20" s="439">
        <f>'Wind speed'!K21/'Wind speed'!K$23</f>
        <v>0.85262961580940388</v>
      </c>
      <c r="BA20" s="439">
        <f>'Wind speed'!L21/'Wind speed'!L$23</f>
        <v>0.78198128098348074</v>
      </c>
      <c r="BB20" s="439">
        <f>'Wind speed'!M21/'Wind speed'!M$23</f>
        <v>0.91096137578983416</v>
      </c>
      <c r="BC20" s="439">
        <f>'Wind speed'!N21/'Wind speed'!N$23</f>
        <v>0.89798792434466834</v>
      </c>
      <c r="BD20" s="439">
        <f>'Wind speed'!O21/'Wind speed'!O$23</f>
        <v>0.87664502764692587</v>
      </c>
      <c r="BE20" s="439">
        <f>'Wind speed'!P21/'Wind speed'!P$23</f>
        <v>0.85262961580940388</v>
      </c>
      <c r="BF20" s="439">
        <f>'Wind speed'!Q21/'Wind speed'!Q$23</f>
        <v>0.78198128098348074</v>
      </c>
      <c r="BG20" s="439">
        <f>'Wind speed'!R21/'Wind speed'!R$23</f>
        <v>0.81552408183790825</v>
      </c>
      <c r="BH20" s="439">
        <f>'Wind speed'!S21/'Wind speed'!S$23</f>
        <v>0.84375555836590665</v>
      </c>
      <c r="BI20" s="439" t="e">
        <f>'Wind speed'!T21/'Wind speed'!T$23</f>
        <v>#DIV/0!</v>
      </c>
      <c r="BJ20" s="439" t="e">
        <f>'Wind speed'!U21/'Wind speed'!U$23</f>
        <v>#DIV/0!</v>
      </c>
      <c r="BK20" s="439" t="e">
        <f>'Wind speed'!V21/'Wind speed'!V$23</f>
        <v>#DIV/0!</v>
      </c>
      <c r="BL20" s="439" t="e">
        <f>'Wind speed'!W21/'Wind speed'!W$23</f>
        <v>#DIV/0!</v>
      </c>
      <c r="BM20" s="442"/>
      <c r="BO20" s="442">
        <f t="shared" ref="BO20:CE20" si="20">AW20*(1+$BP$6*AW38)</f>
        <v>1.0732423344583777</v>
      </c>
      <c r="BP20" s="442">
        <f t="shared" si="20"/>
        <v>1.08501787564555</v>
      </c>
      <c r="BQ20" s="442">
        <f t="shared" si="20"/>
        <v>1.1022419980902891</v>
      </c>
      <c r="BR20" s="442">
        <f t="shared" si="20"/>
        <v>1.1201284554154713</v>
      </c>
      <c r="BS20" s="442">
        <f t="shared" si="20"/>
        <v>1.1195718514494379</v>
      </c>
      <c r="BT20" s="442">
        <f t="shared" si="20"/>
        <v>1.0732423344583777</v>
      </c>
      <c r="BU20" s="442">
        <f t="shared" si="20"/>
        <v>1.08501787564555</v>
      </c>
      <c r="BV20" s="442">
        <f t="shared" si="20"/>
        <v>1.1022419980902891</v>
      </c>
      <c r="BW20" s="442">
        <f t="shared" si="20"/>
        <v>1.1201284554154713</v>
      </c>
      <c r="BX20" s="442">
        <f t="shared" si="20"/>
        <v>1.1195718514494379</v>
      </c>
      <c r="BY20" s="442">
        <f t="shared" si="20"/>
        <v>1.1216861704812566</v>
      </c>
      <c r="BZ20" s="442">
        <f t="shared" si="20"/>
        <v>1.1226611965594915</v>
      </c>
      <c r="CA20" s="442" t="e">
        <f t="shared" si="20"/>
        <v>#DIV/0!</v>
      </c>
      <c r="CB20" s="442" t="e">
        <f t="shared" si="20"/>
        <v>#DIV/0!</v>
      </c>
      <c r="CC20" s="442" t="e">
        <f t="shared" si="20"/>
        <v>#DIV/0!</v>
      </c>
      <c r="CD20" s="442" t="e">
        <f t="shared" si="20"/>
        <v>#DIV/0!</v>
      </c>
      <c r="CE20" s="442">
        <f t="shared" si="20"/>
        <v>0</v>
      </c>
    </row>
    <row r="21" spans="1:83" ht="15.75" x14ac:dyDescent="0.25">
      <c r="A21" s="365"/>
      <c r="AC21" s="459">
        <f t="shared" si="16"/>
        <v>100</v>
      </c>
      <c r="AD21" t="e">
        <f t="shared" si="14"/>
        <v>#N/A</v>
      </c>
      <c r="AE21">
        <f t="shared" si="17"/>
        <v>0.24764004543760038</v>
      </c>
      <c r="AF21">
        <f t="shared" si="17"/>
        <v>0.12524626895922755</v>
      </c>
      <c r="AU21" s="457">
        <f t="shared" si="4"/>
        <v>17</v>
      </c>
      <c r="AV21" s="443">
        <f>'Wind speed'!B22</f>
        <v>90.5</v>
      </c>
      <c r="AW21" s="439">
        <f>'Wind speed'!H22/'Wind speed'!H$23</f>
        <v>0.96683302081088007</v>
      </c>
      <c r="AX21" s="439">
        <f>'Wind speed'!I22/'Wind speed'!I$23</f>
        <v>0.96208373799248914</v>
      </c>
      <c r="AY21" s="439">
        <f>'Wind speed'!J22/'Wind speed'!J$23</f>
        <v>0.95427084407548335</v>
      </c>
      <c r="AZ21" s="439">
        <f>'Wind speed'!K22/'Wind speed'!K$23</f>
        <v>0.94498215839630895</v>
      </c>
      <c r="BA21" s="439">
        <f>'Wind speed'!L22/'Wind speed'!L$23</f>
        <v>0.92381471245156899</v>
      </c>
      <c r="BB21" s="439">
        <f>'Wind speed'!M22/'Wind speed'!M$23</f>
        <v>0.96683302081088007</v>
      </c>
      <c r="BC21" s="439">
        <f>'Wind speed'!N22/'Wind speed'!N$23</f>
        <v>0.96208373799248914</v>
      </c>
      <c r="BD21" s="439">
        <f>'Wind speed'!O22/'Wind speed'!O$23</f>
        <v>0.95427084407548335</v>
      </c>
      <c r="BE21" s="439">
        <f>'Wind speed'!P22/'Wind speed'!P$23</f>
        <v>0.94498215839630895</v>
      </c>
      <c r="BF21" s="439">
        <f>'Wind speed'!Q22/'Wind speed'!Q$23</f>
        <v>0.92381471245156899</v>
      </c>
      <c r="BG21" s="439">
        <f>'Wind speed'!R22/'Wind speed'!R$23</f>
        <v>0.93234398941586072</v>
      </c>
      <c r="BH21" s="439">
        <f>'Wind speed'!S22/'Wind speed'!S$23</f>
        <v>0.94344343100783312</v>
      </c>
      <c r="BI21" s="439" t="e">
        <f>'Wind speed'!T22/'Wind speed'!T$23</f>
        <v>#DIV/0!</v>
      </c>
      <c r="BJ21" s="439" t="e">
        <f>'Wind speed'!U22/'Wind speed'!U$23</f>
        <v>#DIV/0!</v>
      </c>
      <c r="BK21" s="439" t="e">
        <f>'Wind speed'!V22/'Wind speed'!V$23</f>
        <v>#DIV/0!</v>
      </c>
      <c r="BL21" s="439" t="e">
        <f>'Wind speed'!W22/'Wind speed'!W$23</f>
        <v>#DIV/0!</v>
      </c>
      <c r="BM21" s="439"/>
      <c r="BO21" s="439">
        <f t="shared" ref="BO21:CE21" si="21">AW21*(1+$BP$6*AW39)</f>
        <v>1.1239219245516063</v>
      </c>
      <c r="BP21" s="439">
        <f t="shared" si="21"/>
        <v>1.1463858271308094</v>
      </c>
      <c r="BQ21" s="439">
        <f t="shared" si="21"/>
        <v>1.1813771321497264</v>
      </c>
      <c r="BR21" s="439">
        <f t="shared" si="21"/>
        <v>1.2174082218958242</v>
      </c>
      <c r="BS21" s="439">
        <f t="shared" si="21"/>
        <v>1.2750917476557226</v>
      </c>
      <c r="BT21" s="439">
        <f t="shared" si="21"/>
        <v>1.1239219245516063</v>
      </c>
      <c r="BU21" s="439">
        <f t="shared" si="21"/>
        <v>1.1463858271308094</v>
      </c>
      <c r="BV21" s="439">
        <f t="shared" si="21"/>
        <v>1.1813771321497264</v>
      </c>
      <c r="BW21" s="439">
        <f t="shared" si="21"/>
        <v>1.2174082218958242</v>
      </c>
      <c r="BX21" s="439">
        <f t="shared" si="21"/>
        <v>1.2750917476557226</v>
      </c>
      <c r="BY21" s="439">
        <f t="shared" si="21"/>
        <v>1.2488023788798124</v>
      </c>
      <c r="BZ21" s="439">
        <f t="shared" si="21"/>
        <v>1.2285387426393244</v>
      </c>
      <c r="CA21" s="439" t="e">
        <f t="shared" si="21"/>
        <v>#DIV/0!</v>
      </c>
      <c r="CB21" s="439" t="e">
        <f t="shared" si="21"/>
        <v>#DIV/0!</v>
      </c>
      <c r="CC21" s="439" t="e">
        <f t="shared" si="21"/>
        <v>#DIV/0!</v>
      </c>
      <c r="CD21" s="439" t="e">
        <f t="shared" si="21"/>
        <v>#DIV/0!</v>
      </c>
      <c r="CE21" s="439">
        <f t="shared" si="21"/>
        <v>0</v>
      </c>
    </row>
    <row r="22" spans="1:83" ht="15.75" x14ac:dyDescent="0.25">
      <c r="A22" s="365"/>
      <c r="AC22" s="459">
        <f t="shared" si="16"/>
        <v>150</v>
      </c>
      <c r="AD22" t="e">
        <f t="shared" si="14"/>
        <v>#N/A</v>
      </c>
      <c r="AE22">
        <f t="shared" si="17"/>
        <v>0.22306102565603547</v>
      </c>
      <c r="AF22">
        <f t="shared" si="17"/>
        <v>0.11424051285719854</v>
      </c>
      <c r="AU22" s="457">
        <f t="shared" si="4"/>
        <v>18</v>
      </c>
      <c r="AV22" s="441">
        <f>'Wind speed'!B23</f>
        <v>120.7</v>
      </c>
      <c r="AW22" s="439">
        <f>'Wind speed'!H23/'Wind speed'!H$23</f>
        <v>1</v>
      </c>
      <c r="AX22" s="439">
        <f>'Wind speed'!I23/'Wind speed'!I$23</f>
        <v>1</v>
      </c>
      <c r="AY22" s="439">
        <f>'Wind speed'!J23/'Wind speed'!J$23</f>
        <v>1</v>
      </c>
      <c r="AZ22" s="439">
        <f>'Wind speed'!K23/'Wind speed'!K$23</f>
        <v>1</v>
      </c>
      <c r="BA22" s="439">
        <f>'Wind speed'!L23/'Wind speed'!L$23</f>
        <v>1</v>
      </c>
      <c r="BB22" s="439">
        <f>'Wind speed'!M23/'Wind speed'!M$23</f>
        <v>1</v>
      </c>
      <c r="BC22" s="439">
        <f>'Wind speed'!N23/'Wind speed'!N$23</f>
        <v>1</v>
      </c>
      <c r="BD22" s="439">
        <f>'Wind speed'!O23/'Wind speed'!O$23</f>
        <v>1</v>
      </c>
      <c r="BE22" s="439">
        <f>'Wind speed'!P23/'Wind speed'!P$23</f>
        <v>1</v>
      </c>
      <c r="BF22" s="439">
        <f>'Wind speed'!Q23/'Wind speed'!Q$23</f>
        <v>1</v>
      </c>
      <c r="BG22" s="439">
        <f>'Wind speed'!R23/'Wind speed'!R$23</f>
        <v>1</v>
      </c>
      <c r="BH22" s="439">
        <f>'Wind speed'!S23/'Wind speed'!S$23</f>
        <v>1</v>
      </c>
      <c r="BI22" s="439" t="e">
        <f>'Wind speed'!T23/'Wind speed'!T$23</f>
        <v>#DIV/0!</v>
      </c>
      <c r="BJ22" s="439" t="e">
        <f>'Wind speed'!U23/'Wind speed'!U$23</f>
        <v>#DIV/0!</v>
      </c>
      <c r="BK22" s="439" t="e">
        <f>'Wind speed'!V23/'Wind speed'!V$23</f>
        <v>#DIV/0!</v>
      </c>
      <c r="BL22" s="439" t="e">
        <f>'Wind speed'!W23/'Wind speed'!W$23</f>
        <v>#DIV/0!</v>
      </c>
      <c r="BM22" s="442"/>
      <c r="BO22" s="442">
        <f t="shared" ref="BO22:CE22" si="22">AW22*(1+$BP$6*AW40)</f>
        <v>1.1520496927789996</v>
      </c>
      <c r="BP22" s="442">
        <f t="shared" si="22"/>
        <v>1.18050139639357</v>
      </c>
      <c r="BQ22" s="442">
        <f t="shared" si="22"/>
        <v>1.2256215954685619</v>
      </c>
      <c r="BR22" s="442">
        <f t="shared" si="22"/>
        <v>1.2717332346189401</v>
      </c>
      <c r="BS22" s="442">
        <f t="shared" si="22"/>
        <v>1.355008814130543</v>
      </c>
      <c r="BT22" s="442">
        <f t="shared" si="22"/>
        <v>1.1520496927789996</v>
      </c>
      <c r="BU22" s="442">
        <f t="shared" si="22"/>
        <v>1.18050139639357</v>
      </c>
      <c r="BV22" s="442">
        <f t="shared" si="22"/>
        <v>1.2256215954685619</v>
      </c>
      <c r="BW22" s="442">
        <f t="shared" si="22"/>
        <v>1.2717332346189401</v>
      </c>
      <c r="BX22" s="442">
        <f t="shared" si="22"/>
        <v>1.355008814130543</v>
      </c>
      <c r="BY22" s="442">
        <f t="shared" si="22"/>
        <v>1.3186649184991663</v>
      </c>
      <c r="BZ22" s="442">
        <f t="shared" si="22"/>
        <v>1.2849468268334354</v>
      </c>
      <c r="CA22" s="442" t="e">
        <f t="shared" si="22"/>
        <v>#DIV/0!</v>
      </c>
      <c r="CB22" s="442" t="e">
        <f t="shared" si="22"/>
        <v>#DIV/0!</v>
      </c>
      <c r="CC22" s="442" t="e">
        <f t="shared" si="22"/>
        <v>#DIV/0!</v>
      </c>
      <c r="CD22" s="442" t="e">
        <f t="shared" si="22"/>
        <v>#DIV/0!</v>
      </c>
      <c r="CE22" s="442">
        <f t="shared" si="22"/>
        <v>0</v>
      </c>
    </row>
    <row r="23" spans="1:83" ht="15.75" x14ac:dyDescent="0.25">
      <c r="A23" s="365"/>
      <c r="AC23" s="459">
        <f t="shared" si="16"/>
        <v>200</v>
      </c>
      <c r="AD23" t="e">
        <f t="shared" si="14"/>
        <v>#N/A</v>
      </c>
      <c r="AE23">
        <f t="shared" si="17"/>
        <v>0.20336965096483539</v>
      </c>
      <c r="AF23">
        <f t="shared" si="17"/>
        <v>0.1055812207708879</v>
      </c>
      <c r="AU23" s="457">
        <f t="shared" si="4"/>
        <v>19</v>
      </c>
      <c r="AV23" s="443">
        <f>'Wind speed'!B25</f>
        <v>181</v>
      </c>
      <c r="AW23" s="439">
        <f>'Wind speed'!H25/'Wind speed'!H$23</f>
        <v>1.0496472754663357</v>
      </c>
      <c r="AX23" s="439">
        <f>'Wind speed'!I25/'Wind speed'!I$23</f>
        <v>1.0565376782426756</v>
      </c>
      <c r="AY23" s="439">
        <f>'Wind speed'!J25/'Wind speed'!J$23</f>
        <v>1.0678704235546526</v>
      </c>
      <c r="AZ23" s="439">
        <f>'Wind speed'!K25/'Wind speed'!K$23</f>
        <v>1.084530646699188</v>
      </c>
      <c r="BA23" s="439">
        <f>'Wind speed'!L25/'Wind speed'!L$23</f>
        <v>1.1160140463665134</v>
      </c>
      <c r="BB23" s="439">
        <f>'Wind speed'!M25/'Wind speed'!M$23</f>
        <v>1.0496472754663357</v>
      </c>
      <c r="BC23" s="439">
        <f>'Wind speed'!N25/'Wind speed'!N$23</f>
        <v>1.0565376782426756</v>
      </c>
      <c r="BD23" s="439">
        <f>'Wind speed'!O25/'Wind speed'!O$23</f>
        <v>1.0678704235546526</v>
      </c>
      <c r="BE23" s="439">
        <f>'Wind speed'!P25/'Wind speed'!P$23</f>
        <v>1.084530646699188</v>
      </c>
      <c r="BF23" s="439">
        <f>'Wind speed'!Q25/'Wind speed'!Q$23</f>
        <v>1.1160140463665134</v>
      </c>
      <c r="BG23" s="439">
        <f>'Wind speed'!R25/'Wind speed'!R$23</f>
        <v>1.1002167380738817</v>
      </c>
      <c r="BH23" s="439">
        <f>'Wind speed'!S25/'Wind speed'!S$23</f>
        <v>1.0887623463430545</v>
      </c>
      <c r="BI23" s="439" t="e">
        <f>'Wind speed'!T25/'Wind speed'!T$23</f>
        <v>#DIV/0!</v>
      </c>
      <c r="BJ23" s="439" t="e">
        <f>'Wind speed'!U25/'Wind speed'!U$23</f>
        <v>#DIV/0!</v>
      </c>
      <c r="BK23" s="439" t="e">
        <f>'Wind speed'!V25/'Wind speed'!V$23</f>
        <v>#DIV/0!</v>
      </c>
      <c r="BL23" s="439" t="e">
        <f>'Wind speed'!W25/'Wind speed'!W$23</f>
        <v>#DIV/0!</v>
      </c>
      <c r="BM23" s="439"/>
      <c r="BO23" s="439">
        <f t="shared" ref="BO23:CE23" si="23">AW23*(1+$BP$6*AW41)</f>
        <v>1.2017680988243082</v>
      </c>
      <c r="BP23" s="439">
        <f t="shared" si="23"/>
        <v>1.2392003732775225</v>
      </c>
      <c r="BQ23" s="439">
        <f t="shared" si="23"/>
        <v>1.2997575156611025</v>
      </c>
      <c r="BR23" s="439">
        <f t="shared" si="23"/>
        <v>1.3665035053649464</v>
      </c>
      <c r="BS23" s="439">
        <f t="shared" si="23"/>
        <v>1.4932441806851158</v>
      </c>
      <c r="BT23" s="439">
        <f t="shared" si="23"/>
        <v>1.2017680988243082</v>
      </c>
      <c r="BU23" s="439">
        <f t="shared" si="23"/>
        <v>1.2392003732775225</v>
      </c>
      <c r="BV23" s="439">
        <f t="shared" si="23"/>
        <v>1.2997575156611025</v>
      </c>
      <c r="BW23" s="439">
        <f t="shared" si="23"/>
        <v>1.3665035053649464</v>
      </c>
      <c r="BX23" s="439">
        <f t="shared" si="23"/>
        <v>1.4932441806851158</v>
      </c>
      <c r="BY23" s="439">
        <f t="shared" si="23"/>
        <v>1.4353247576213881</v>
      </c>
      <c r="BZ23" s="439">
        <f t="shared" si="23"/>
        <v>1.3854805933950987</v>
      </c>
      <c r="CA23" s="439" t="e">
        <f t="shared" si="23"/>
        <v>#DIV/0!</v>
      </c>
      <c r="CB23" s="439" t="e">
        <f t="shared" si="23"/>
        <v>#DIV/0!</v>
      </c>
      <c r="CC23" s="439" t="e">
        <f t="shared" si="23"/>
        <v>#DIV/0!</v>
      </c>
      <c r="CD23" s="439" t="e">
        <f t="shared" si="23"/>
        <v>#DIV/0!</v>
      </c>
      <c r="CE23" s="439">
        <f t="shared" si="23"/>
        <v>0</v>
      </c>
    </row>
    <row r="24" spans="1:83" ht="15.75" x14ac:dyDescent="0.25">
      <c r="A24" s="365"/>
      <c r="AC24" s="459">
        <f t="shared" si="16"/>
        <v>300</v>
      </c>
      <c r="AD24" t="e">
        <f t="shared" si="14"/>
        <v>#N/A</v>
      </c>
      <c r="AE24">
        <f t="shared" si="17"/>
        <v>0.17250685387533324</v>
      </c>
      <c r="AF24">
        <f t="shared" si="17"/>
        <v>9.2686533839626981E-2</v>
      </c>
      <c r="AU24" s="457">
        <f t="shared" si="4"/>
        <v>20</v>
      </c>
      <c r="AV24" s="440"/>
      <c r="AW24" s="436"/>
      <c r="AX24" s="436"/>
      <c r="AY24" s="436"/>
      <c r="AZ24" s="436"/>
      <c r="BA24" s="436"/>
      <c r="BB24" s="436"/>
      <c r="BC24" s="436"/>
      <c r="BD24" s="436"/>
      <c r="BE24" s="436"/>
      <c r="BF24" s="436"/>
      <c r="BG24" s="436"/>
      <c r="BH24" s="436"/>
      <c r="BI24" s="436"/>
      <c r="BJ24" s="436"/>
      <c r="BK24" s="436"/>
      <c r="BL24" s="436"/>
      <c r="BM24" s="436"/>
    </row>
    <row r="25" spans="1:83" ht="15.75" x14ac:dyDescent="0.25">
      <c r="A25" s="365"/>
      <c r="AC25" s="459">
        <f t="shared" si="16"/>
        <v>400</v>
      </c>
      <c r="AD25" t="e">
        <f t="shared" si="14"/>
        <v>#N/A</v>
      </c>
      <c r="AE25">
        <f t="shared" si="17"/>
        <v>0.14909538278584866</v>
      </c>
      <c r="AF25">
        <f t="shared" si="17"/>
        <v>8.3472278417976956E-2</v>
      </c>
      <c r="AU25" s="457">
        <f t="shared" si="4"/>
        <v>21</v>
      </c>
      <c r="AV25" s="437" t="s">
        <v>364</v>
      </c>
      <c r="AW25" s="438" t="s">
        <v>368</v>
      </c>
      <c r="AX25" s="439"/>
      <c r="AY25" s="439"/>
      <c r="AZ25" s="439"/>
      <c r="BA25" s="439"/>
      <c r="BB25" s="439"/>
      <c r="BC25" s="439"/>
      <c r="BD25" s="439"/>
      <c r="BE25" s="439"/>
      <c r="BF25" s="439"/>
      <c r="BG25" s="439"/>
      <c r="BH25" s="439"/>
      <c r="BI25" s="439"/>
      <c r="BJ25" s="439"/>
      <c r="BK25" s="439"/>
      <c r="BL25" s="439"/>
      <c r="BM25" s="439"/>
    </row>
    <row r="26" spans="1:83" ht="15.75" x14ac:dyDescent="0.25">
      <c r="A26" s="365"/>
      <c r="AC26" s="459">
        <f t="shared" si="16"/>
        <v>600</v>
      </c>
      <c r="AD26" t="e">
        <f t="shared" si="14"/>
        <v>#N/A</v>
      </c>
      <c r="AE26">
        <f t="shared" si="17"/>
        <v>0.11629481987205881</v>
      </c>
      <c r="AF26">
        <f t="shared" si="17"/>
        <v>7.080703050658646E-2</v>
      </c>
      <c r="AU26" s="457">
        <f t="shared" si="4"/>
        <v>22</v>
      </c>
      <c r="AV26" s="440">
        <f>'u-component turbulence'!B9</f>
        <v>10</v>
      </c>
      <c r="AW26" s="439">
        <f>'u-component turbulence'!H9</f>
        <v>0.14123980841495135</v>
      </c>
      <c r="AX26" s="439">
        <f>'u-component turbulence'!I9</f>
        <v>0.16602307074333802</v>
      </c>
      <c r="AY26" s="439">
        <f>'u-component turbulence'!J9</f>
        <v>0.21131742741810233</v>
      </c>
      <c r="AZ26" s="439">
        <f>'u-component turbulence'!K9</f>
        <v>0.28225140223532202</v>
      </c>
      <c r="BA26" s="439">
        <f>'u-component turbulence'!L9</f>
        <v>0.56371187007084411</v>
      </c>
      <c r="BB26" s="439">
        <f>'u-component turbulence'!M9</f>
        <v>0.14123980841495135</v>
      </c>
      <c r="BC26" s="439">
        <f>'u-component turbulence'!N9</f>
        <v>0.16602307074333802</v>
      </c>
      <c r="BD26" s="439">
        <f>'u-component turbulence'!O9</f>
        <v>0.21131742741810233</v>
      </c>
      <c r="BE26" s="439">
        <f>'u-component turbulence'!P9</f>
        <v>0.28225140223532202</v>
      </c>
      <c r="BF26" s="439">
        <f>'u-component turbulence'!Q9</f>
        <v>0.56371187007084411</v>
      </c>
      <c r="BG26" s="439">
        <f>'u-component turbulence'!R9</f>
        <v>0.39491696847115243</v>
      </c>
      <c r="BH26" s="439">
        <f>'u-component turbulence'!S9</f>
        <v>0.30781576447878134</v>
      </c>
      <c r="BI26" s="439">
        <f>'u-component turbulence'!T9</f>
        <v>0</v>
      </c>
      <c r="BJ26" s="439">
        <f>'u-component turbulence'!U9</f>
        <v>0</v>
      </c>
      <c r="BK26" s="439">
        <f>'u-component turbulence'!V9</f>
        <v>0</v>
      </c>
      <c r="BL26" s="439">
        <f>'u-component turbulence'!W9</f>
        <v>0</v>
      </c>
      <c r="BM26" s="439"/>
    </row>
    <row r="27" spans="1:83" ht="15.75" x14ac:dyDescent="0.25">
      <c r="A27" s="365" t="s">
        <v>267</v>
      </c>
      <c r="AC27" s="458"/>
      <c r="AU27" s="457">
        <f t="shared" si="4"/>
        <v>23</v>
      </c>
      <c r="AV27" s="440">
        <f>'u-component turbulence'!B10</f>
        <v>30</v>
      </c>
      <c r="AW27" s="439">
        <f>'u-component turbulence'!H10</f>
        <v>0.12817176575231357</v>
      </c>
      <c r="AX27" s="439">
        <f>'u-component turbulence'!I10</f>
        <v>0.14934818806161623</v>
      </c>
      <c r="AY27" s="439">
        <f>'u-component turbulence'!J10</f>
        <v>0.18499145538091874</v>
      </c>
      <c r="AZ27" s="439">
        <f>'u-component turbulence'!K10</f>
        <v>0.23013564393821373</v>
      </c>
      <c r="BA27" s="439">
        <f>'u-component turbulence'!L10</f>
        <v>0.34074603819946286</v>
      </c>
      <c r="BB27" s="439">
        <f>'u-component turbulence'!M10</f>
        <v>0.12817176575231357</v>
      </c>
      <c r="BC27" s="439">
        <f>'u-component turbulence'!N10</f>
        <v>0.14934818806161623</v>
      </c>
      <c r="BD27" s="439">
        <f>'u-component turbulence'!O10</f>
        <v>0.18499145538091874</v>
      </c>
      <c r="BE27" s="439">
        <f>'u-component turbulence'!P10</f>
        <v>0.23013564393821373</v>
      </c>
      <c r="BF27" s="439">
        <f>'u-component turbulence'!Q10</f>
        <v>0.34074603819946286</v>
      </c>
      <c r="BG27" s="439">
        <f>'u-component turbulence'!R10</f>
        <v>0.28450049766762042</v>
      </c>
      <c r="BH27" s="439">
        <f>'u-component turbulence'!S10</f>
        <v>0.24429444080719104</v>
      </c>
      <c r="BI27" s="439">
        <f>'u-component turbulence'!T10</f>
        <v>0</v>
      </c>
      <c r="BJ27" s="439">
        <f>'u-component turbulence'!U10</f>
        <v>0</v>
      </c>
      <c r="BK27" s="439">
        <f>'u-component turbulence'!V10</f>
        <v>0</v>
      </c>
      <c r="BL27" s="439">
        <f>'u-component turbulence'!W10</f>
        <v>0</v>
      </c>
      <c r="BM27" s="439"/>
    </row>
    <row r="28" spans="1:83" ht="15.75" x14ac:dyDescent="0.25">
      <c r="A28" s="365"/>
      <c r="AC28" s="458"/>
      <c r="AD28" s="455" t="s">
        <v>378</v>
      </c>
      <c r="AE28" s="455"/>
      <c r="AF28" s="455"/>
      <c r="AU28" s="457">
        <f t="shared" si="4"/>
        <v>24</v>
      </c>
      <c r="AV28" s="440">
        <f>'u-component turbulence'!B11</f>
        <v>50</v>
      </c>
      <c r="AW28" s="439">
        <f>'u-component turbulence'!H11</f>
        <v>0.12022818337227335</v>
      </c>
      <c r="AX28" s="439">
        <f>'u-component turbulence'!I11</f>
        <v>0.140443386910407</v>
      </c>
      <c r="AY28" s="439">
        <f>'u-component turbulence'!J11</f>
        <v>0.17349202900465818</v>
      </c>
      <c r="AZ28" s="439">
        <f>'u-component turbulence'!K11</f>
        <v>0.21198279427250416</v>
      </c>
      <c r="BA28" s="439">
        <f>'u-component turbulence'!L11</f>
        <v>0.29410988773644936</v>
      </c>
      <c r="BB28" s="439">
        <f>'u-component turbulence'!M11</f>
        <v>0.12022818337227335</v>
      </c>
      <c r="BC28" s="439">
        <f>'u-component turbulence'!N11</f>
        <v>0.140443386910407</v>
      </c>
      <c r="BD28" s="439">
        <f>'u-component turbulence'!O11</f>
        <v>0.17349202900465818</v>
      </c>
      <c r="BE28" s="439">
        <f>'u-component turbulence'!P11</f>
        <v>0.21198279427250416</v>
      </c>
      <c r="BF28" s="439">
        <f>'u-component turbulence'!Q11</f>
        <v>0.29410988773644936</v>
      </c>
      <c r="BG28" s="439">
        <f>'u-component turbulence'!R11</f>
        <v>0.25456848305528218</v>
      </c>
      <c r="BH28" s="439">
        <f>'u-component turbulence'!S11</f>
        <v>0.22357666553449848</v>
      </c>
      <c r="BI28" s="439">
        <f>'u-component turbulence'!T11</f>
        <v>0</v>
      </c>
      <c r="BJ28" s="439">
        <f>'u-component turbulence'!U11</f>
        <v>0</v>
      </c>
      <c r="BK28" s="439">
        <f>'u-component turbulence'!V11</f>
        <v>0</v>
      </c>
      <c r="BL28" s="439">
        <f>'u-component turbulence'!W11</f>
        <v>0</v>
      </c>
      <c r="BM28" s="439"/>
    </row>
    <row r="29" spans="1:83" ht="15.75" x14ac:dyDescent="0.25">
      <c r="A29" s="365"/>
      <c r="AC29" s="459">
        <f>AC18</f>
        <v>10</v>
      </c>
      <c r="AD29" t="e">
        <f>AD7*(1+$AE$4*AD18)</f>
        <v>#N/A</v>
      </c>
      <c r="AE29">
        <f>AE7*(1+$AE$4*AE18)</f>
        <v>0.59399555199131748</v>
      </c>
      <c r="AF29">
        <f>AF7*(1+$AE$4*AF18)</f>
        <v>0.8739450034361268</v>
      </c>
      <c r="AU29" s="457">
        <f t="shared" si="4"/>
        <v>25</v>
      </c>
      <c r="AV29" s="440">
        <f>'u-component turbulence'!B12</f>
        <v>100</v>
      </c>
      <c r="AW29" s="439">
        <f>'u-component turbulence'!H12</f>
        <v>0.10599283782193085</v>
      </c>
      <c r="AX29" s="439">
        <f>'u-component turbulence'!I12</f>
        <v>0.12524626895922755</v>
      </c>
      <c r="AY29" s="439">
        <f>'u-component turbulence'!J12</f>
        <v>0.15589294836729869</v>
      </c>
      <c r="AZ29" s="439">
        <f>'u-component turbulence'!K12</f>
        <v>0.18855319135366194</v>
      </c>
      <c r="BA29" s="439">
        <f>'u-component turbulence'!L12</f>
        <v>0.24764004543760038</v>
      </c>
      <c r="BB29" s="439">
        <f>'u-component turbulence'!M12</f>
        <v>0.10599283782193085</v>
      </c>
      <c r="BC29" s="439">
        <f>'u-component turbulence'!N12</f>
        <v>0.12524626895922755</v>
      </c>
      <c r="BD29" s="439">
        <f>'u-component turbulence'!O12</f>
        <v>0.15589294836729869</v>
      </c>
      <c r="BE29" s="439">
        <f>'u-component turbulence'!P12</f>
        <v>0.18855319135366194</v>
      </c>
      <c r="BF29" s="439">
        <f>'u-component turbulence'!Q12</f>
        <v>0.24764004543760038</v>
      </c>
      <c r="BG29" s="439">
        <f>'u-component turbulence'!R12</f>
        <v>0.22160550025981512</v>
      </c>
      <c r="BH29" s="439">
        <f>'u-component turbulence'!S12</f>
        <v>0.19770120441017569</v>
      </c>
      <c r="BI29" s="439">
        <f>'u-component turbulence'!T12</f>
        <v>0</v>
      </c>
      <c r="BJ29" s="439">
        <f>'u-component turbulence'!U12</f>
        <v>0</v>
      </c>
      <c r="BK29" s="439">
        <f>'u-component turbulence'!V12</f>
        <v>0</v>
      </c>
      <c r="BL29" s="439">
        <f>'u-component turbulence'!W12</f>
        <v>0</v>
      </c>
      <c r="BM29" s="439"/>
    </row>
    <row r="30" spans="1:83" ht="15.75" x14ac:dyDescent="0.25">
      <c r="A30" s="365"/>
      <c r="AC30" s="459">
        <f t="shared" ref="AC30:AC37" si="24">AC19</f>
        <v>30</v>
      </c>
      <c r="AD30" t="e">
        <f t="shared" ref="AD30:AF37" si="25">AD8*(1+$AE$4*AD19)</f>
        <v>#N/A</v>
      </c>
      <c r="AE30">
        <f t="shared" si="25"/>
        <v>0.93440935707419415</v>
      </c>
      <c r="AF30">
        <f t="shared" si="25"/>
        <v>1.0120409839737712</v>
      </c>
      <c r="AU30" s="457">
        <f t="shared" si="4"/>
        <v>26</v>
      </c>
      <c r="AV30" s="440">
        <f>'u-component turbulence'!B13</f>
        <v>150</v>
      </c>
      <c r="AW30" s="439">
        <f>'u-component turbulence'!H13</f>
        <v>9.5669718346991575E-2</v>
      </c>
      <c r="AX30" s="439">
        <f>'u-component turbulence'!I13</f>
        <v>0.11424051285719854</v>
      </c>
      <c r="AY30" s="439">
        <f>'u-component turbulence'!J13</f>
        <v>0.14363109354190495</v>
      </c>
      <c r="AZ30" s="439">
        <f>'u-component turbulence'!K13</f>
        <v>0.17173944227607035</v>
      </c>
      <c r="BA30" s="439">
        <f>'u-component turbulence'!L13</f>
        <v>0.22306102565603547</v>
      </c>
      <c r="BB30" s="439">
        <f>'u-component turbulence'!M13</f>
        <v>9.5669718346991575E-2</v>
      </c>
      <c r="BC30" s="439">
        <f>'u-component turbulence'!N13</f>
        <v>0.11424051285719854</v>
      </c>
      <c r="BD30" s="439">
        <f>'u-component turbulence'!O13</f>
        <v>0.14363109354190495</v>
      </c>
      <c r="BE30" s="439">
        <f>'u-component turbulence'!P13</f>
        <v>0.17173944227607035</v>
      </c>
      <c r="BF30" s="439">
        <f>'u-component turbulence'!Q13</f>
        <v>0.22306102565603547</v>
      </c>
      <c r="BG30" s="439">
        <f>'u-component turbulence'!R13</f>
        <v>0.20116761437545003</v>
      </c>
      <c r="BH30" s="439">
        <f>'u-component turbulence'!S13</f>
        <v>0.17999422749016633</v>
      </c>
      <c r="BI30" s="439">
        <f>'u-component turbulence'!T13</f>
        <v>0</v>
      </c>
      <c r="BJ30" s="439">
        <f>'u-component turbulence'!U13</f>
        <v>0</v>
      </c>
      <c r="BK30" s="439">
        <f>'u-component turbulence'!V13</f>
        <v>0</v>
      </c>
      <c r="BL30" s="439">
        <f>'u-component turbulence'!W13</f>
        <v>0</v>
      </c>
      <c r="BM30" s="439"/>
    </row>
    <row r="31" spans="1:83" ht="15.75" x14ac:dyDescent="0.25">
      <c r="A31" s="365"/>
      <c r="AC31" s="459">
        <f t="shared" si="24"/>
        <v>50</v>
      </c>
      <c r="AD31" t="e">
        <f t="shared" si="25"/>
        <v>#N/A</v>
      </c>
      <c r="AE31">
        <f t="shared" si="25"/>
        <v>1.0938324974323679</v>
      </c>
      <c r="AF31">
        <f t="shared" si="25"/>
        <v>1.0749745392222505</v>
      </c>
      <c r="AU31" s="457">
        <f t="shared" si="4"/>
        <v>27</v>
      </c>
      <c r="AV31" s="440">
        <f>'u-component turbulence'!B14</f>
        <v>200</v>
      </c>
      <c r="AW31" s="439">
        <f>'u-component turbulence'!H14</f>
        <v>8.770444438167227E-2</v>
      </c>
      <c r="AX31" s="439">
        <f>'u-component turbulence'!I14</f>
        <v>0.1055812207708879</v>
      </c>
      <c r="AY31" s="439">
        <f>'u-component turbulence'!J14</f>
        <v>0.13390313476801766</v>
      </c>
      <c r="AZ31" s="439">
        <f>'u-component turbulence'!K14</f>
        <v>0.1579311308425434</v>
      </c>
      <c r="BA31" s="439">
        <f>'u-component turbulence'!L14</f>
        <v>0.20336965096483539</v>
      </c>
      <c r="BB31" s="439">
        <f>'u-component turbulence'!M14</f>
        <v>8.770444438167227E-2</v>
      </c>
      <c r="BC31" s="439">
        <f>'u-component turbulence'!N14</f>
        <v>0.1055812207708879</v>
      </c>
      <c r="BD31" s="439">
        <f>'u-component turbulence'!O14</f>
        <v>0.13390313476801766</v>
      </c>
      <c r="BE31" s="439">
        <f>'u-component turbulence'!P14</f>
        <v>0.1579311308425434</v>
      </c>
      <c r="BF31" s="439">
        <f>'u-component turbulence'!Q14</f>
        <v>0.20336965096483539</v>
      </c>
      <c r="BG31" s="439">
        <f>'u-component turbulence'!R14</f>
        <v>0.18481447748471674</v>
      </c>
      <c r="BH31" s="439">
        <f>'u-component turbulence'!S14</f>
        <v>0.16524532974560346</v>
      </c>
      <c r="BI31" s="439">
        <f>'u-component turbulence'!T14</f>
        <v>0</v>
      </c>
      <c r="BJ31" s="439">
        <f>'u-component turbulence'!U14</f>
        <v>0</v>
      </c>
      <c r="BK31" s="439">
        <f>'u-component turbulence'!V14</f>
        <v>0</v>
      </c>
      <c r="BL31" s="439">
        <f>'u-component turbulence'!W14</f>
        <v>0</v>
      </c>
      <c r="BM31" s="439"/>
    </row>
    <row r="32" spans="1:83" ht="15.75" x14ac:dyDescent="0.25">
      <c r="A32" s="365"/>
      <c r="AC32" s="459">
        <f t="shared" si="24"/>
        <v>100</v>
      </c>
      <c r="AD32" t="e">
        <f t="shared" si="25"/>
        <v>#N/A</v>
      </c>
      <c r="AE32">
        <f t="shared" si="25"/>
        <v>1.3032773720605579</v>
      </c>
      <c r="AF32">
        <f t="shared" si="25"/>
        <v>1.158234478959391</v>
      </c>
      <c r="AU32" s="457">
        <f t="shared" si="4"/>
        <v>28</v>
      </c>
      <c r="AV32" s="440">
        <f>'u-component turbulence'!B15</f>
        <v>300</v>
      </c>
      <c r="AW32" s="439">
        <f>'u-component turbulence'!H15</f>
        <v>7.6210987912681077E-2</v>
      </c>
      <c r="AX32" s="439">
        <f>'u-component turbulence'!I15</f>
        <v>9.2686533839626981E-2</v>
      </c>
      <c r="AY32" s="439">
        <f>'u-component turbulence'!J15</f>
        <v>0.1189825957116368</v>
      </c>
      <c r="AZ32" s="439">
        <f>'u-component turbulence'!K15</f>
        <v>0.13645565704764426</v>
      </c>
      <c r="BA32" s="439">
        <f>'u-component turbulence'!L15</f>
        <v>0.17250685387533324</v>
      </c>
      <c r="BB32" s="439">
        <f>'u-component turbulence'!M15</f>
        <v>7.6210987912681077E-2</v>
      </c>
      <c r="BC32" s="439">
        <f>'u-component turbulence'!N15</f>
        <v>9.2686533839626981E-2</v>
      </c>
      <c r="BD32" s="439">
        <f>'u-component turbulence'!O15</f>
        <v>0.1189825957116368</v>
      </c>
      <c r="BE32" s="439">
        <f>'u-component turbulence'!P15</f>
        <v>0.13645565704764426</v>
      </c>
      <c r="BF32" s="439">
        <f>'u-component turbulence'!Q15</f>
        <v>0.17250685387533324</v>
      </c>
      <c r="BG32" s="439">
        <f>'u-component turbulence'!R15</f>
        <v>0.15870201724136757</v>
      </c>
      <c r="BH32" s="439">
        <f>'u-component turbulence'!S15</f>
        <v>0.14218388183976</v>
      </c>
      <c r="BI32" s="439">
        <f>'u-component turbulence'!T15</f>
        <v>0</v>
      </c>
      <c r="BJ32" s="439">
        <f>'u-component turbulence'!U15</f>
        <v>0</v>
      </c>
      <c r="BK32" s="439">
        <f>'u-component turbulence'!V15</f>
        <v>0</v>
      </c>
      <c r="BL32" s="439">
        <f>'u-component turbulence'!W15</f>
        <v>0</v>
      </c>
      <c r="BM32" s="439"/>
    </row>
    <row r="33" spans="1:83" ht="15.75" x14ac:dyDescent="0.25">
      <c r="A33" s="365"/>
      <c r="AC33" s="459">
        <f t="shared" si="24"/>
        <v>150</v>
      </c>
      <c r="AD33" t="e">
        <f t="shared" si="25"/>
        <v>#N/A</v>
      </c>
      <c r="AE33">
        <f t="shared" si="25"/>
        <v>1.4156298497387061</v>
      </c>
      <c r="AF33">
        <f t="shared" si="25"/>
        <v>1.2062501418928762</v>
      </c>
      <c r="AU33" s="457">
        <f t="shared" si="4"/>
        <v>29</v>
      </c>
      <c r="AV33" s="440">
        <f>'u-component turbulence'!B16</f>
        <v>400</v>
      </c>
      <c r="AW33" s="439">
        <f>'u-component turbulence'!H16</f>
        <v>6.8285413451198665E-2</v>
      </c>
      <c r="AX33" s="439">
        <f>'u-component turbulence'!I16</f>
        <v>8.3472278417976956E-2</v>
      </c>
      <c r="AY33" s="439">
        <f>'u-component turbulence'!J16</f>
        <v>0.10788300573964435</v>
      </c>
      <c r="AZ33" s="439">
        <f>'u-component turbulence'!K16</f>
        <v>0.12056174254356307</v>
      </c>
      <c r="BA33" s="439">
        <f>'u-component turbulence'!L16</f>
        <v>0.14909538278584866</v>
      </c>
      <c r="BB33" s="439">
        <f>'u-component turbulence'!M16</f>
        <v>6.8285413451198665E-2</v>
      </c>
      <c r="BC33" s="439">
        <f>'u-component turbulence'!N16</f>
        <v>8.3472278417976956E-2</v>
      </c>
      <c r="BD33" s="439">
        <f>'u-component turbulence'!O16</f>
        <v>0.10788300573964435</v>
      </c>
      <c r="BE33" s="439">
        <f>'u-component turbulence'!P16</f>
        <v>0.12056174254356307</v>
      </c>
      <c r="BF33" s="439">
        <f>'u-component turbulence'!Q16</f>
        <v>0.14909538278584866</v>
      </c>
      <c r="BG33" s="439">
        <f>'u-component turbulence'!R16</f>
        <v>0.13847984093567103</v>
      </c>
      <c r="BH33" s="439">
        <f>'u-component turbulence'!S16</f>
        <v>0.12507466330884276</v>
      </c>
      <c r="BI33" s="439">
        <f>'u-component turbulence'!T16</f>
        <v>0</v>
      </c>
      <c r="BJ33" s="439">
        <f>'u-component turbulence'!U16</f>
        <v>0</v>
      </c>
      <c r="BK33" s="439">
        <f>'u-component turbulence'!V16</f>
        <v>0</v>
      </c>
      <c r="BL33" s="439">
        <f>'u-component turbulence'!W16</f>
        <v>0</v>
      </c>
      <c r="BM33" s="439"/>
    </row>
    <row r="34" spans="1:83" ht="15.75" x14ac:dyDescent="0.25">
      <c r="A34" s="365"/>
      <c r="AC34" s="459">
        <f t="shared" si="24"/>
        <v>200</v>
      </c>
      <c r="AD34" t="e">
        <f t="shared" si="25"/>
        <v>#N/A</v>
      </c>
      <c r="AE34">
        <f t="shared" si="25"/>
        <v>1.4961366824991245</v>
      </c>
      <c r="AF34">
        <f t="shared" si="25"/>
        <v>1.2408421475171276</v>
      </c>
      <c r="AU34" s="457">
        <f t="shared" si="4"/>
        <v>30</v>
      </c>
      <c r="AV34" s="440">
        <f>'u-component turbulence'!B17</f>
        <v>600</v>
      </c>
      <c r="AW34" s="439">
        <f>'u-component turbulence'!H17</f>
        <v>5.7675842652349929E-2</v>
      </c>
      <c r="AX34" s="439">
        <f>'u-component turbulence'!I17</f>
        <v>7.080703050658646E-2</v>
      </c>
      <c r="AY34" s="439">
        <f>'u-component turbulence'!J17</f>
        <v>9.205828697833196E-2</v>
      </c>
      <c r="AZ34" s="439">
        <f>'u-component turbulence'!K17</f>
        <v>9.8718004516844121E-2</v>
      </c>
      <c r="BA34" s="439">
        <f>'u-component turbulence'!L17</f>
        <v>0.11629481987205881</v>
      </c>
      <c r="BB34" s="439">
        <f>'u-component turbulence'!M17</f>
        <v>5.7675842652349929E-2</v>
      </c>
      <c r="BC34" s="439">
        <f>'u-component turbulence'!N17</f>
        <v>7.080703050658646E-2</v>
      </c>
      <c r="BD34" s="439">
        <f>'u-component turbulence'!O17</f>
        <v>9.205828697833196E-2</v>
      </c>
      <c r="BE34" s="439">
        <f>'u-component turbulence'!P17</f>
        <v>9.8718004516844121E-2</v>
      </c>
      <c r="BF34" s="439">
        <f>'u-component turbulence'!Q17</f>
        <v>0.11629481987205881</v>
      </c>
      <c r="BG34" s="439">
        <f>'u-component turbulence'!R17</f>
        <v>0.10972732555585547</v>
      </c>
      <c r="BH34" s="439">
        <f>'u-component turbulence'!S17</f>
        <v>0.10154529189629347</v>
      </c>
      <c r="BI34" s="439">
        <f>'u-component turbulence'!T17</f>
        <v>0</v>
      </c>
      <c r="BJ34" s="439">
        <f>'u-component turbulence'!U17</f>
        <v>0</v>
      </c>
      <c r="BK34" s="439">
        <f>'u-component turbulence'!V17</f>
        <v>0</v>
      </c>
      <c r="BL34" s="439">
        <f>'u-component turbulence'!W17</f>
        <v>0</v>
      </c>
      <c r="BM34" s="439"/>
    </row>
    <row r="35" spans="1:83" ht="15.75" x14ac:dyDescent="0.25">
      <c r="A35" s="365"/>
      <c r="AC35" s="459">
        <f t="shared" si="24"/>
        <v>300</v>
      </c>
      <c r="AD35" t="e">
        <f t="shared" si="25"/>
        <v>#N/A</v>
      </c>
      <c r="AE35">
        <f t="shared" si="25"/>
        <v>1.6075460669255577</v>
      </c>
      <c r="AF35">
        <f t="shared" si="25"/>
        <v>1.2923792280583692</v>
      </c>
      <c r="AU35" s="457">
        <f t="shared" si="4"/>
        <v>31</v>
      </c>
      <c r="AV35" s="441">
        <f>'u-component turbulence'!B18</f>
        <v>1000</v>
      </c>
      <c r="AW35" s="439">
        <f>'u-component turbulence'!H18</f>
        <v>4.412242384835622E-2</v>
      </c>
      <c r="AX35" s="439">
        <f>'u-component turbulence'!I18</f>
        <v>5.4677163357236644E-2</v>
      </c>
      <c r="AY35" s="439">
        <f>'u-component turbulence'!J18</f>
        <v>7.1716651011314705E-2</v>
      </c>
      <c r="AZ35" s="439">
        <f>'u-component turbulence'!K18</f>
        <v>7.3588354969470582E-2</v>
      </c>
      <c r="BA35" s="439">
        <f>'u-component turbulence'!L18</f>
        <v>7.9816550036928349E-2</v>
      </c>
      <c r="BB35" s="439">
        <f>'u-component turbulence'!M18</f>
        <v>4.412242384835622E-2</v>
      </c>
      <c r="BC35" s="439">
        <f>'u-component turbulence'!N18</f>
        <v>5.4677163357236644E-2</v>
      </c>
      <c r="BD35" s="439">
        <f>'u-component turbulence'!O18</f>
        <v>7.1716651011314705E-2</v>
      </c>
      <c r="BE35" s="439">
        <f>'u-component turbulence'!P18</f>
        <v>7.3588354969470582E-2</v>
      </c>
      <c r="BF35" s="439">
        <f>'u-component turbulence'!Q18</f>
        <v>7.9816550036928349E-2</v>
      </c>
      <c r="BG35" s="439">
        <f>'u-component turbulence'!R18</f>
        <v>7.7419272686383586E-2</v>
      </c>
      <c r="BH35" s="439">
        <f>'u-component turbulence'!S18</f>
        <v>7.4633917868496671E-2</v>
      </c>
      <c r="BI35" s="439">
        <f>'u-component turbulence'!T18</f>
        <v>0</v>
      </c>
      <c r="BJ35" s="439">
        <f>'u-component turbulence'!U18</f>
        <v>0</v>
      </c>
      <c r="BK35" s="439">
        <f>'u-component turbulence'!V18</f>
        <v>0</v>
      </c>
      <c r="BL35" s="439">
        <f>'u-component turbulence'!W18</f>
        <v>0</v>
      </c>
      <c r="BM35" s="442"/>
    </row>
    <row r="36" spans="1:83" ht="15.75" x14ac:dyDescent="0.25">
      <c r="A36" s="365"/>
      <c r="AC36" s="459">
        <f t="shared" si="24"/>
        <v>400</v>
      </c>
      <c r="AD36" t="e">
        <f t="shared" si="25"/>
        <v>#N/A</v>
      </c>
      <c r="AE36">
        <f t="shared" si="25"/>
        <v>1.6845648249953427</v>
      </c>
      <c r="AF36">
        <f t="shared" si="25"/>
        <v>1.3327168614097504</v>
      </c>
      <c r="AU36" s="457">
        <f t="shared" si="4"/>
        <v>32</v>
      </c>
      <c r="AV36" s="441">
        <f>'u-component turbulence'!B19</f>
        <v>2000</v>
      </c>
      <c r="AW36" s="439">
        <f>'u-component turbulence'!H19</f>
        <v>2.0951822700282171E-2</v>
      </c>
      <c r="AX36" s="439">
        <f>'u-component turbulence'!I19</f>
        <v>2.8168723072148565E-2</v>
      </c>
      <c r="AY36" s="439">
        <f>'u-component turbulence'!J19</f>
        <v>3.9778824200927709E-2</v>
      </c>
      <c r="AZ36" s="439">
        <f>'u-component turbulence'!K19</f>
        <v>4.0127918606037649E-2</v>
      </c>
      <c r="BA36" s="439">
        <f>'u-component turbulence'!L19</f>
        <v>4.1023742800106636E-2</v>
      </c>
      <c r="BB36" s="439">
        <f>'u-component turbulence'!M19</f>
        <v>2.0951822700282171E-2</v>
      </c>
      <c r="BC36" s="439">
        <f>'u-component turbulence'!N19</f>
        <v>2.8168723072148565E-2</v>
      </c>
      <c r="BD36" s="439">
        <f>'u-component turbulence'!O19</f>
        <v>3.9778824200927709E-2</v>
      </c>
      <c r="BE36" s="439">
        <f>'u-component turbulence'!P19</f>
        <v>4.0127918606037649E-2</v>
      </c>
      <c r="BF36" s="439">
        <f>'u-component turbulence'!Q19</f>
        <v>4.1023742800106636E-2</v>
      </c>
      <c r="BG36" s="439">
        <f>'u-component turbulence'!R19</f>
        <v>4.0805656671114014E-2</v>
      </c>
      <c r="BH36" s="439">
        <f>'u-component turbulence'!S19</f>
        <v>4.0273422945993245E-2</v>
      </c>
      <c r="BI36" s="439">
        <f>'u-component turbulence'!T19</f>
        <v>0</v>
      </c>
      <c r="BJ36" s="439">
        <f>'u-component turbulence'!U19</f>
        <v>0</v>
      </c>
      <c r="BK36" s="439">
        <f>'u-component turbulence'!V19</f>
        <v>0</v>
      </c>
      <c r="BL36" s="439">
        <f>'u-component turbulence'!W19</f>
        <v>0</v>
      </c>
      <c r="BM36" s="442"/>
    </row>
    <row r="37" spans="1:83" ht="15.75" x14ac:dyDescent="0.25">
      <c r="A37" s="365"/>
      <c r="AC37" s="459">
        <f t="shared" si="24"/>
        <v>600</v>
      </c>
      <c r="AD37" t="e">
        <f t="shared" si="25"/>
        <v>#N/A</v>
      </c>
      <c r="AE37">
        <f t="shared" si="25"/>
        <v>1.7927826577509722</v>
      </c>
      <c r="AF37">
        <f t="shared" si="25"/>
        <v>1.3977580890779577</v>
      </c>
      <c r="AU37" s="457">
        <f t="shared" si="4"/>
        <v>33</v>
      </c>
      <c r="AV37" s="441">
        <f>'u-component turbulence'!B20</f>
        <v>609.57025297165501</v>
      </c>
      <c r="AW37" s="439">
        <f>'u-component turbulence'!H20</f>
        <v>5.7269548137458638E-2</v>
      </c>
      <c r="AX37" s="439">
        <f>'u-component turbulence'!I20</f>
        <v>7.0318743687062174E-2</v>
      </c>
      <c r="AY37" s="439">
        <f>'u-component turbulence'!J20</f>
        <v>9.1439692305930756E-2</v>
      </c>
      <c r="AZ37" s="439">
        <f>'u-component turbulence'!K20</f>
        <v>9.7896979518518237E-2</v>
      </c>
      <c r="BA37" s="439">
        <f>'u-component turbulence'!L20</f>
        <v>0.11506204440898903</v>
      </c>
      <c r="BB37" s="439">
        <f>'u-component turbulence'!M20</f>
        <v>5.7269548137458638E-2</v>
      </c>
      <c r="BC37" s="439">
        <f>'u-component turbulence'!N20</f>
        <v>7.0318743687062174E-2</v>
      </c>
      <c r="BD37" s="439">
        <f>'u-component turbulence'!O20</f>
        <v>9.1439692305930756E-2</v>
      </c>
      <c r="BE37" s="439">
        <f>'u-component turbulence'!P20</f>
        <v>9.7896979518518237E-2</v>
      </c>
      <c r="BF37" s="439">
        <f>'u-component turbulence'!Q20</f>
        <v>0.11506204440898903</v>
      </c>
      <c r="BG37" s="439">
        <f>'u-component turbulence'!R20</f>
        <v>0.10864014668261315</v>
      </c>
      <c r="BH37" s="439">
        <f>'u-component turbulence'!S20</f>
        <v>0.10066170525203424</v>
      </c>
      <c r="BI37" s="439">
        <f>'u-component turbulence'!T20</f>
        <v>0</v>
      </c>
      <c r="BJ37" s="439">
        <f>'u-component turbulence'!U20</f>
        <v>0</v>
      </c>
      <c r="BK37" s="439">
        <f>'u-component turbulence'!V20</f>
        <v>0</v>
      </c>
      <c r="BL37" s="439">
        <f>'u-component turbulence'!W20</f>
        <v>0</v>
      </c>
      <c r="BM37" s="442"/>
    </row>
    <row r="38" spans="1:83" ht="15.75" x14ac:dyDescent="0.25">
      <c r="A38" s="365"/>
      <c r="AC38" s="458"/>
      <c r="AU38" s="457">
        <f t="shared" si="4"/>
        <v>34</v>
      </c>
      <c r="AV38" s="441">
        <f>'u-component turbulence'!B21</f>
        <v>54.3</v>
      </c>
      <c r="AW38" s="439">
        <f>'u-component turbulence'!H21</f>
        <v>0.11876168260726419</v>
      </c>
      <c r="AX38" s="439">
        <f>'u-component turbulence'!I21</f>
        <v>0.13885112574490491</v>
      </c>
      <c r="AY38" s="439">
        <f>'u-component turbulence'!J21</f>
        <v>0.17156086620290423</v>
      </c>
      <c r="AZ38" s="439">
        <f>'u-component turbulence'!K21</f>
        <v>0.20915595286716224</v>
      </c>
      <c r="BA38" s="439">
        <f>'u-component turbulence'!L21</f>
        <v>0.28780788720106526</v>
      </c>
      <c r="BB38" s="439">
        <f>'u-component turbulence'!M21</f>
        <v>0.11876168260726419</v>
      </c>
      <c r="BC38" s="439">
        <f>'u-component turbulence'!N21</f>
        <v>0.13885112574490491</v>
      </c>
      <c r="BD38" s="439">
        <f>'u-component turbulence'!O21</f>
        <v>0.17156086620290423</v>
      </c>
      <c r="BE38" s="439">
        <f>'u-component turbulence'!P21</f>
        <v>0.20915595286716224</v>
      </c>
      <c r="BF38" s="439">
        <f>'u-component turbulence'!Q21</f>
        <v>0.28780788720106526</v>
      </c>
      <c r="BG38" s="439">
        <f>'u-component turbulence'!R21</f>
        <v>0.25027839599239898</v>
      </c>
      <c r="BH38" s="439">
        <f>'u-component turbulence'!S21</f>
        <v>0.2203684352481885</v>
      </c>
      <c r="BI38" s="439">
        <f>'u-component turbulence'!T21</f>
        <v>0</v>
      </c>
      <c r="BJ38" s="439">
        <f>'u-component turbulence'!U21</f>
        <v>0</v>
      </c>
      <c r="BK38" s="439">
        <f>'u-component turbulence'!V21</f>
        <v>0</v>
      </c>
      <c r="BL38" s="439">
        <f>'u-component turbulence'!W21</f>
        <v>0</v>
      </c>
      <c r="BM38" s="442"/>
    </row>
    <row r="39" spans="1:83" ht="15.75" x14ac:dyDescent="0.25">
      <c r="A39" s="365"/>
      <c r="AC39" s="458"/>
      <c r="AU39" s="457">
        <f t="shared" si="4"/>
        <v>35</v>
      </c>
      <c r="AV39" s="443">
        <f>'u-component turbulence'!B22</f>
        <v>90.5</v>
      </c>
      <c r="AW39" s="439">
        <f>'u-component turbulence'!H22</f>
        <v>0.10831853440350793</v>
      </c>
      <c r="AX39" s="439">
        <f>'u-component turbulence'!I22</f>
        <v>0.12771035885288606</v>
      </c>
      <c r="AY39" s="439">
        <f>'u-component turbulence'!J22</f>
        <v>0.15865955979843302</v>
      </c>
      <c r="AZ39" s="439">
        <f>'u-component turbulence'!K22</f>
        <v>0.19219132769084138</v>
      </c>
      <c r="BA39" s="439">
        <f>'u-component turbulence'!L22</f>
        <v>0.25349746759784308</v>
      </c>
      <c r="BB39" s="439">
        <f>'u-component turbulence'!M22</f>
        <v>0.10831853440350793</v>
      </c>
      <c r="BC39" s="439">
        <f>'u-component turbulence'!N22</f>
        <v>0.12771035885288606</v>
      </c>
      <c r="BD39" s="439">
        <f>'u-component turbulence'!O22</f>
        <v>0.15865955979843302</v>
      </c>
      <c r="BE39" s="439">
        <f>'u-component turbulence'!P22</f>
        <v>0.19219132769084138</v>
      </c>
      <c r="BF39" s="439">
        <f>'u-component turbulence'!Q22</f>
        <v>0.25349746759784308</v>
      </c>
      <c r="BG39" s="439">
        <f>'u-component turbulence'!R22</f>
        <v>0.22628156778788744</v>
      </c>
      <c r="BH39" s="439">
        <f>'u-component turbulence'!S22</f>
        <v>0.20145727326186952</v>
      </c>
      <c r="BI39" s="439">
        <f>'u-component turbulence'!T22</f>
        <v>0</v>
      </c>
      <c r="BJ39" s="439">
        <f>'u-component turbulence'!U22</f>
        <v>0</v>
      </c>
      <c r="BK39" s="439">
        <f>'u-component turbulence'!V22</f>
        <v>0</v>
      </c>
      <c r="BL39" s="439">
        <f>'u-component turbulence'!W22</f>
        <v>0</v>
      </c>
      <c r="BM39" s="439"/>
    </row>
    <row r="40" spans="1:83" ht="15.75" x14ac:dyDescent="0.25">
      <c r="A40" s="365"/>
      <c r="AC40" s="458"/>
      <c r="AU40" s="457">
        <f t="shared" si="4"/>
        <v>36</v>
      </c>
      <c r="AV40" s="441">
        <f>'u-component turbulence'!B23</f>
        <v>120.7</v>
      </c>
      <c r="AW40" s="439">
        <f>'u-component turbulence'!H23</f>
        <v>0.10136646185266636</v>
      </c>
      <c r="AX40" s="439">
        <f>'u-component turbulence'!I23</f>
        <v>0.12033426426237992</v>
      </c>
      <c r="AY40" s="439">
        <f>'u-component turbulence'!J23</f>
        <v>0.15041439697904124</v>
      </c>
      <c r="AZ40" s="439">
        <f>'u-component turbulence'!K23</f>
        <v>0.1811554897459601</v>
      </c>
      <c r="BA40" s="439">
        <f>'u-component turbulence'!L23</f>
        <v>0.23667254275369529</v>
      </c>
      <c r="BB40" s="439">
        <f>'u-component turbulence'!M23</f>
        <v>0.10136646185266636</v>
      </c>
      <c r="BC40" s="439">
        <f>'u-component turbulence'!N23</f>
        <v>0.12033426426237992</v>
      </c>
      <c r="BD40" s="439">
        <f>'u-component turbulence'!O23</f>
        <v>0.15041439697904124</v>
      </c>
      <c r="BE40" s="439">
        <f>'u-component turbulence'!P23</f>
        <v>0.1811554897459601</v>
      </c>
      <c r="BF40" s="439">
        <f>'u-component turbulence'!Q23</f>
        <v>0.23667254275369529</v>
      </c>
      <c r="BG40" s="439">
        <f>'u-component turbulence'!R23</f>
        <v>0.21244327899944421</v>
      </c>
      <c r="BH40" s="439">
        <f>'u-component turbulence'!S23</f>
        <v>0.18996455122229031</v>
      </c>
      <c r="BI40" s="439">
        <f>'u-component turbulence'!T23</f>
        <v>0</v>
      </c>
      <c r="BJ40" s="439">
        <f>'u-component turbulence'!U23</f>
        <v>0</v>
      </c>
      <c r="BK40" s="439">
        <f>'u-component turbulence'!V23</f>
        <v>0</v>
      </c>
      <c r="BL40" s="439">
        <f>'u-component turbulence'!W23</f>
        <v>0</v>
      </c>
      <c r="BM40" s="442"/>
    </row>
    <row r="41" spans="1:83" ht="15.75" x14ac:dyDescent="0.25">
      <c r="A41" s="365"/>
      <c r="AC41" s="458"/>
      <c r="AU41" s="457">
        <f t="shared" si="4"/>
        <v>37</v>
      </c>
      <c r="AV41" s="443">
        <f>'u-component turbulence'!B24</f>
        <v>144.80000000000001</v>
      </c>
      <c r="AW41" s="439">
        <f>'u-component turbulence'!H24</f>
        <v>9.6617106154629318E-2</v>
      </c>
      <c r="AX41" s="439">
        <f>'u-component turbulence'!I24</f>
        <v>0.115258672294374</v>
      </c>
      <c r="AY41" s="439">
        <f>'u-component turbulence'!J24</f>
        <v>0.14476606087004473</v>
      </c>
      <c r="AZ41" s="439">
        <f>'u-component turbulence'!K24</f>
        <v>0.17333019251166634</v>
      </c>
      <c r="BA41" s="439">
        <f>'u-component turbulence'!L24</f>
        <v>0.22534371949097329</v>
      </c>
      <c r="BB41" s="439">
        <f>'u-component turbulence'!M24</f>
        <v>9.6617106154629318E-2</v>
      </c>
      <c r="BC41" s="439">
        <f>'u-component turbulence'!N24</f>
        <v>0.115258672294374</v>
      </c>
      <c r="BD41" s="439">
        <f>'u-component turbulence'!O24</f>
        <v>0.14476606087004473</v>
      </c>
      <c r="BE41" s="439">
        <f>'u-component turbulence'!P24</f>
        <v>0.17333019251166634</v>
      </c>
      <c r="BF41" s="439">
        <f>'u-component turbulence'!Q24</f>
        <v>0.22534371949097329</v>
      </c>
      <c r="BG41" s="439">
        <f>'u-component turbulence'!R24</f>
        <v>0.20305576040963857</v>
      </c>
      <c r="BH41" s="439">
        <f>'u-component turbulence'!S24</f>
        <v>0.18168534700504313</v>
      </c>
      <c r="BI41" s="439">
        <f>'u-component turbulence'!T24</f>
        <v>0</v>
      </c>
      <c r="BJ41" s="439">
        <f>'u-component turbulence'!U24</f>
        <v>0</v>
      </c>
      <c r="BK41" s="439">
        <f>'u-component turbulence'!V24</f>
        <v>0</v>
      </c>
      <c r="BL41" s="439">
        <f>'u-component turbulence'!W24</f>
        <v>0</v>
      </c>
      <c r="BM41" s="439"/>
    </row>
    <row r="42" spans="1:83" ht="15.75" x14ac:dyDescent="0.25">
      <c r="A42" s="365"/>
      <c r="AC42" s="458"/>
      <c r="AU42" s="434"/>
      <c r="AV42" s="436"/>
      <c r="AW42" s="436" t="s">
        <v>359</v>
      </c>
      <c r="AX42" s="436" t="s">
        <v>359</v>
      </c>
      <c r="AY42" s="436"/>
      <c r="AZ42" s="436"/>
      <c r="BA42" s="436"/>
      <c r="BB42" s="436"/>
      <c r="BC42" s="436"/>
      <c r="BD42" s="436"/>
      <c r="BE42" s="436"/>
      <c r="BF42" s="436"/>
      <c r="BG42" s="436"/>
      <c r="BH42" s="436"/>
      <c r="BI42" s="436"/>
      <c r="BJ42" s="436"/>
      <c r="BK42" s="436"/>
      <c r="BL42" s="436"/>
      <c r="BM42" s="436"/>
    </row>
    <row r="43" spans="1:83" ht="15.75" x14ac:dyDescent="0.25">
      <c r="A43" s="365"/>
      <c r="AC43" s="458"/>
      <c r="AU43" s="434"/>
      <c r="AV43" s="444">
        <f>AV22</f>
        <v>120.7</v>
      </c>
      <c r="AW43" s="436">
        <v>0</v>
      </c>
      <c r="AX43" s="436">
        <v>0</v>
      </c>
      <c r="AY43" s="436"/>
      <c r="AZ43" s="436"/>
      <c r="BA43" s="436"/>
      <c r="BB43" s="436"/>
      <c r="BC43" s="436"/>
      <c r="BD43" s="436"/>
      <c r="BE43" s="436"/>
      <c r="BF43" s="436"/>
      <c r="BG43" s="436"/>
      <c r="BH43" s="436"/>
      <c r="BI43" s="436"/>
      <c r="BJ43" s="436"/>
      <c r="BK43" s="436"/>
      <c r="BL43" s="436"/>
      <c r="BM43" s="436"/>
    </row>
    <row r="44" spans="1:83" ht="15.75" x14ac:dyDescent="0.25">
      <c r="A44" s="365"/>
      <c r="AC44" s="458"/>
      <c r="AU44" s="434"/>
      <c r="AV44" s="444">
        <f>AV43</f>
        <v>120.7</v>
      </c>
      <c r="AW44" s="436">
        <v>2</v>
      </c>
      <c r="AX44" s="436">
        <v>0.5</v>
      </c>
      <c r="AY44" s="436"/>
      <c r="AZ44" s="436"/>
      <c r="BA44" s="436"/>
      <c r="BB44" s="436"/>
      <c r="BC44" s="436"/>
      <c r="BD44" s="436"/>
      <c r="BE44" s="436"/>
      <c r="BF44" s="436"/>
      <c r="BG44" s="436"/>
      <c r="BH44" s="436"/>
      <c r="BI44" s="436"/>
      <c r="BJ44" s="436"/>
      <c r="BK44" s="436"/>
      <c r="BL44" s="436"/>
      <c r="BM44" s="436"/>
    </row>
    <row r="45" spans="1:83" ht="15.75" x14ac:dyDescent="0.25">
      <c r="A45" s="365"/>
      <c r="AC45" s="458"/>
      <c r="AU45" s="434"/>
      <c r="AV45" s="436"/>
      <c r="AW45" s="436"/>
      <c r="AX45" s="436"/>
      <c r="AY45" s="436"/>
      <c r="AZ45" s="436"/>
      <c r="BA45" s="436"/>
      <c r="BB45" s="436"/>
      <c r="BC45" s="436"/>
      <c r="BD45" s="436"/>
      <c r="BE45" s="436"/>
      <c r="BF45" s="436"/>
      <c r="BG45" s="436"/>
      <c r="BH45" s="436"/>
      <c r="BI45" s="436"/>
      <c r="BJ45" s="436"/>
      <c r="BK45" s="436"/>
      <c r="BL45" s="436"/>
      <c r="BM45" s="436"/>
    </row>
    <row r="46" spans="1:83" ht="15.75" x14ac:dyDescent="0.25">
      <c r="A46" s="365"/>
      <c r="AC46" s="458"/>
      <c r="AU46" s="434"/>
      <c r="AV46" s="436">
        <f>RWDI_FACTORS!F8</f>
        <v>120.727</v>
      </c>
      <c r="AW46" s="436">
        <f ca="1">HLOOKUP(AW$48,'Profile Data'!$W$3:$AZ$50,PLOTS!$AU70+13,FALSE)</f>
        <v>0.85537872869016185</v>
      </c>
      <c r="AX46" s="436">
        <f ca="1">HLOOKUP(AX$48,'Profile Data'!$W$3:$AZ$50,PLOTS!$AU70+13,FALSE)</f>
        <v>0.7989393763578011</v>
      </c>
      <c r="AY46" s="436">
        <f ca="1">HLOOKUP(AY$48,'Profile Data'!$W$3:$AZ$50,PLOTS!$AU70+13,FALSE)</f>
        <v>0.74552962004366241</v>
      </c>
      <c r="AZ46" s="436">
        <f ca="1">HLOOKUP(AZ$48,'Profile Data'!$W$3:$AZ$50,PLOTS!$AU70+13,FALSE)</f>
        <v>0.68292863240363244</v>
      </c>
      <c r="BA46" s="436">
        <f ca="1">HLOOKUP(BA$48,'Profile Data'!$W$3:$AZ$50,PLOTS!$AU70+13,FALSE)</f>
        <v>0.63281169329142495</v>
      </c>
      <c r="BB46" s="436">
        <f ca="1">HLOOKUP(BB$48,'Profile Data'!$W$3:$AZ$50,PLOTS!$AU70+13,FALSE)</f>
        <v>0.85537872869016185</v>
      </c>
      <c r="BC46" s="436">
        <f ca="1">HLOOKUP(BC$48,'Profile Data'!$W$3:$AZ$50,PLOTS!$AU70+13,FALSE)</f>
        <v>0.7989393763578011</v>
      </c>
      <c r="BD46" s="436">
        <f ca="1">HLOOKUP(BD$48,'Profile Data'!$W$3:$AZ$50,PLOTS!$AU70+13,FALSE)</f>
        <v>0.74552962004366241</v>
      </c>
      <c r="BE46" s="436">
        <f ca="1">HLOOKUP(BE$48,'Profile Data'!$W$3:$AZ$50,PLOTS!$AU70+13,FALSE)</f>
        <v>0.68292863240363244</v>
      </c>
      <c r="BF46" s="436">
        <f ca="1">HLOOKUP(BF$48,'Profile Data'!$W$3:$AZ$50,PLOTS!$AU70+13,FALSE)</f>
        <v>0.63281169329142495</v>
      </c>
      <c r="BG46" s="436">
        <f ca="1">HLOOKUP(BG$48,'Profile Data'!$W$3:$AZ$50,PLOTS!$AU70+13,FALSE)</f>
        <v>0.66216998108328229</v>
      </c>
      <c r="BH46" s="436">
        <f ca="1">HLOOKUP(BH$48,'Profile Data'!$W$3:$AZ$50,PLOTS!$AU70+13,FALSE)</f>
        <v>0.68292863240363244</v>
      </c>
      <c r="BI46" s="436" t="e">
        <f>HLOOKUP(BI$48,'Profile Data'!$W$3:$AZ$50,PLOTS!$AU70+13,FALSE)</f>
        <v>#N/A</v>
      </c>
      <c r="BJ46" s="436" t="e">
        <f>HLOOKUP(BJ$48,'Profile Data'!$W$3:$AZ$50,PLOTS!$AU70+13,FALSE)</f>
        <v>#N/A</v>
      </c>
      <c r="BK46" s="436" t="e">
        <f>HLOOKUP(BK$48,'Profile Data'!$W$3:$AZ$50,PLOTS!$AU70+13,FALSE)</f>
        <v>#N/A</v>
      </c>
      <c r="BL46" s="436" t="e">
        <f>HLOOKUP(BL$48,'Profile Data'!$W$3:$AZ$50,PLOTS!$AU70+13,FALSE)</f>
        <v>#N/A</v>
      </c>
      <c r="BM46" s="436"/>
    </row>
    <row r="47" spans="1:83" ht="15.75" x14ac:dyDescent="0.25">
      <c r="A47" s="365"/>
      <c r="AC47" s="458"/>
      <c r="AU47" s="445"/>
      <c r="AV47" s="436" t="str">
        <f>AV5</f>
        <v>angle range</v>
      </c>
      <c r="AW47" s="450" t="str">
        <f>AW5</f>
        <v>F</v>
      </c>
      <c r="AX47" s="450" t="str">
        <f t="shared" ref="AX47:BL47" si="26">AX5</f>
        <v>G</v>
      </c>
      <c r="AY47" s="450" t="str">
        <f t="shared" si="26"/>
        <v>H</v>
      </c>
      <c r="AZ47" s="450" t="str">
        <f t="shared" si="26"/>
        <v>I</v>
      </c>
      <c r="BA47" s="450" t="str">
        <f t="shared" si="26"/>
        <v>J</v>
      </c>
      <c r="BB47" s="450" t="str">
        <f t="shared" si="26"/>
        <v>K</v>
      </c>
      <c r="BC47" s="450" t="str">
        <f t="shared" si="26"/>
        <v>L</v>
      </c>
      <c r="BD47" s="450" t="str">
        <f t="shared" si="26"/>
        <v>M</v>
      </c>
      <c r="BE47" s="450" t="str">
        <f t="shared" si="26"/>
        <v>N</v>
      </c>
      <c r="BF47" s="450" t="str">
        <f t="shared" si="26"/>
        <v>O</v>
      </c>
      <c r="BG47" s="450" t="str">
        <f t="shared" si="26"/>
        <v>P</v>
      </c>
      <c r="BH47" s="450" t="str">
        <f t="shared" si="26"/>
        <v>Q</v>
      </c>
      <c r="BI47" s="450" t="str">
        <f t="shared" si="26"/>
        <v>R</v>
      </c>
      <c r="BJ47" s="450" t="str">
        <f t="shared" si="26"/>
        <v>S</v>
      </c>
      <c r="BK47" s="450" t="str">
        <f t="shared" si="26"/>
        <v>T</v>
      </c>
      <c r="BL47" s="450" t="str">
        <f t="shared" si="26"/>
        <v>U</v>
      </c>
      <c r="BM47" s="450"/>
    </row>
    <row r="48" spans="1:83" ht="15.75" x14ac:dyDescent="0.25">
      <c r="A48" s="365"/>
      <c r="AC48" s="458"/>
      <c r="AU48" s="445"/>
      <c r="AV48" s="446" t="s">
        <v>363</v>
      </c>
      <c r="AW48" s="451">
        <f ca="1">VLOOKUP(AW5,RWDI_FACTORS!$G$104:$H$139,2,FALSE)</f>
        <v>1</v>
      </c>
      <c r="AX48" s="451">
        <f ca="1">VLOOKUP(AX5,RWDI_FACTORS!$G$104:$H$139,2,FALSE)</f>
        <v>2</v>
      </c>
      <c r="AY48" s="451">
        <f ca="1">VLOOKUP(AY5,RWDI_FACTORS!$G$104:$H$139,2,FALSE)</f>
        <v>3</v>
      </c>
      <c r="AZ48" s="451">
        <f ca="1">VLOOKUP(AZ5,RWDI_FACTORS!$G$104:$H$139,2,FALSE)</f>
        <v>4</v>
      </c>
      <c r="BA48" s="451">
        <f ca="1">VLOOKUP(BA5,RWDI_FACTORS!$G$104:$H$139,2,FALSE)</f>
        <v>6</v>
      </c>
      <c r="BB48" s="451">
        <f ca="1">VLOOKUP(BB5,RWDI_FACTORS!$G$104:$H$139,2,FALSE)</f>
        <v>1</v>
      </c>
      <c r="BC48" s="451">
        <f ca="1">VLOOKUP(BC5,RWDI_FACTORS!$G$104:$H$139,2,FALSE)</f>
        <v>2</v>
      </c>
      <c r="BD48" s="451">
        <f ca="1">VLOOKUP(BD5,RWDI_FACTORS!$G$104:$H$139,2,FALSE)</f>
        <v>3</v>
      </c>
      <c r="BE48" s="451">
        <f ca="1">VLOOKUP(BE5,RWDI_FACTORS!$G$104:$H$139,2,FALSE)</f>
        <v>4</v>
      </c>
      <c r="BF48" s="451">
        <f ca="1">VLOOKUP(BF5,RWDI_FACTORS!$G$104:$H$139,2,FALSE)</f>
        <v>6</v>
      </c>
      <c r="BG48" s="451">
        <f ca="1">VLOOKUP(BG5,RWDI_FACTORS!$G$104:$H$139,2,FALSE)</f>
        <v>5</v>
      </c>
      <c r="BH48" s="451">
        <f ca="1">VLOOKUP(BH5,RWDI_FACTORS!$G$104:$H$139,2,FALSE)</f>
        <v>4</v>
      </c>
      <c r="BI48" s="451" t="e">
        <f>VLOOKUP(BI5,RWDI_FACTORS!$G$104:$H$139,2,FALSE)</f>
        <v>#N/A</v>
      </c>
      <c r="BJ48" s="451" t="e">
        <f>VLOOKUP(BJ5,RWDI_FACTORS!$G$104:$H$139,2,FALSE)</f>
        <v>#N/A</v>
      </c>
      <c r="BK48" s="451" t="e">
        <f>VLOOKUP(BK5,RWDI_FACTORS!$G$104:$H$139,2,FALSE)</f>
        <v>#N/A</v>
      </c>
      <c r="BL48" s="451" t="e">
        <f>VLOOKUP(BL5,RWDI_FACTORS!$G$104:$H$139,2,FALSE)</f>
        <v>#N/A</v>
      </c>
      <c r="BM48" s="451"/>
      <c r="BO48" s="452" t="str">
        <f>BO5</f>
        <v>F</v>
      </c>
      <c r="BP48" s="452" t="str">
        <f t="shared" ref="BP48:CE48" si="27">BP5</f>
        <v>G</v>
      </c>
      <c r="BQ48" s="452" t="str">
        <f t="shared" si="27"/>
        <v>H</v>
      </c>
      <c r="BR48" s="452" t="str">
        <f t="shared" si="27"/>
        <v>I</v>
      </c>
      <c r="BS48" s="452" t="str">
        <f t="shared" si="27"/>
        <v>J</v>
      </c>
      <c r="BT48" s="452" t="str">
        <f t="shared" si="27"/>
        <v>K</v>
      </c>
      <c r="BU48" s="452" t="str">
        <f t="shared" si="27"/>
        <v>L</v>
      </c>
      <c r="BV48" s="452" t="str">
        <f t="shared" si="27"/>
        <v>M</v>
      </c>
      <c r="BW48" s="452" t="str">
        <f t="shared" si="27"/>
        <v>N</v>
      </c>
      <c r="BX48" s="452" t="str">
        <f t="shared" si="27"/>
        <v>O</v>
      </c>
      <c r="BY48" s="452" t="str">
        <f t="shared" si="27"/>
        <v>P</v>
      </c>
      <c r="BZ48" s="452" t="str">
        <f t="shared" si="27"/>
        <v>Q</v>
      </c>
      <c r="CA48" s="452" t="str">
        <f t="shared" si="27"/>
        <v>R</v>
      </c>
      <c r="CB48" s="452" t="str">
        <f t="shared" si="27"/>
        <v>S</v>
      </c>
      <c r="CC48" s="452" t="str">
        <f t="shared" si="27"/>
        <v>T</v>
      </c>
      <c r="CD48" s="452" t="str">
        <f t="shared" si="27"/>
        <v>U</v>
      </c>
      <c r="CE48" s="452">
        <f t="shared" si="27"/>
        <v>0</v>
      </c>
    </row>
    <row r="49" spans="1:83" ht="15.75" x14ac:dyDescent="0.25">
      <c r="A49" s="365"/>
      <c r="AC49" s="458"/>
      <c r="AU49" s="445"/>
      <c r="AV49" s="439"/>
      <c r="AW49" s="447" t="str">
        <f ca="1">"WT Profile "&amp;AW48</f>
        <v>WT Profile 1</v>
      </c>
      <c r="AX49" s="447" t="str">
        <f t="shared" ref="AX49:BL49" ca="1" si="28">"WT Profile "&amp;AX48</f>
        <v>WT Profile 2</v>
      </c>
      <c r="AY49" s="447" t="str">
        <f t="shared" ca="1" si="28"/>
        <v>WT Profile 3</v>
      </c>
      <c r="AZ49" s="447" t="str">
        <f t="shared" ca="1" si="28"/>
        <v>WT Profile 4</v>
      </c>
      <c r="BA49" s="447" t="str">
        <f t="shared" ca="1" si="28"/>
        <v>WT Profile 6</v>
      </c>
      <c r="BB49" s="447" t="str">
        <f t="shared" ca="1" si="28"/>
        <v>WT Profile 1</v>
      </c>
      <c r="BC49" s="447" t="str">
        <f t="shared" ca="1" si="28"/>
        <v>WT Profile 2</v>
      </c>
      <c r="BD49" s="447" t="str">
        <f t="shared" ca="1" si="28"/>
        <v>WT Profile 3</v>
      </c>
      <c r="BE49" s="447" t="str">
        <f t="shared" ca="1" si="28"/>
        <v>WT Profile 4</v>
      </c>
      <c r="BF49" s="447" t="str">
        <f t="shared" ca="1" si="28"/>
        <v>WT Profile 6</v>
      </c>
      <c r="BG49" s="447" t="str">
        <f t="shared" ca="1" si="28"/>
        <v>WT Profile 5</v>
      </c>
      <c r="BH49" s="447" t="str">
        <f t="shared" ca="1" si="28"/>
        <v>WT Profile 4</v>
      </c>
      <c r="BI49" s="447" t="e">
        <f t="shared" si="28"/>
        <v>#N/A</v>
      </c>
      <c r="BJ49" s="447" t="e">
        <f t="shared" si="28"/>
        <v>#N/A</v>
      </c>
      <c r="BK49" s="447" t="e">
        <f t="shared" si="28"/>
        <v>#N/A</v>
      </c>
      <c r="BL49" s="447" t="e">
        <f t="shared" si="28"/>
        <v>#N/A</v>
      </c>
      <c r="BM49" s="447"/>
      <c r="BO49" s="453" t="str">
        <f>BO6</f>
        <v>Gust, gp =</v>
      </c>
      <c r="BP49" s="453">
        <f>BP6</f>
        <v>1.5</v>
      </c>
      <c r="BQ49" s="453"/>
      <c r="BR49" s="453"/>
      <c r="BS49" s="453"/>
      <c r="BT49" s="453"/>
      <c r="BU49" s="453"/>
      <c r="BV49" s="453"/>
      <c r="BW49" s="453"/>
      <c r="BX49" s="453"/>
      <c r="BY49" s="453"/>
      <c r="BZ49" s="453"/>
      <c r="CA49" s="453"/>
      <c r="CB49" s="453"/>
      <c r="CC49" s="453"/>
      <c r="CD49" s="453"/>
      <c r="CE49" s="453"/>
    </row>
    <row r="50" spans="1:83" ht="15.75" x14ac:dyDescent="0.25">
      <c r="A50" s="365"/>
      <c r="AC50" s="458"/>
      <c r="AU50" s="445"/>
      <c r="AV50" s="437" t="s">
        <v>364</v>
      </c>
      <c r="AW50" s="438" t="s">
        <v>380</v>
      </c>
      <c r="AX50" s="439"/>
      <c r="AY50" s="439"/>
      <c r="AZ50" s="439"/>
      <c r="BA50" s="439"/>
      <c r="BB50" s="439"/>
      <c r="BC50" s="439"/>
      <c r="BD50" s="439"/>
      <c r="BE50" s="439"/>
      <c r="BF50" s="439"/>
      <c r="BG50" s="439"/>
      <c r="BH50" s="439"/>
      <c r="BI50" s="439"/>
      <c r="BJ50" s="439"/>
      <c r="BK50" s="439"/>
      <c r="BL50" s="439"/>
      <c r="BM50" s="439"/>
      <c r="BO50" s="438" t="s">
        <v>381</v>
      </c>
      <c r="BP50" s="439"/>
      <c r="BQ50" s="439"/>
      <c r="BR50" s="439"/>
      <c r="BS50" s="439"/>
      <c r="BT50" s="439"/>
      <c r="BU50" s="439"/>
      <c r="BV50" s="439"/>
      <c r="BW50" s="439"/>
      <c r="BX50" s="439"/>
      <c r="BY50" s="439"/>
      <c r="BZ50" s="439"/>
      <c r="CA50" s="439"/>
      <c r="CB50" s="439"/>
      <c r="CC50" s="439"/>
      <c r="CD50" s="439"/>
      <c r="CE50" s="439"/>
    </row>
    <row r="51" spans="1:83" ht="15.75" x14ac:dyDescent="0.25">
      <c r="A51" s="365"/>
      <c r="AC51" s="458"/>
      <c r="AU51" s="445">
        <v>6</v>
      </c>
      <c r="AV51" s="440">
        <f>'Profile Data'!V8*RWDI_FACTORS!$D$7*0.0254</f>
        <v>20.32</v>
      </c>
      <c r="AW51" s="439">
        <f ca="1">HLOOKUP(AW$48,'Profile Data'!$W$3:$AZ$27,PLOTS!$AU51,FALSE)/AW$46</f>
        <v>0.824197975633716</v>
      </c>
      <c r="AX51" s="439">
        <f ca="1">HLOOKUP(AX$48,'Profile Data'!$W$3:$AZ$27,PLOTS!$AU51,FALSE)/AX$46</f>
        <v>0.80949839047170868</v>
      </c>
      <c r="AY51" s="439">
        <f ca="1">HLOOKUP(AY$48,'Profile Data'!$W$3:$AZ$27,PLOTS!$AU51,FALSE)/AY$46</f>
        <v>0.73036594228916563</v>
      </c>
      <c r="AZ51" s="439">
        <f ca="1">HLOOKUP(AZ$48,'Profile Data'!$W$3:$AZ$27,PLOTS!$AU51,FALSE)/AZ$46</f>
        <v>0.64439374020747164</v>
      </c>
      <c r="BA51" s="439">
        <f ca="1">HLOOKUP(BA$48,'Profile Data'!$W$3:$AZ$27,PLOTS!$AU51,FALSE)/BA$46</f>
        <v>0.62527133512284694</v>
      </c>
      <c r="BB51" s="439">
        <f ca="1">HLOOKUP(BB$48,'Profile Data'!$W$3:$AZ$27,PLOTS!$AU51,FALSE)/BB$46</f>
        <v>0.824197975633716</v>
      </c>
      <c r="BC51" s="439">
        <f ca="1">HLOOKUP(BC$48,'Profile Data'!$W$3:$AZ$27,PLOTS!$AU51,FALSE)/BC$46</f>
        <v>0.80949839047170868</v>
      </c>
      <c r="BD51" s="439">
        <f ca="1">HLOOKUP(BD$48,'Profile Data'!$W$3:$AZ$27,PLOTS!$AU51,FALSE)/BD$46</f>
        <v>0.73036594228916563</v>
      </c>
      <c r="BE51" s="439">
        <f ca="1">HLOOKUP(BE$48,'Profile Data'!$W$3:$AZ$27,PLOTS!$AU51,FALSE)/BE$46</f>
        <v>0.64439374020747164</v>
      </c>
      <c r="BF51" s="439">
        <f ca="1">HLOOKUP(BF$48,'Profile Data'!$W$3:$AZ$27,PLOTS!$AU51,FALSE)/BF$46</f>
        <v>0.62527133512284694</v>
      </c>
      <c r="BG51" s="439">
        <f ca="1">HLOOKUP(BG$48,'Profile Data'!$W$3:$AZ$27,PLOTS!$AU51,FALSE)/BG$46</f>
        <v>0.65281396924937107</v>
      </c>
      <c r="BH51" s="439">
        <f ca="1">HLOOKUP(BH$48,'Profile Data'!$W$3:$AZ$27,PLOTS!$AU51,FALSE)/BH$46</f>
        <v>0.64439374020747164</v>
      </c>
      <c r="BI51" s="439" t="e">
        <f>HLOOKUP(BI$48,'Profile Data'!$W$3:$AZ$27,PLOTS!$AU51,FALSE)/BI$46</f>
        <v>#N/A</v>
      </c>
      <c r="BJ51" s="439" t="e">
        <f>HLOOKUP(BJ$48,'Profile Data'!$W$3:$AZ$27,PLOTS!$AU51,FALSE)/BJ$46</f>
        <v>#N/A</v>
      </c>
      <c r="BK51" s="439" t="e">
        <f>HLOOKUP(BK$48,'Profile Data'!$W$3:$AZ$27,PLOTS!$AU51,FALSE)/BK$46</f>
        <v>#N/A</v>
      </c>
      <c r="BL51" s="439" t="e">
        <f>HLOOKUP(BL$48,'Profile Data'!$W$3:$AZ$27,PLOTS!$AU51,FALSE)/BL$46</f>
        <v>#N/A</v>
      </c>
      <c r="BM51" s="439"/>
      <c r="BO51" s="439">
        <f ca="1">AW51*(1+$BP$6*AW73)</f>
        <v>0.99398275861426144</v>
      </c>
      <c r="BP51" s="439">
        <f t="shared" ref="BP51:CE51" ca="1" si="29">AX51*(1+$BP$6*AX73)</f>
        <v>1.0049922517706265</v>
      </c>
      <c r="BQ51" s="439">
        <f t="shared" ca="1" si="29"/>
        <v>0.96262231193712033</v>
      </c>
      <c r="BR51" s="439">
        <f t="shared" ca="1" si="29"/>
        <v>0.88894116461620709</v>
      </c>
      <c r="BS51" s="439">
        <f t="shared" ca="1" si="29"/>
        <v>0.88038203985296848</v>
      </c>
      <c r="BT51" s="439">
        <f t="shared" ca="1" si="29"/>
        <v>0.99398275861426144</v>
      </c>
      <c r="BU51" s="439">
        <f t="shared" ca="1" si="29"/>
        <v>1.0049922517706265</v>
      </c>
      <c r="BV51" s="439">
        <f t="shared" ca="1" si="29"/>
        <v>0.96262231193712033</v>
      </c>
      <c r="BW51" s="439">
        <f t="shared" ca="1" si="29"/>
        <v>0.88894116461620709</v>
      </c>
      <c r="BX51" s="439">
        <f t="shared" ca="1" si="29"/>
        <v>0.88038203985296848</v>
      </c>
      <c r="BY51" s="439">
        <f t="shared" ca="1" si="29"/>
        <v>0.91513821358712888</v>
      </c>
      <c r="BZ51" s="439">
        <f t="shared" ca="1" si="29"/>
        <v>0.88894116461620709</v>
      </c>
      <c r="CA51" s="439" t="e">
        <f t="shared" si="29"/>
        <v>#N/A</v>
      </c>
      <c r="CB51" s="439" t="e">
        <f t="shared" si="29"/>
        <v>#N/A</v>
      </c>
      <c r="CC51" s="439" t="e">
        <f t="shared" si="29"/>
        <v>#N/A</v>
      </c>
      <c r="CD51" s="439" t="e">
        <f t="shared" si="29"/>
        <v>#N/A</v>
      </c>
      <c r="CE51" s="439">
        <f t="shared" si="29"/>
        <v>0</v>
      </c>
    </row>
    <row r="52" spans="1:83" ht="15.75" x14ac:dyDescent="0.25">
      <c r="A52" s="365" t="s">
        <v>268</v>
      </c>
      <c r="AC52" s="458"/>
      <c r="AU52" s="445">
        <f>AU51+1</f>
        <v>7</v>
      </c>
      <c r="AV52" s="440">
        <f>'Profile Data'!V9*RWDI_FACTORS!$D$7*0.0254</f>
        <v>30.48</v>
      </c>
      <c r="AW52" s="439">
        <f ca="1">HLOOKUP(AW$48,'Profile Data'!$W$3:$AZ$27,PLOTS!$AU52,FALSE)/AW$46</f>
        <v>0.85504199095541178</v>
      </c>
      <c r="AX52" s="439">
        <f ca="1">HLOOKUP(AX$48,'Profile Data'!$W$3:$AZ$27,PLOTS!$AU52,FALSE)/AX$46</f>
        <v>0.84326893387188961</v>
      </c>
      <c r="AY52" s="439">
        <f ca="1">HLOOKUP(AY$48,'Profile Data'!$W$3:$AZ$27,PLOTS!$AU52,FALSE)/AY$46</f>
        <v>0.76898701515167223</v>
      </c>
      <c r="AZ52" s="439">
        <f ca="1">HLOOKUP(AZ$48,'Profile Data'!$W$3:$AZ$27,PLOTS!$AU52,FALSE)/AZ$46</f>
        <v>0.75422218451172174</v>
      </c>
      <c r="BA52" s="439">
        <f ca="1">HLOOKUP(BA$48,'Profile Data'!$W$3:$AZ$27,PLOTS!$AU52,FALSE)/BA$46</f>
        <v>0.67940949284409202</v>
      </c>
      <c r="BB52" s="439">
        <f ca="1">HLOOKUP(BB$48,'Profile Data'!$W$3:$AZ$27,PLOTS!$AU52,FALSE)/BB$46</f>
        <v>0.85504199095541178</v>
      </c>
      <c r="BC52" s="439">
        <f ca="1">HLOOKUP(BC$48,'Profile Data'!$W$3:$AZ$27,PLOTS!$AU52,FALSE)/BC$46</f>
        <v>0.84326893387188961</v>
      </c>
      <c r="BD52" s="439">
        <f ca="1">HLOOKUP(BD$48,'Profile Data'!$W$3:$AZ$27,PLOTS!$AU52,FALSE)/BD$46</f>
        <v>0.76898701515167223</v>
      </c>
      <c r="BE52" s="439">
        <f ca="1">HLOOKUP(BE$48,'Profile Data'!$W$3:$AZ$27,PLOTS!$AU52,FALSE)/BE$46</f>
        <v>0.75422218451172174</v>
      </c>
      <c r="BF52" s="439">
        <f ca="1">HLOOKUP(BF$48,'Profile Data'!$W$3:$AZ$27,PLOTS!$AU52,FALSE)/BF$46</f>
        <v>0.67940949284409202</v>
      </c>
      <c r="BG52" s="439">
        <f ca="1">HLOOKUP(BG$48,'Profile Data'!$W$3:$AZ$27,PLOTS!$AU52,FALSE)/BG$46</f>
        <v>0.72080242969520847</v>
      </c>
      <c r="BH52" s="439">
        <f ca="1">HLOOKUP(BH$48,'Profile Data'!$W$3:$AZ$27,PLOTS!$AU52,FALSE)/BH$46</f>
        <v>0.75422218451172174</v>
      </c>
      <c r="BI52" s="439" t="e">
        <f>HLOOKUP(BI$48,'Profile Data'!$W$3:$AZ$27,PLOTS!$AU52,FALSE)/BI$46</f>
        <v>#N/A</v>
      </c>
      <c r="BJ52" s="439" t="e">
        <f>HLOOKUP(BJ$48,'Profile Data'!$W$3:$AZ$27,PLOTS!$AU52,FALSE)/BJ$46</f>
        <v>#N/A</v>
      </c>
      <c r="BK52" s="439" t="e">
        <f>HLOOKUP(BK$48,'Profile Data'!$W$3:$AZ$27,PLOTS!$AU52,FALSE)/BK$46</f>
        <v>#N/A</v>
      </c>
      <c r="BL52" s="439" t="e">
        <f>HLOOKUP(BL$48,'Profile Data'!$W$3:$AZ$27,PLOTS!$AU52,FALSE)/BL$46</f>
        <v>#N/A</v>
      </c>
      <c r="BM52" s="439"/>
      <c r="BO52" s="439">
        <f t="shared" ref="BO52:CE52" ca="1" si="30">AW52*(1+$BP$6*AW74)</f>
        <v>1.0239127841691056</v>
      </c>
      <c r="BP52" s="439">
        <f t="shared" ca="1" si="30"/>
        <v>1.0398032997724069</v>
      </c>
      <c r="BQ52" s="439">
        <f t="shared" ca="1" si="30"/>
        <v>0.99833739242065844</v>
      </c>
      <c r="BR52" s="439">
        <f t="shared" ca="1" si="30"/>
        <v>1.0261192820281975</v>
      </c>
      <c r="BS52" s="439">
        <f t="shared" ca="1" si="30"/>
        <v>0.95202255184778406</v>
      </c>
      <c r="BT52" s="439">
        <f t="shared" ca="1" si="30"/>
        <v>1.0239127841691056</v>
      </c>
      <c r="BU52" s="439">
        <f t="shared" ca="1" si="30"/>
        <v>1.0398032997724069</v>
      </c>
      <c r="BV52" s="439">
        <f t="shared" ca="1" si="30"/>
        <v>0.99833739242065844</v>
      </c>
      <c r="BW52" s="439">
        <f t="shared" ca="1" si="30"/>
        <v>1.0261192820281975</v>
      </c>
      <c r="BX52" s="439">
        <f t="shared" ca="1" si="30"/>
        <v>0.95202255184778406</v>
      </c>
      <c r="BY52" s="439">
        <f t="shared" ca="1" si="30"/>
        <v>0.99688519763067585</v>
      </c>
      <c r="BZ52" s="439">
        <f t="shared" ca="1" si="30"/>
        <v>1.0261192820281975</v>
      </c>
      <c r="CA52" s="439" t="e">
        <f t="shared" si="30"/>
        <v>#N/A</v>
      </c>
      <c r="CB52" s="439" t="e">
        <f t="shared" si="30"/>
        <v>#N/A</v>
      </c>
      <c r="CC52" s="439" t="e">
        <f t="shared" si="30"/>
        <v>#N/A</v>
      </c>
      <c r="CD52" s="439" t="e">
        <f t="shared" si="30"/>
        <v>#N/A</v>
      </c>
      <c r="CE52" s="439">
        <f t="shared" si="30"/>
        <v>0</v>
      </c>
    </row>
    <row r="53" spans="1:83" ht="15.75" x14ac:dyDescent="0.25">
      <c r="A53" s="365"/>
      <c r="AC53" s="458"/>
      <c r="AU53" s="445">
        <f t="shared" ref="AU53:AU70" si="31">AU52+1</f>
        <v>8</v>
      </c>
      <c r="AV53" s="440">
        <f>'Profile Data'!V10*RWDI_FACTORS!$D$7*0.0254</f>
        <v>40.64</v>
      </c>
      <c r="AW53" s="439">
        <f ca="1">HLOOKUP(AW$48,'Profile Data'!$W$3:$AZ$27,PLOTS!$AU53,FALSE)/AW$46</f>
        <v>0.87756077419999945</v>
      </c>
      <c r="AX53" s="439">
        <f ca="1">HLOOKUP(AX$48,'Profile Data'!$W$3:$AZ$27,PLOTS!$AU53,FALSE)/AX$46</f>
        <v>0.86708630495294259</v>
      </c>
      <c r="AY53" s="439">
        <f ca="1">HLOOKUP(AY$48,'Profile Data'!$W$3:$AZ$27,PLOTS!$AU53,FALSE)/AY$46</f>
        <v>0.8076080880141786</v>
      </c>
      <c r="AZ53" s="439">
        <f ca="1">HLOOKUP(AZ$48,'Profile Data'!$W$3:$AZ$27,PLOTS!$AU53,FALSE)/AZ$46</f>
        <v>0.79203503670083286</v>
      </c>
      <c r="BA53" s="439">
        <f ca="1">HLOOKUP(BA$48,'Profile Data'!$W$3:$AZ$27,PLOTS!$AU53,FALSE)/BA$46</f>
        <v>0.73354765056533711</v>
      </c>
      <c r="BB53" s="439">
        <f ca="1">HLOOKUP(BB$48,'Profile Data'!$W$3:$AZ$27,PLOTS!$AU53,FALSE)/BB$46</f>
        <v>0.87756077419999945</v>
      </c>
      <c r="BC53" s="439">
        <f ca="1">HLOOKUP(BC$48,'Profile Data'!$W$3:$AZ$27,PLOTS!$AU53,FALSE)/BC$46</f>
        <v>0.86708630495294259</v>
      </c>
      <c r="BD53" s="439">
        <f ca="1">HLOOKUP(BD$48,'Profile Data'!$W$3:$AZ$27,PLOTS!$AU53,FALSE)/BD$46</f>
        <v>0.8076080880141786</v>
      </c>
      <c r="BE53" s="439">
        <f ca="1">HLOOKUP(BE$48,'Profile Data'!$W$3:$AZ$27,PLOTS!$AU53,FALSE)/BE$46</f>
        <v>0.79203503670083286</v>
      </c>
      <c r="BF53" s="439">
        <f ca="1">HLOOKUP(BF$48,'Profile Data'!$W$3:$AZ$27,PLOTS!$AU53,FALSE)/BF$46</f>
        <v>0.73354765056533711</v>
      </c>
      <c r="BG53" s="439">
        <f ca="1">HLOOKUP(BG$48,'Profile Data'!$W$3:$AZ$27,PLOTS!$AU53,FALSE)/BG$46</f>
        <v>0.77329329458207141</v>
      </c>
      <c r="BH53" s="439">
        <f ca="1">HLOOKUP(BH$48,'Profile Data'!$W$3:$AZ$27,PLOTS!$AU53,FALSE)/BH$46</f>
        <v>0.79203503670083286</v>
      </c>
      <c r="BI53" s="439" t="e">
        <f>HLOOKUP(BI$48,'Profile Data'!$W$3:$AZ$27,PLOTS!$AU53,FALSE)/BI$46</f>
        <v>#N/A</v>
      </c>
      <c r="BJ53" s="439" t="e">
        <f>HLOOKUP(BJ$48,'Profile Data'!$W$3:$AZ$27,PLOTS!$AU53,FALSE)/BJ$46</f>
        <v>#N/A</v>
      </c>
      <c r="BK53" s="439" t="e">
        <f>HLOOKUP(BK$48,'Profile Data'!$W$3:$AZ$27,PLOTS!$AU53,FALSE)/BK$46</f>
        <v>#N/A</v>
      </c>
      <c r="BL53" s="439" t="e">
        <f>HLOOKUP(BL$48,'Profile Data'!$W$3:$AZ$27,PLOTS!$AU53,FALSE)/BL$46</f>
        <v>#N/A</v>
      </c>
      <c r="BM53" s="439"/>
      <c r="BO53" s="439">
        <f t="shared" ref="BO53:CE53" ca="1" si="32">AW53*(1+$BP$6*AW75)</f>
        <v>1.0434197605237994</v>
      </c>
      <c r="BP53" s="439">
        <f t="shared" ca="1" si="32"/>
        <v>1.0618555662029974</v>
      </c>
      <c r="BQ53" s="439">
        <f t="shared" ca="1" si="32"/>
        <v>1.0401992173622621</v>
      </c>
      <c r="BR53" s="439">
        <f t="shared" ca="1" si="32"/>
        <v>1.0625150017341671</v>
      </c>
      <c r="BS53" s="439">
        <f t="shared" ca="1" si="32"/>
        <v>1.0229321987133626</v>
      </c>
      <c r="BT53" s="439">
        <f t="shared" ca="1" si="32"/>
        <v>1.0434197605237994</v>
      </c>
      <c r="BU53" s="439">
        <f t="shared" ca="1" si="32"/>
        <v>1.0618555662029974</v>
      </c>
      <c r="BV53" s="439">
        <f t="shared" ca="1" si="32"/>
        <v>1.0401992173622621</v>
      </c>
      <c r="BW53" s="439">
        <f t="shared" ca="1" si="32"/>
        <v>1.0625150017341671</v>
      </c>
      <c r="BX53" s="439">
        <f t="shared" ca="1" si="32"/>
        <v>1.0229321987133626</v>
      </c>
      <c r="BY53" s="439">
        <f t="shared" ca="1" si="32"/>
        <v>1.0595733339950424</v>
      </c>
      <c r="BZ53" s="439">
        <f t="shared" ca="1" si="32"/>
        <v>1.0625150017341671</v>
      </c>
      <c r="CA53" s="439" t="e">
        <f t="shared" si="32"/>
        <v>#N/A</v>
      </c>
      <c r="CB53" s="439" t="e">
        <f t="shared" si="32"/>
        <v>#N/A</v>
      </c>
      <c r="CC53" s="439" t="e">
        <f t="shared" si="32"/>
        <v>#N/A</v>
      </c>
      <c r="CD53" s="439" t="e">
        <f t="shared" si="32"/>
        <v>#N/A</v>
      </c>
      <c r="CE53" s="439">
        <f t="shared" si="32"/>
        <v>0</v>
      </c>
    </row>
    <row r="54" spans="1:83" ht="15.75" x14ac:dyDescent="0.25">
      <c r="A54" s="365"/>
      <c r="AC54" s="458"/>
      <c r="AU54" s="445">
        <f t="shared" si="31"/>
        <v>9</v>
      </c>
      <c r="AV54" s="440">
        <f>'Profile Data'!V11*RWDI_FACTORS!$D$7*0.0254</f>
        <v>50.8</v>
      </c>
      <c r="AW54" s="439">
        <f ca="1">HLOOKUP(AW$48,'Profile Data'!$W$3:$AZ$27,PLOTS!$AU54,FALSE)/AW$46</f>
        <v>0.90007955744458712</v>
      </c>
      <c r="AX54" s="439">
        <f ca="1">HLOOKUP(AX$48,'Profile Data'!$W$3:$AZ$27,PLOTS!$AU54,FALSE)/AX$46</f>
        <v>0.88836642272724509</v>
      </c>
      <c r="AY54" s="439">
        <f ca="1">HLOOKUP(AY$48,'Profile Data'!$W$3:$AZ$27,PLOTS!$AU54,FALSE)/AY$46</f>
        <v>0.84489454110717521</v>
      </c>
      <c r="AZ54" s="439">
        <f ca="1">HLOOKUP(AZ$48,'Profile Data'!$W$3:$AZ$27,PLOTS!$AU54,FALSE)/AZ$46</f>
        <v>0.82984788888994387</v>
      </c>
      <c r="BA54" s="439">
        <f ca="1">HLOOKUP(BA$48,'Profile Data'!$W$3:$AZ$27,PLOTS!$AU54,FALSE)/BA$46</f>
        <v>0.78768580828658219</v>
      </c>
      <c r="BB54" s="439">
        <f ca="1">HLOOKUP(BB$48,'Profile Data'!$W$3:$AZ$27,PLOTS!$AU54,FALSE)/BB$46</f>
        <v>0.90007955744458712</v>
      </c>
      <c r="BC54" s="439">
        <f ca="1">HLOOKUP(BC$48,'Profile Data'!$W$3:$AZ$27,PLOTS!$AU54,FALSE)/BC$46</f>
        <v>0.88836642272724509</v>
      </c>
      <c r="BD54" s="439">
        <f ca="1">HLOOKUP(BD$48,'Profile Data'!$W$3:$AZ$27,PLOTS!$AU54,FALSE)/BD$46</f>
        <v>0.84489454110717521</v>
      </c>
      <c r="BE54" s="439">
        <f ca="1">HLOOKUP(BE$48,'Profile Data'!$W$3:$AZ$27,PLOTS!$AU54,FALSE)/BE$46</f>
        <v>0.82984788888994387</v>
      </c>
      <c r="BF54" s="439">
        <f ca="1">HLOOKUP(BF$48,'Profile Data'!$W$3:$AZ$27,PLOTS!$AU54,FALSE)/BF$46</f>
        <v>0.78768580828658219</v>
      </c>
      <c r="BG54" s="439">
        <f ca="1">HLOOKUP(BG$48,'Profile Data'!$W$3:$AZ$27,PLOTS!$AU54,FALSE)/BG$46</f>
        <v>0.81662675142377261</v>
      </c>
      <c r="BH54" s="439">
        <f ca="1">HLOOKUP(BH$48,'Profile Data'!$W$3:$AZ$27,PLOTS!$AU54,FALSE)/BH$46</f>
        <v>0.82984788888994387</v>
      </c>
      <c r="BI54" s="439" t="e">
        <f>HLOOKUP(BI$48,'Profile Data'!$W$3:$AZ$27,PLOTS!$AU54,FALSE)/BI$46</f>
        <v>#N/A</v>
      </c>
      <c r="BJ54" s="439" t="e">
        <f>HLOOKUP(BJ$48,'Profile Data'!$W$3:$AZ$27,PLOTS!$AU54,FALSE)/BJ$46</f>
        <v>#N/A</v>
      </c>
      <c r="BK54" s="439" t="e">
        <f>HLOOKUP(BK$48,'Profile Data'!$W$3:$AZ$27,PLOTS!$AU54,FALSE)/BK$46</f>
        <v>#N/A</v>
      </c>
      <c r="BL54" s="439" t="e">
        <f>HLOOKUP(BL$48,'Profile Data'!$W$3:$AZ$27,PLOTS!$AU54,FALSE)/BL$46</f>
        <v>#N/A</v>
      </c>
      <c r="BM54" s="439"/>
      <c r="BO54" s="439">
        <f t="shared" ref="BO54:CE54" ca="1" si="33">AW54*(1+$BP$6*AW76)</f>
        <v>1.0625439175633349</v>
      </c>
      <c r="BP54" s="439">
        <f t="shared" ca="1" si="33"/>
        <v>1.0782547455851939</v>
      </c>
      <c r="BQ54" s="439">
        <f t="shared" ca="1" si="33"/>
        <v>1.0795639998996931</v>
      </c>
      <c r="BR54" s="439">
        <f t="shared" ca="1" si="33"/>
        <v>1.1016230725014007</v>
      </c>
      <c r="BS54" s="439">
        <f t="shared" ca="1" si="33"/>
        <v>1.0931109804497046</v>
      </c>
      <c r="BT54" s="439">
        <f t="shared" ca="1" si="33"/>
        <v>1.0625439175633349</v>
      </c>
      <c r="BU54" s="439">
        <f t="shared" ca="1" si="33"/>
        <v>1.0782547455851939</v>
      </c>
      <c r="BV54" s="439">
        <f t="shared" ca="1" si="33"/>
        <v>1.0795639998996931</v>
      </c>
      <c r="BW54" s="439">
        <f t="shared" ca="1" si="33"/>
        <v>1.1016230725014007</v>
      </c>
      <c r="BX54" s="439">
        <f t="shared" ca="1" si="33"/>
        <v>1.0931109804497046</v>
      </c>
      <c r="BY54" s="439">
        <f t="shared" ca="1" si="33"/>
        <v>1.1118715687040404</v>
      </c>
      <c r="BZ54" s="439">
        <f t="shared" ca="1" si="33"/>
        <v>1.1016230725014007</v>
      </c>
      <c r="CA54" s="439" t="e">
        <f t="shared" si="33"/>
        <v>#N/A</v>
      </c>
      <c r="CB54" s="439" t="e">
        <f t="shared" si="33"/>
        <v>#N/A</v>
      </c>
      <c r="CC54" s="439" t="e">
        <f t="shared" si="33"/>
        <v>#N/A</v>
      </c>
      <c r="CD54" s="439" t="e">
        <f t="shared" si="33"/>
        <v>#N/A</v>
      </c>
      <c r="CE54" s="439">
        <f t="shared" si="33"/>
        <v>0</v>
      </c>
    </row>
    <row r="55" spans="1:83" ht="15.75" x14ac:dyDescent="0.25">
      <c r="A55" s="365"/>
      <c r="AC55" s="458"/>
      <c r="AU55" s="445">
        <f t="shared" si="31"/>
        <v>10</v>
      </c>
      <c r="AV55" s="440">
        <f>'Profile Data'!V12*RWDI_FACTORS!$D$7*0.0254</f>
        <v>60.96</v>
      </c>
      <c r="AW55" s="439">
        <f ca="1">HLOOKUP(AW$48,'Profile Data'!$W$3:$AZ$27,PLOTS!$AU55,FALSE)/AW$46</f>
        <v>0.92259834068917468</v>
      </c>
      <c r="AX55" s="439">
        <f ca="1">HLOOKUP(AX$48,'Profile Data'!$W$3:$AZ$27,PLOTS!$AU55,FALSE)/AX$46</f>
        <v>0.90605470865989279</v>
      </c>
      <c r="AY55" s="439">
        <f ca="1">HLOOKUP(AY$48,'Profile Data'!$W$3:$AZ$27,PLOTS!$AU55,FALSE)/AY$46</f>
        <v>0.88218099420017193</v>
      </c>
      <c r="AZ55" s="439">
        <f ca="1">HLOOKUP(AZ$48,'Profile Data'!$W$3:$AZ$27,PLOTS!$AU55,FALSE)/AZ$46</f>
        <v>0.86766074107905489</v>
      </c>
      <c r="BA55" s="439">
        <f ca="1">HLOOKUP(BA$48,'Profile Data'!$W$3:$AZ$27,PLOTS!$AU55,FALSE)/BA$46</f>
        <v>0.84182396600782727</v>
      </c>
      <c r="BB55" s="439">
        <f ca="1">HLOOKUP(BB$48,'Profile Data'!$W$3:$AZ$27,PLOTS!$AU55,FALSE)/BB$46</f>
        <v>0.92259834068917468</v>
      </c>
      <c r="BC55" s="439">
        <f ca="1">HLOOKUP(BC$48,'Profile Data'!$W$3:$AZ$27,PLOTS!$AU55,FALSE)/BC$46</f>
        <v>0.90605470865989279</v>
      </c>
      <c r="BD55" s="439">
        <f ca="1">HLOOKUP(BD$48,'Profile Data'!$W$3:$AZ$27,PLOTS!$AU55,FALSE)/BD$46</f>
        <v>0.88218099420017193</v>
      </c>
      <c r="BE55" s="439">
        <f ca="1">HLOOKUP(BE$48,'Profile Data'!$W$3:$AZ$27,PLOTS!$AU55,FALSE)/BE$46</f>
        <v>0.86766074107905489</v>
      </c>
      <c r="BF55" s="439">
        <f ca="1">HLOOKUP(BF$48,'Profile Data'!$W$3:$AZ$27,PLOTS!$AU55,FALSE)/BF$46</f>
        <v>0.84182396600782727</v>
      </c>
      <c r="BG55" s="439">
        <f ca="1">HLOOKUP(BG$48,'Profile Data'!$W$3:$AZ$27,PLOTS!$AU55,FALSE)/BG$46</f>
        <v>0.85382928653116696</v>
      </c>
      <c r="BH55" s="439">
        <f ca="1">HLOOKUP(BH$48,'Profile Data'!$W$3:$AZ$27,PLOTS!$AU55,FALSE)/BH$46</f>
        <v>0.86766074107905489</v>
      </c>
      <c r="BI55" s="439" t="e">
        <f>HLOOKUP(BI$48,'Profile Data'!$W$3:$AZ$27,PLOTS!$AU55,FALSE)/BI$46</f>
        <v>#N/A</v>
      </c>
      <c r="BJ55" s="439" t="e">
        <f>HLOOKUP(BJ$48,'Profile Data'!$W$3:$AZ$27,PLOTS!$AU55,FALSE)/BJ$46</f>
        <v>#N/A</v>
      </c>
      <c r="BK55" s="439" t="e">
        <f>HLOOKUP(BK$48,'Profile Data'!$W$3:$AZ$27,PLOTS!$AU55,FALSE)/BK$46</f>
        <v>#N/A</v>
      </c>
      <c r="BL55" s="439" t="e">
        <f>HLOOKUP(BL$48,'Profile Data'!$W$3:$AZ$27,PLOTS!$AU55,FALSE)/BL$46</f>
        <v>#N/A</v>
      </c>
      <c r="BM55" s="439"/>
      <c r="BO55" s="439">
        <f t="shared" ref="BO55:CE55" ca="1" si="34">AW55*(1+$BP$6*AW77)</f>
        <v>1.0830151271765049</v>
      </c>
      <c r="BP55" s="439">
        <f t="shared" ca="1" si="34"/>
        <v>1.0936080333524907</v>
      </c>
      <c r="BQ55" s="439">
        <f t="shared" ca="1" si="34"/>
        <v>1.118164410148718</v>
      </c>
      <c r="BR55" s="439">
        <f t="shared" ca="1" si="34"/>
        <v>1.1414077048894968</v>
      </c>
      <c r="BS55" s="439">
        <f t="shared" ca="1" si="34"/>
        <v>1.1625588970568095</v>
      </c>
      <c r="BT55" s="439">
        <f t="shared" ca="1" si="34"/>
        <v>1.0830151271765049</v>
      </c>
      <c r="BU55" s="439">
        <f t="shared" ca="1" si="34"/>
        <v>1.0936080333524907</v>
      </c>
      <c r="BV55" s="439">
        <f t="shared" ca="1" si="34"/>
        <v>1.118164410148718</v>
      </c>
      <c r="BW55" s="439">
        <f t="shared" ca="1" si="34"/>
        <v>1.1414077048894968</v>
      </c>
      <c r="BX55" s="439">
        <f t="shared" ca="1" si="34"/>
        <v>1.1625588970568095</v>
      </c>
      <c r="BY55" s="439">
        <f t="shared" ca="1" si="34"/>
        <v>1.1551242960158525</v>
      </c>
      <c r="BZ55" s="439">
        <f t="shared" ca="1" si="34"/>
        <v>1.1414077048894968</v>
      </c>
      <c r="CA55" s="439" t="e">
        <f t="shared" si="34"/>
        <v>#N/A</v>
      </c>
      <c r="CB55" s="439" t="e">
        <f t="shared" si="34"/>
        <v>#N/A</v>
      </c>
      <c r="CC55" s="439" t="e">
        <f t="shared" si="34"/>
        <v>#N/A</v>
      </c>
      <c r="CD55" s="439" t="e">
        <f t="shared" si="34"/>
        <v>#N/A</v>
      </c>
      <c r="CE55" s="439">
        <f t="shared" si="34"/>
        <v>0</v>
      </c>
    </row>
    <row r="56" spans="1:83" ht="15.75" x14ac:dyDescent="0.25">
      <c r="A56" s="365"/>
      <c r="AC56" s="458"/>
      <c r="AU56" s="445">
        <f t="shared" si="31"/>
        <v>11</v>
      </c>
      <c r="AV56" s="440">
        <f>'Profile Data'!V13*RWDI_FACTORS!$D$7*0.0254</f>
        <v>71.11999999999999</v>
      </c>
      <c r="AW56" s="439">
        <f ca="1">HLOOKUP(AW$48,'Profile Data'!$W$3:$AZ$27,PLOTS!$AU56,FALSE)/AW$46</f>
        <v>0.93926214898542282</v>
      </c>
      <c r="AX56" s="439">
        <f ca="1">HLOOKUP(AX$48,'Profile Data'!$W$3:$AZ$27,PLOTS!$AU56,FALSE)/AX$46</f>
        <v>0.9221818589367432</v>
      </c>
      <c r="AY56" s="439">
        <f ca="1">HLOOKUP(AY$48,'Profile Data'!$W$3:$AZ$27,PLOTS!$AU56,FALSE)/AY$46</f>
        <v>0.90815013445488313</v>
      </c>
      <c r="AZ56" s="439">
        <f ca="1">HLOOKUP(AZ$48,'Profile Data'!$W$3:$AZ$27,PLOTS!$AU56,FALSE)/AZ$46</f>
        <v>0.89340060401648635</v>
      </c>
      <c r="BA56" s="439">
        <f ca="1">HLOOKUP(BA$48,'Profile Data'!$W$3:$AZ$27,PLOTS!$AU56,FALSE)/BA$46</f>
        <v>0.87092525799612397</v>
      </c>
      <c r="BB56" s="439">
        <f ca="1">HLOOKUP(BB$48,'Profile Data'!$W$3:$AZ$27,PLOTS!$AU56,FALSE)/BB$46</f>
        <v>0.93926214898542282</v>
      </c>
      <c r="BC56" s="439">
        <f ca="1">HLOOKUP(BC$48,'Profile Data'!$W$3:$AZ$27,PLOTS!$AU56,FALSE)/BC$46</f>
        <v>0.9221818589367432</v>
      </c>
      <c r="BD56" s="439">
        <f ca="1">HLOOKUP(BD$48,'Profile Data'!$W$3:$AZ$27,PLOTS!$AU56,FALSE)/BD$46</f>
        <v>0.90815013445488313</v>
      </c>
      <c r="BE56" s="439">
        <f ca="1">HLOOKUP(BE$48,'Profile Data'!$W$3:$AZ$27,PLOTS!$AU56,FALSE)/BE$46</f>
        <v>0.89340060401648635</v>
      </c>
      <c r="BF56" s="439">
        <f ca="1">HLOOKUP(BF$48,'Profile Data'!$W$3:$AZ$27,PLOTS!$AU56,FALSE)/BF$46</f>
        <v>0.87092525799612397</v>
      </c>
      <c r="BG56" s="439">
        <f ca="1">HLOOKUP(BG$48,'Profile Data'!$W$3:$AZ$27,PLOTS!$AU56,FALSE)/BG$46</f>
        <v>0.89103182163856154</v>
      </c>
      <c r="BH56" s="439">
        <f ca="1">HLOOKUP(BH$48,'Profile Data'!$W$3:$AZ$27,PLOTS!$AU56,FALSE)/BH$46</f>
        <v>0.89340060401648635</v>
      </c>
      <c r="BI56" s="439" t="e">
        <f>HLOOKUP(BI$48,'Profile Data'!$W$3:$AZ$27,PLOTS!$AU56,FALSE)/BI$46</f>
        <v>#N/A</v>
      </c>
      <c r="BJ56" s="439" t="e">
        <f>HLOOKUP(BJ$48,'Profile Data'!$W$3:$AZ$27,PLOTS!$AU56,FALSE)/BJ$46</f>
        <v>#N/A</v>
      </c>
      <c r="BK56" s="439" t="e">
        <f>HLOOKUP(BK$48,'Profile Data'!$W$3:$AZ$27,PLOTS!$AU56,FALSE)/BK$46</f>
        <v>#N/A</v>
      </c>
      <c r="BL56" s="439" t="e">
        <f>HLOOKUP(BL$48,'Profile Data'!$W$3:$AZ$27,PLOTS!$AU56,FALSE)/BL$46</f>
        <v>#N/A</v>
      </c>
      <c r="BM56" s="439"/>
      <c r="BO56" s="439">
        <f t="shared" ref="BO56:CE56" ca="1" si="35">AW56*(1+$BP$6*AW78)</f>
        <v>1.0963537434032349</v>
      </c>
      <c r="BP56" s="439">
        <f t="shared" ca="1" si="35"/>
        <v>1.1082320489772313</v>
      </c>
      <c r="BQ56" s="439">
        <f t="shared" ca="1" si="35"/>
        <v>1.1438150943459253</v>
      </c>
      <c r="BR56" s="439">
        <f t="shared" ca="1" si="35"/>
        <v>1.1671162140720375</v>
      </c>
      <c r="BS56" s="439">
        <f t="shared" ca="1" si="35"/>
        <v>1.1981754236881677</v>
      </c>
      <c r="BT56" s="439">
        <f t="shared" ca="1" si="35"/>
        <v>1.0963537434032349</v>
      </c>
      <c r="BU56" s="439">
        <f t="shared" ca="1" si="35"/>
        <v>1.1082320489772313</v>
      </c>
      <c r="BV56" s="439">
        <f t="shared" ca="1" si="35"/>
        <v>1.1438150943459253</v>
      </c>
      <c r="BW56" s="439">
        <f t="shared" ca="1" si="35"/>
        <v>1.1671162140720375</v>
      </c>
      <c r="BX56" s="439">
        <f t="shared" ca="1" si="35"/>
        <v>1.1981754236881677</v>
      </c>
      <c r="BY56" s="439">
        <f t="shared" ca="1" si="35"/>
        <v>1.1997743478363232</v>
      </c>
      <c r="BZ56" s="439">
        <f t="shared" ca="1" si="35"/>
        <v>1.1671162140720375</v>
      </c>
      <c r="CA56" s="439" t="e">
        <f t="shared" si="35"/>
        <v>#N/A</v>
      </c>
      <c r="CB56" s="439" t="e">
        <f t="shared" si="35"/>
        <v>#N/A</v>
      </c>
      <c r="CC56" s="439" t="e">
        <f t="shared" si="35"/>
        <v>#N/A</v>
      </c>
      <c r="CD56" s="439" t="e">
        <f t="shared" si="35"/>
        <v>#N/A</v>
      </c>
      <c r="CE56" s="439">
        <f t="shared" si="35"/>
        <v>0</v>
      </c>
    </row>
    <row r="57" spans="1:83" ht="15.75" x14ac:dyDescent="0.25">
      <c r="A57" s="365"/>
      <c r="AC57" s="458"/>
      <c r="AU57" s="445">
        <f t="shared" si="31"/>
        <v>12</v>
      </c>
      <c r="AV57" s="440">
        <f>'Profile Data'!V14*RWDI_FACTORS!$D$7*0.0254</f>
        <v>81.28</v>
      </c>
      <c r="AW57" s="439">
        <f ca="1">HLOOKUP(AW$48,'Profile Data'!$W$3:$AZ$27,PLOTS!$AU57,FALSE)/AW$46</f>
        <v>0.95592595728167107</v>
      </c>
      <c r="AX57" s="439">
        <f ca="1">HLOOKUP(AX$48,'Profile Data'!$W$3:$AZ$27,PLOTS!$AU57,FALSE)/AX$46</f>
        <v>0.93830900921359361</v>
      </c>
      <c r="AY57" s="439">
        <f ca="1">HLOOKUP(AY$48,'Profile Data'!$W$3:$AZ$27,PLOTS!$AU57,FALSE)/AY$46</f>
        <v>0.93411927470959455</v>
      </c>
      <c r="AZ57" s="439">
        <f ca="1">HLOOKUP(AZ$48,'Profile Data'!$W$3:$AZ$27,PLOTS!$AU57,FALSE)/AZ$46</f>
        <v>0.93201039842263345</v>
      </c>
      <c r="BA57" s="439">
        <f ca="1">HLOOKUP(BA$48,'Profile Data'!$W$3:$AZ$27,PLOTS!$AU57,FALSE)/BA$46</f>
        <v>0.90002654998442078</v>
      </c>
      <c r="BB57" s="439">
        <f ca="1">HLOOKUP(BB$48,'Profile Data'!$W$3:$AZ$27,PLOTS!$AU57,FALSE)/BB$46</f>
        <v>0.95592595728167107</v>
      </c>
      <c r="BC57" s="439">
        <f ca="1">HLOOKUP(BC$48,'Profile Data'!$W$3:$AZ$27,PLOTS!$AU57,FALSE)/BC$46</f>
        <v>0.93830900921359361</v>
      </c>
      <c r="BD57" s="439">
        <f ca="1">HLOOKUP(BD$48,'Profile Data'!$W$3:$AZ$27,PLOTS!$AU57,FALSE)/BD$46</f>
        <v>0.93411927470959455</v>
      </c>
      <c r="BE57" s="439">
        <f ca="1">HLOOKUP(BE$48,'Profile Data'!$W$3:$AZ$27,PLOTS!$AU57,FALSE)/BE$46</f>
        <v>0.93201039842263345</v>
      </c>
      <c r="BF57" s="439">
        <f ca="1">HLOOKUP(BF$48,'Profile Data'!$W$3:$AZ$27,PLOTS!$AU57,FALSE)/BF$46</f>
        <v>0.90002654998442078</v>
      </c>
      <c r="BG57" s="439">
        <f ca="1">HLOOKUP(BG$48,'Profile Data'!$W$3:$AZ$27,PLOTS!$AU57,FALSE)/BG$46</f>
        <v>0.92718546596208873</v>
      </c>
      <c r="BH57" s="439">
        <f ca="1">HLOOKUP(BH$48,'Profile Data'!$W$3:$AZ$27,PLOTS!$AU57,FALSE)/BH$46</f>
        <v>0.93201039842263345</v>
      </c>
      <c r="BI57" s="439" t="e">
        <f>HLOOKUP(BI$48,'Profile Data'!$W$3:$AZ$27,PLOTS!$AU57,FALSE)/BI$46</f>
        <v>#N/A</v>
      </c>
      <c r="BJ57" s="439" t="e">
        <f>HLOOKUP(BJ$48,'Profile Data'!$W$3:$AZ$27,PLOTS!$AU57,FALSE)/BJ$46</f>
        <v>#N/A</v>
      </c>
      <c r="BK57" s="439" t="e">
        <f>HLOOKUP(BK$48,'Profile Data'!$W$3:$AZ$27,PLOTS!$AU57,FALSE)/BK$46</f>
        <v>#N/A</v>
      </c>
      <c r="BL57" s="439" t="e">
        <f>HLOOKUP(BL$48,'Profile Data'!$W$3:$AZ$27,PLOTS!$AU57,FALSE)/BL$46</f>
        <v>#N/A</v>
      </c>
      <c r="BM57" s="439"/>
      <c r="BO57" s="439">
        <f t="shared" ref="BO57:CE57" ca="1" si="36">AW57*(1+$BP$6*AW79)</f>
        <v>1.1112639253399428</v>
      </c>
      <c r="BP57" s="439">
        <f t="shared" ca="1" si="36"/>
        <v>1.1226867295240646</v>
      </c>
      <c r="BQ57" s="439">
        <f t="shared" ca="1" si="36"/>
        <v>1.1690502722990577</v>
      </c>
      <c r="BR57" s="439">
        <f t="shared" ca="1" si="36"/>
        <v>1.2090504893537612</v>
      </c>
      <c r="BS57" s="439">
        <f t="shared" ca="1" si="36"/>
        <v>1.2334863867536487</v>
      </c>
      <c r="BT57" s="439">
        <f t="shared" ca="1" si="36"/>
        <v>1.1112639253399428</v>
      </c>
      <c r="BU57" s="439">
        <f t="shared" ca="1" si="36"/>
        <v>1.1226867295240646</v>
      </c>
      <c r="BV57" s="439">
        <f t="shared" ca="1" si="36"/>
        <v>1.1690502722990577</v>
      </c>
      <c r="BW57" s="439">
        <f t="shared" ca="1" si="36"/>
        <v>1.2090504893537612</v>
      </c>
      <c r="BX57" s="439">
        <f t="shared" ca="1" si="36"/>
        <v>1.2334863867536487</v>
      </c>
      <c r="BY57" s="439">
        <f t="shared" ca="1" si="36"/>
        <v>1.2408059498237651</v>
      </c>
      <c r="BZ57" s="439">
        <f t="shared" ca="1" si="36"/>
        <v>1.2090504893537612</v>
      </c>
      <c r="CA57" s="439" t="e">
        <f t="shared" si="36"/>
        <v>#N/A</v>
      </c>
      <c r="CB57" s="439" t="e">
        <f t="shared" si="36"/>
        <v>#N/A</v>
      </c>
      <c r="CC57" s="439" t="e">
        <f t="shared" si="36"/>
        <v>#N/A</v>
      </c>
      <c r="CD57" s="439" t="e">
        <f t="shared" si="36"/>
        <v>#N/A</v>
      </c>
      <c r="CE57" s="439">
        <f t="shared" si="36"/>
        <v>0</v>
      </c>
    </row>
    <row r="58" spans="1:83" ht="15.75" x14ac:dyDescent="0.25">
      <c r="A58" s="365"/>
      <c r="AC58" s="458"/>
      <c r="AU58" s="445">
        <f t="shared" si="31"/>
        <v>13</v>
      </c>
      <c r="AV58" s="440">
        <f>'Profile Data'!V15*RWDI_FACTORS!$D$7*0.0254</f>
        <v>101.6</v>
      </c>
      <c r="AW58" s="439">
        <f ca="1">HLOOKUP(AW$48,'Profile Data'!$W$3:$AZ$27,PLOTS!$AU58,FALSE)/AW$46</f>
        <v>0.98149361027389326</v>
      </c>
      <c r="AX58" s="439">
        <f ca="1">HLOOKUP(AX$48,'Profile Data'!$W$3:$AZ$27,PLOTS!$AU58,FALSE)/AX$46</f>
        <v>0.98138292783435876</v>
      </c>
      <c r="AY58" s="439">
        <f ca="1">HLOOKUP(AY$48,'Profile Data'!$W$3:$AZ$27,PLOTS!$AU58,FALSE)/AY$46</f>
        <v>0.96805585639897618</v>
      </c>
      <c r="AZ58" s="439">
        <f ca="1">HLOOKUP(AZ$48,'Profile Data'!$W$3:$AZ$27,PLOTS!$AU58,FALSE)/AZ$46</f>
        <v>0.97062019282878043</v>
      </c>
      <c r="BA58" s="439">
        <f ca="1">HLOOKUP(BA$48,'Profile Data'!$W$3:$AZ$27,PLOTS!$AU58,FALSE)/BA$46</f>
        <v>0.96245613726657719</v>
      </c>
      <c r="BB58" s="439">
        <f ca="1">HLOOKUP(BB$48,'Profile Data'!$W$3:$AZ$27,PLOTS!$AU58,FALSE)/BB$46</f>
        <v>0.98149361027389326</v>
      </c>
      <c r="BC58" s="439">
        <f ca="1">HLOOKUP(BC$48,'Profile Data'!$W$3:$AZ$27,PLOTS!$AU58,FALSE)/BC$46</f>
        <v>0.98138292783435876</v>
      </c>
      <c r="BD58" s="439">
        <f ca="1">HLOOKUP(BD$48,'Profile Data'!$W$3:$AZ$27,PLOTS!$AU58,FALSE)/BD$46</f>
        <v>0.96805585639897618</v>
      </c>
      <c r="BE58" s="439">
        <f ca="1">HLOOKUP(BE$48,'Profile Data'!$W$3:$AZ$27,PLOTS!$AU58,FALSE)/BE$46</f>
        <v>0.97062019282878043</v>
      </c>
      <c r="BF58" s="439">
        <f ca="1">HLOOKUP(BF$48,'Profile Data'!$W$3:$AZ$27,PLOTS!$AU58,FALSE)/BF$46</f>
        <v>0.96245613726657719</v>
      </c>
      <c r="BG58" s="439">
        <f ca="1">HLOOKUP(BG$48,'Profile Data'!$W$3:$AZ$27,PLOTS!$AU58,FALSE)/BG$46</f>
        <v>0.96333911028561581</v>
      </c>
      <c r="BH58" s="439">
        <f ca="1">HLOOKUP(BH$48,'Profile Data'!$W$3:$AZ$27,PLOTS!$AU58,FALSE)/BH$46</f>
        <v>0.97062019282878043</v>
      </c>
      <c r="BI58" s="439" t="e">
        <f>HLOOKUP(BI$48,'Profile Data'!$W$3:$AZ$27,PLOTS!$AU58,FALSE)/BI$46</f>
        <v>#N/A</v>
      </c>
      <c r="BJ58" s="439" t="e">
        <f>HLOOKUP(BJ$48,'Profile Data'!$W$3:$AZ$27,PLOTS!$AU58,FALSE)/BJ$46</f>
        <v>#N/A</v>
      </c>
      <c r="BK58" s="439" t="e">
        <f>HLOOKUP(BK$48,'Profile Data'!$W$3:$AZ$27,PLOTS!$AU58,FALSE)/BK$46</f>
        <v>#N/A</v>
      </c>
      <c r="BL58" s="439" t="e">
        <f>HLOOKUP(BL$48,'Profile Data'!$W$3:$AZ$27,PLOTS!$AU58,FALSE)/BL$46</f>
        <v>#N/A</v>
      </c>
      <c r="BM58" s="439"/>
      <c r="BO58" s="439">
        <f t="shared" ref="BO58:CE58" ca="1" si="37">AW58*(1+$BP$6*AW80)</f>
        <v>1.1300426681888471</v>
      </c>
      <c r="BP58" s="439">
        <f t="shared" ca="1" si="37"/>
        <v>1.1639201524115494</v>
      </c>
      <c r="BQ58" s="439">
        <f t="shared" ca="1" si="37"/>
        <v>1.2001472479706305</v>
      </c>
      <c r="BR58" s="439">
        <f t="shared" ca="1" si="37"/>
        <v>1.2423938468208389</v>
      </c>
      <c r="BS58" s="439">
        <f t="shared" ca="1" si="37"/>
        <v>1.3017219256530457</v>
      </c>
      <c r="BT58" s="439">
        <f t="shared" ca="1" si="37"/>
        <v>1.1300426681888471</v>
      </c>
      <c r="BU58" s="439">
        <f t="shared" ca="1" si="37"/>
        <v>1.1639201524115494</v>
      </c>
      <c r="BV58" s="439">
        <f t="shared" ca="1" si="37"/>
        <v>1.2001472479706305</v>
      </c>
      <c r="BW58" s="439">
        <f t="shared" ca="1" si="37"/>
        <v>1.2423938468208389</v>
      </c>
      <c r="BX58" s="439">
        <f t="shared" ca="1" si="37"/>
        <v>1.3017219256530457</v>
      </c>
      <c r="BY58" s="439">
        <f t="shared" ca="1" si="37"/>
        <v>1.2725709646872985</v>
      </c>
      <c r="BZ58" s="439">
        <f t="shared" ca="1" si="37"/>
        <v>1.2423938468208389</v>
      </c>
      <c r="CA58" s="439" t="e">
        <f t="shared" si="37"/>
        <v>#N/A</v>
      </c>
      <c r="CB58" s="439" t="e">
        <f t="shared" si="37"/>
        <v>#N/A</v>
      </c>
      <c r="CC58" s="439" t="e">
        <f t="shared" si="37"/>
        <v>#N/A</v>
      </c>
      <c r="CD58" s="439" t="e">
        <f t="shared" si="37"/>
        <v>#N/A</v>
      </c>
      <c r="CE58" s="439">
        <f t="shared" si="37"/>
        <v>0</v>
      </c>
    </row>
    <row r="59" spans="1:83" ht="15.75" x14ac:dyDescent="0.25">
      <c r="A59" s="365"/>
      <c r="AC59" s="458"/>
      <c r="AU59" s="445">
        <f t="shared" si="31"/>
        <v>14</v>
      </c>
      <c r="AV59" s="440">
        <f>'Profile Data'!V16*RWDI_FACTORS!$D$7*0.0254</f>
        <v>121.92</v>
      </c>
      <c r="AW59" s="439">
        <f ca="1">HLOOKUP(AW$48,'Profile Data'!$W$3:$AZ$27,PLOTS!$AU59,FALSE)/AW$46</f>
        <v>1.0011542909469988</v>
      </c>
      <c r="AX59" s="439">
        <f ca="1">HLOOKUP(AX$48,'Profile Data'!$W$3:$AZ$27,PLOTS!$AU59,FALSE)/AX$46</f>
        <v>1.0011611944943595</v>
      </c>
      <c r="AY59" s="439">
        <f ca="1">HLOOKUP(AY$48,'Profile Data'!$W$3:$AZ$27,PLOTS!$AU59,FALSE)/AY$46</f>
        <v>1.0019924380883578</v>
      </c>
      <c r="AZ59" s="439">
        <f ca="1">HLOOKUP(AZ$48,'Profile Data'!$W$3:$AZ$27,PLOTS!$AU59,FALSE)/AZ$46</f>
        <v>1.0018324938545129</v>
      </c>
      <c r="BA59" s="439">
        <f ca="1">HLOOKUP(BA$48,'Profile Data'!$W$3:$AZ$27,PLOTS!$AU59,FALSE)/BA$46</f>
        <v>1.0023417069190659</v>
      </c>
      <c r="BB59" s="439">
        <f ca="1">HLOOKUP(BB$48,'Profile Data'!$W$3:$AZ$27,PLOTS!$AU59,FALSE)/BB$46</f>
        <v>1.0011542909469988</v>
      </c>
      <c r="BC59" s="439">
        <f ca="1">HLOOKUP(BC$48,'Profile Data'!$W$3:$AZ$27,PLOTS!$AU59,FALSE)/BC$46</f>
        <v>1.0011611944943595</v>
      </c>
      <c r="BD59" s="439">
        <f ca="1">HLOOKUP(BD$48,'Profile Data'!$W$3:$AZ$27,PLOTS!$AU59,FALSE)/BD$46</f>
        <v>1.0019924380883578</v>
      </c>
      <c r="BE59" s="439">
        <f ca="1">HLOOKUP(BE$48,'Profile Data'!$W$3:$AZ$27,PLOTS!$AU59,FALSE)/BE$46</f>
        <v>1.0018324938545129</v>
      </c>
      <c r="BF59" s="439">
        <f ca="1">HLOOKUP(BF$48,'Profile Data'!$W$3:$AZ$27,PLOTS!$AU59,FALSE)/BF$46</f>
        <v>1.0023417069190659</v>
      </c>
      <c r="BG59" s="439">
        <f ca="1">HLOOKUP(BG$48,'Profile Data'!$W$3:$AZ$27,PLOTS!$AU59,FALSE)/BG$46</f>
        <v>1.0022866336293859</v>
      </c>
      <c r="BH59" s="439">
        <f ca="1">HLOOKUP(BH$48,'Profile Data'!$W$3:$AZ$27,PLOTS!$AU59,FALSE)/BH$46</f>
        <v>1.0018324938545129</v>
      </c>
      <c r="BI59" s="439" t="e">
        <f>HLOOKUP(BI$48,'Profile Data'!$W$3:$AZ$27,PLOTS!$AU59,FALSE)/BI$46</f>
        <v>#N/A</v>
      </c>
      <c r="BJ59" s="439" t="e">
        <f>HLOOKUP(BJ$48,'Profile Data'!$W$3:$AZ$27,PLOTS!$AU59,FALSE)/BJ$46</f>
        <v>#N/A</v>
      </c>
      <c r="BK59" s="439" t="e">
        <f>HLOOKUP(BK$48,'Profile Data'!$W$3:$AZ$27,PLOTS!$AU59,FALSE)/BK$46</f>
        <v>#N/A</v>
      </c>
      <c r="BL59" s="439" t="e">
        <f>HLOOKUP(BL$48,'Profile Data'!$W$3:$AZ$27,PLOTS!$AU59,FALSE)/BL$46</f>
        <v>#N/A</v>
      </c>
      <c r="BM59" s="439"/>
      <c r="BO59" s="439">
        <f t="shared" ref="BO59:CE59" ca="1" si="38">AW59*(1+$BP$6*AW81)</f>
        <v>1.1444194699815144</v>
      </c>
      <c r="BP59" s="439">
        <f t="shared" ca="1" si="38"/>
        <v>1.1806193386074733</v>
      </c>
      <c r="BQ59" s="439">
        <f t="shared" ca="1" si="38"/>
        <v>1.2304467139725033</v>
      </c>
      <c r="BR59" s="439">
        <f t="shared" ca="1" si="38"/>
        <v>1.2721602951129223</v>
      </c>
      <c r="BS59" s="439">
        <f t="shared" ca="1" si="38"/>
        <v>1.3436390581250077</v>
      </c>
      <c r="BT59" s="439">
        <f t="shared" ca="1" si="38"/>
        <v>1.1444194699815144</v>
      </c>
      <c r="BU59" s="439">
        <f t="shared" ca="1" si="38"/>
        <v>1.1806193386074733</v>
      </c>
      <c r="BV59" s="439">
        <f t="shared" ca="1" si="38"/>
        <v>1.2304467139725033</v>
      </c>
      <c r="BW59" s="439">
        <f t="shared" ca="1" si="38"/>
        <v>1.2721602951129223</v>
      </c>
      <c r="BX59" s="439">
        <f t="shared" ca="1" si="38"/>
        <v>1.3436390581250077</v>
      </c>
      <c r="BY59" s="439">
        <f t="shared" ca="1" si="38"/>
        <v>1.312369060908477</v>
      </c>
      <c r="BZ59" s="439">
        <f t="shared" ca="1" si="38"/>
        <v>1.2721602951129223</v>
      </c>
      <c r="CA59" s="439" t="e">
        <f t="shared" si="38"/>
        <v>#N/A</v>
      </c>
      <c r="CB59" s="439" t="e">
        <f t="shared" si="38"/>
        <v>#N/A</v>
      </c>
      <c r="CC59" s="439" t="e">
        <f t="shared" si="38"/>
        <v>#N/A</v>
      </c>
      <c r="CD59" s="439" t="e">
        <f t="shared" si="38"/>
        <v>#N/A</v>
      </c>
      <c r="CE59" s="439">
        <f t="shared" si="38"/>
        <v>0</v>
      </c>
    </row>
    <row r="60" spans="1:83" ht="15.75" x14ac:dyDescent="0.25">
      <c r="A60" s="365"/>
      <c r="AC60" s="458"/>
      <c r="AU60" s="445">
        <f t="shared" si="31"/>
        <v>15</v>
      </c>
      <c r="AV60" s="440">
        <f>'Profile Data'!V17*RWDI_FACTORS!$D$7*0.0254</f>
        <v>142.23999999999998</v>
      </c>
      <c r="AW60" s="439">
        <f ca="1">HLOOKUP(AW$48,'Profile Data'!$W$3:$AZ$27,PLOTS!$AU60,FALSE)/AW$46</f>
        <v>1.0208149716201043</v>
      </c>
      <c r="AX60" s="439">
        <f ca="1">HLOOKUP(AX$48,'Profile Data'!$W$3:$AZ$27,PLOTS!$AU60,FALSE)/AX$46</f>
        <v>1.0219895110071051</v>
      </c>
      <c r="AY60" s="439">
        <f ca="1">HLOOKUP(AY$48,'Profile Data'!$W$3:$AZ$27,PLOTS!$AU60,FALSE)/AY$46</f>
        <v>1.0195376180323021</v>
      </c>
      <c r="AZ60" s="439">
        <f ca="1">HLOOKUP(AZ$48,'Profile Data'!$W$3:$AZ$27,PLOTS!$AU60,FALSE)/AZ$46</f>
        <v>1.0330447948802455</v>
      </c>
      <c r="BA60" s="439">
        <f ca="1">HLOOKUP(BA$48,'Profile Data'!$W$3:$AZ$27,PLOTS!$AU60,FALSE)/BA$46</f>
        <v>1.0393008896677036</v>
      </c>
      <c r="BB60" s="439">
        <f ca="1">HLOOKUP(BB$48,'Profile Data'!$W$3:$AZ$27,PLOTS!$AU60,FALSE)/BB$46</f>
        <v>1.0208149716201043</v>
      </c>
      <c r="BC60" s="439">
        <f ca="1">HLOOKUP(BC$48,'Profile Data'!$W$3:$AZ$27,PLOTS!$AU60,FALSE)/BC$46</f>
        <v>1.0219895110071051</v>
      </c>
      <c r="BD60" s="439">
        <f ca="1">HLOOKUP(BD$48,'Profile Data'!$W$3:$AZ$27,PLOTS!$AU60,FALSE)/BD$46</f>
        <v>1.0195376180323021</v>
      </c>
      <c r="BE60" s="439">
        <f ca="1">HLOOKUP(BE$48,'Profile Data'!$W$3:$AZ$27,PLOTS!$AU60,FALSE)/BE$46</f>
        <v>1.0330447948802455</v>
      </c>
      <c r="BF60" s="439">
        <f ca="1">HLOOKUP(BF$48,'Profile Data'!$W$3:$AZ$27,PLOTS!$AU60,FALSE)/BF$46</f>
        <v>1.0393008896677036</v>
      </c>
      <c r="BG60" s="439">
        <f ca="1">HLOOKUP(BG$48,'Profile Data'!$W$3:$AZ$27,PLOTS!$AU60,FALSE)/BG$46</f>
        <v>1.0412341569731556</v>
      </c>
      <c r="BH60" s="439">
        <f ca="1">HLOOKUP(BH$48,'Profile Data'!$W$3:$AZ$27,PLOTS!$AU60,FALSE)/BH$46</f>
        <v>1.0330447948802455</v>
      </c>
      <c r="BI60" s="439" t="e">
        <f>HLOOKUP(BI$48,'Profile Data'!$W$3:$AZ$27,PLOTS!$AU60,FALSE)/BI$46</f>
        <v>#N/A</v>
      </c>
      <c r="BJ60" s="439" t="e">
        <f>HLOOKUP(BJ$48,'Profile Data'!$W$3:$AZ$27,PLOTS!$AU60,FALSE)/BJ$46</f>
        <v>#N/A</v>
      </c>
      <c r="BK60" s="439" t="e">
        <f>HLOOKUP(BK$48,'Profile Data'!$W$3:$AZ$27,PLOTS!$AU60,FALSE)/BK$46</f>
        <v>#N/A</v>
      </c>
      <c r="BL60" s="439" t="e">
        <f>HLOOKUP(BL$48,'Profile Data'!$W$3:$AZ$27,PLOTS!$AU60,FALSE)/BL$46</f>
        <v>#N/A</v>
      </c>
      <c r="BM60" s="439"/>
      <c r="BO60" s="439">
        <f t="shared" ref="BO60:CE60" ca="1" si="39">AW60*(1+$BP$6*AW82)</f>
        <v>1.1584718705430752</v>
      </c>
      <c r="BP60" s="439">
        <f t="shared" ca="1" si="39"/>
        <v>1.1982827016558308</v>
      </c>
      <c r="BQ60" s="439">
        <f t="shared" ca="1" si="39"/>
        <v>1.2425971557934994</v>
      </c>
      <c r="BR60" s="439">
        <f t="shared" ca="1" si="39"/>
        <v>1.3012920932841492</v>
      </c>
      <c r="BS60" s="439">
        <f t="shared" ca="1" si="39"/>
        <v>1.3853880859270489</v>
      </c>
      <c r="BT60" s="439">
        <f t="shared" ca="1" si="39"/>
        <v>1.1584718705430752</v>
      </c>
      <c r="BU60" s="439">
        <f t="shared" ca="1" si="39"/>
        <v>1.1982827016558308</v>
      </c>
      <c r="BV60" s="439">
        <f t="shared" ca="1" si="39"/>
        <v>1.2425971557934994</v>
      </c>
      <c r="BW60" s="439">
        <f t="shared" ca="1" si="39"/>
        <v>1.3012920932841492</v>
      </c>
      <c r="BX60" s="439">
        <f t="shared" ca="1" si="39"/>
        <v>1.3853880859270489</v>
      </c>
      <c r="BY60" s="439">
        <f t="shared" ca="1" si="39"/>
        <v>1.3532139412562374</v>
      </c>
      <c r="BZ60" s="439">
        <f t="shared" ca="1" si="39"/>
        <v>1.3012920932841492</v>
      </c>
      <c r="CA60" s="439" t="e">
        <f t="shared" si="39"/>
        <v>#N/A</v>
      </c>
      <c r="CB60" s="439" t="e">
        <f t="shared" si="39"/>
        <v>#N/A</v>
      </c>
      <c r="CC60" s="439" t="e">
        <f t="shared" si="39"/>
        <v>#N/A</v>
      </c>
      <c r="CD60" s="439" t="e">
        <f t="shared" si="39"/>
        <v>#N/A</v>
      </c>
      <c r="CE60" s="439">
        <f t="shared" si="39"/>
        <v>0</v>
      </c>
    </row>
    <row r="61" spans="1:83" ht="15.75" x14ac:dyDescent="0.25">
      <c r="A61" s="365"/>
      <c r="AC61" s="458"/>
      <c r="AU61" s="445">
        <f t="shared" si="31"/>
        <v>16</v>
      </c>
      <c r="AV61" s="440">
        <f>'Profile Data'!V18*RWDI_FACTORS!$D$7*0.0254</f>
        <v>162.56</v>
      </c>
      <c r="AW61" s="439">
        <f ca="1">HLOOKUP(AW$48,'Profile Data'!$W$3:$AZ$27,PLOTS!$AU61,FALSE)/AW$46</f>
        <v>1.0345686799740932</v>
      </c>
      <c r="AX61" s="439">
        <f ca="1">HLOOKUP(AX$48,'Profile Data'!$W$3:$AZ$27,PLOTS!$AU61,FALSE)/AX$46</f>
        <v>1.0428178275198507</v>
      </c>
      <c r="AY61" s="439">
        <f ca="1">HLOOKUP(AY$48,'Profile Data'!$W$3:$AZ$27,PLOTS!$AU61,FALSE)/AY$46</f>
        <v>1.0514303646354026</v>
      </c>
      <c r="AZ61" s="439">
        <f ca="1">HLOOKUP(AZ$48,'Profile Data'!$W$3:$AZ$27,PLOTS!$AU61,FALSE)/AZ$46</f>
        <v>1.0642570959059778</v>
      </c>
      <c r="BA61" s="439">
        <f ca="1">HLOOKUP(BA$48,'Profile Data'!$W$3:$AZ$27,PLOTS!$AU61,FALSE)/BA$46</f>
        <v>1.0762600724163416</v>
      </c>
      <c r="BB61" s="439">
        <f ca="1">HLOOKUP(BB$48,'Profile Data'!$W$3:$AZ$27,PLOTS!$AU61,FALSE)/BB$46</f>
        <v>1.0345686799740932</v>
      </c>
      <c r="BC61" s="439">
        <f ca="1">HLOOKUP(BC$48,'Profile Data'!$W$3:$AZ$27,PLOTS!$AU61,FALSE)/BC$46</f>
        <v>1.0428178275198507</v>
      </c>
      <c r="BD61" s="439">
        <f ca="1">HLOOKUP(BD$48,'Profile Data'!$W$3:$AZ$27,PLOTS!$AU61,FALSE)/BD$46</f>
        <v>1.0514303646354026</v>
      </c>
      <c r="BE61" s="439">
        <f ca="1">HLOOKUP(BE$48,'Profile Data'!$W$3:$AZ$27,PLOTS!$AU61,FALSE)/BE$46</f>
        <v>1.0642570959059778</v>
      </c>
      <c r="BF61" s="439">
        <f ca="1">HLOOKUP(BF$48,'Profile Data'!$W$3:$AZ$27,PLOTS!$AU61,FALSE)/BF$46</f>
        <v>1.0762600724163416</v>
      </c>
      <c r="BG61" s="439">
        <f ca="1">HLOOKUP(BG$48,'Profile Data'!$W$3:$AZ$27,PLOTS!$AU61,FALSE)/BG$46</f>
        <v>1.0863986680200923</v>
      </c>
      <c r="BH61" s="439">
        <f ca="1">HLOOKUP(BH$48,'Profile Data'!$W$3:$AZ$27,PLOTS!$AU61,FALSE)/BH$46</f>
        <v>1.0642570959059778</v>
      </c>
      <c r="BI61" s="439" t="e">
        <f>HLOOKUP(BI$48,'Profile Data'!$W$3:$AZ$27,PLOTS!$AU61,FALSE)/BI$46</f>
        <v>#N/A</v>
      </c>
      <c r="BJ61" s="439" t="e">
        <f>HLOOKUP(BJ$48,'Profile Data'!$W$3:$AZ$27,PLOTS!$AU61,FALSE)/BJ$46</f>
        <v>#N/A</v>
      </c>
      <c r="BK61" s="439" t="e">
        <f>HLOOKUP(BK$48,'Profile Data'!$W$3:$AZ$27,PLOTS!$AU61,FALSE)/BK$46</f>
        <v>#N/A</v>
      </c>
      <c r="BL61" s="439" t="e">
        <f>HLOOKUP(BL$48,'Profile Data'!$W$3:$AZ$27,PLOTS!$AU61,FALSE)/BL$46</f>
        <v>#N/A</v>
      </c>
      <c r="BM61" s="439"/>
      <c r="BO61" s="439">
        <f t="shared" ref="BO61:CE61" ca="1" si="40">AW61*(1+$BP$6*AW83)</f>
        <v>1.1685453240307382</v>
      </c>
      <c r="BP61" s="439">
        <f t="shared" ca="1" si="40"/>
        <v>1.2153129314144779</v>
      </c>
      <c r="BQ61" s="439">
        <f t="shared" ca="1" si="40"/>
        <v>1.2722491412402184</v>
      </c>
      <c r="BR61" s="439">
        <f t="shared" ca="1" si="40"/>
        <v>1.3335141411701903</v>
      </c>
      <c r="BS61" s="439">
        <f t="shared" ca="1" si="40"/>
        <v>1.4265827259878607</v>
      </c>
      <c r="BT61" s="439">
        <f t="shared" ca="1" si="40"/>
        <v>1.1685453240307382</v>
      </c>
      <c r="BU61" s="439">
        <f t="shared" ca="1" si="40"/>
        <v>1.2153129314144779</v>
      </c>
      <c r="BV61" s="439">
        <f t="shared" ca="1" si="40"/>
        <v>1.2722491412402184</v>
      </c>
      <c r="BW61" s="439">
        <f t="shared" ca="1" si="40"/>
        <v>1.3335141411701903</v>
      </c>
      <c r="BX61" s="439">
        <f t="shared" ca="1" si="40"/>
        <v>1.4265827259878607</v>
      </c>
      <c r="BY61" s="439">
        <f t="shared" ca="1" si="40"/>
        <v>1.4013184819124167</v>
      </c>
      <c r="BZ61" s="439">
        <f t="shared" ca="1" si="40"/>
        <v>1.3335141411701903</v>
      </c>
      <c r="CA61" s="439" t="e">
        <f t="shared" si="40"/>
        <v>#N/A</v>
      </c>
      <c r="CB61" s="439" t="e">
        <f t="shared" si="40"/>
        <v>#N/A</v>
      </c>
      <c r="CC61" s="439" t="e">
        <f t="shared" si="40"/>
        <v>#N/A</v>
      </c>
      <c r="CD61" s="439" t="e">
        <f t="shared" si="40"/>
        <v>#N/A</v>
      </c>
      <c r="CE61" s="439">
        <f t="shared" si="40"/>
        <v>0</v>
      </c>
    </row>
    <row r="62" spans="1:83" ht="15.75" x14ac:dyDescent="0.25">
      <c r="A62" s="365"/>
      <c r="AC62" s="458"/>
      <c r="AU62" s="445">
        <f t="shared" si="31"/>
        <v>17</v>
      </c>
      <c r="AV62" s="440">
        <f>'Profile Data'!V19*RWDI_FACTORS!$D$7*0.0254</f>
        <v>203.2</v>
      </c>
      <c r="AW62" s="439">
        <f ca="1">HLOOKUP(AW$48,'Profile Data'!$W$3:$AZ$27,PLOTS!$AU62,FALSE)/AW$46</f>
        <v>1.0530524842477871</v>
      </c>
      <c r="AX62" s="439">
        <f ca="1">HLOOKUP(AX$48,'Profile Data'!$W$3:$AZ$27,PLOTS!$AU62,FALSE)/AX$46</f>
        <v>1.070336679640463</v>
      </c>
      <c r="AY62" s="439">
        <f ca="1">HLOOKUP(AY$48,'Profile Data'!$W$3:$AZ$27,PLOTS!$AU62,FALSE)/AY$46</f>
        <v>1.0833231112385031</v>
      </c>
      <c r="AZ62" s="439">
        <f ca="1">HLOOKUP(AZ$48,'Profile Data'!$W$3:$AZ$27,PLOTS!$AU62,FALSE)/AZ$46</f>
        <v>1.1147364665677033</v>
      </c>
      <c r="BA62" s="439">
        <f ca="1">HLOOKUP(BA$48,'Profile Data'!$W$3:$AZ$27,PLOTS!$AU62,FALSE)/BA$46</f>
        <v>1.1477939745104786</v>
      </c>
      <c r="BB62" s="439">
        <f ca="1">HLOOKUP(BB$48,'Profile Data'!$W$3:$AZ$27,PLOTS!$AU62,FALSE)/BB$46</f>
        <v>1.0530524842477871</v>
      </c>
      <c r="BC62" s="439">
        <f ca="1">HLOOKUP(BC$48,'Profile Data'!$W$3:$AZ$27,PLOTS!$AU62,FALSE)/BC$46</f>
        <v>1.070336679640463</v>
      </c>
      <c r="BD62" s="439">
        <f ca="1">HLOOKUP(BD$48,'Profile Data'!$W$3:$AZ$27,PLOTS!$AU62,FALSE)/BD$46</f>
        <v>1.0833231112385031</v>
      </c>
      <c r="BE62" s="439">
        <f ca="1">HLOOKUP(BE$48,'Profile Data'!$W$3:$AZ$27,PLOTS!$AU62,FALSE)/BE$46</f>
        <v>1.1147364665677033</v>
      </c>
      <c r="BF62" s="439">
        <f ca="1">HLOOKUP(BF$48,'Profile Data'!$W$3:$AZ$27,PLOTS!$AU62,FALSE)/BF$46</f>
        <v>1.1477939745104786</v>
      </c>
      <c r="BG62" s="439">
        <f ca="1">HLOOKUP(BG$48,'Profile Data'!$W$3:$AZ$27,PLOTS!$AU62,FALSE)/BG$46</f>
        <v>1.1470203164445283</v>
      </c>
      <c r="BH62" s="439">
        <f ca="1">HLOOKUP(BH$48,'Profile Data'!$W$3:$AZ$27,PLOTS!$AU62,FALSE)/BH$46</f>
        <v>1.1147364665677033</v>
      </c>
      <c r="BI62" s="439" t="e">
        <f>HLOOKUP(BI$48,'Profile Data'!$W$3:$AZ$27,PLOTS!$AU62,FALSE)/BI$46</f>
        <v>#N/A</v>
      </c>
      <c r="BJ62" s="439" t="e">
        <f>HLOOKUP(BJ$48,'Profile Data'!$W$3:$AZ$27,PLOTS!$AU62,FALSE)/BJ$46</f>
        <v>#N/A</v>
      </c>
      <c r="BK62" s="439" t="e">
        <f>HLOOKUP(BK$48,'Profile Data'!$W$3:$AZ$27,PLOTS!$AU62,FALSE)/BK$46</f>
        <v>#N/A</v>
      </c>
      <c r="BL62" s="439" t="e">
        <f>HLOOKUP(BL$48,'Profile Data'!$W$3:$AZ$27,PLOTS!$AU62,FALSE)/BL$46</f>
        <v>#N/A</v>
      </c>
      <c r="BM62" s="439"/>
      <c r="BO62" s="439">
        <f t="shared" ref="BO62:CE62" ca="1" si="41">AW62*(1+$BP$6*AW84)</f>
        <v>1.1811826452686365</v>
      </c>
      <c r="BP62" s="439">
        <f t="shared" ca="1" si="41"/>
        <v>1.2397977344445392</v>
      </c>
      <c r="BQ62" s="439">
        <f t="shared" ca="1" si="41"/>
        <v>1.3013418873752518</v>
      </c>
      <c r="BR62" s="439">
        <f t="shared" ca="1" si="41"/>
        <v>1.3780929567943232</v>
      </c>
      <c r="BS62" s="439">
        <f t="shared" ca="1" si="41"/>
        <v>1.5007406216724508</v>
      </c>
      <c r="BT62" s="439">
        <f t="shared" ca="1" si="41"/>
        <v>1.1811826452686365</v>
      </c>
      <c r="BU62" s="439">
        <f t="shared" ca="1" si="41"/>
        <v>1.2397977344445392</v>
      </c>
      <c r="BV62" s="439">
        <f t="shared" ca="1" si="41"/>
        <v>1.3013418873752518</v>
      </c>
      <c r="BW62" s="439">
        <f t="shared" ca="1" si="41"/>
        <v>1.3780929567943232</v>
      </c>
      <c r="BX62" s="439">
        <f t="shared" ca="1" si="41"/>
        <v>1.5007406216724508</v>
      </c>
      <c r="BY62" s="439">
        <f t="shared" ca="1" si="41"/>
        <v>1.4528446083165505</v>
      </c>
      <c r="BZ62" s="439">
        <f t="shared" ca="1" si="41"/>
        <v>1.3780929567943232</v>
      </c>
      <c r="CA62" s="439" t="e">
        <f t="shared" si="41"/>
        <v>#N/A</v>
      </c>
      <c r="CB62" s="439" t="e">
        <f t="shared" si="41"/>
        <v>#N/A</v>
      </c>
      <c r="CC62" s="439" t="e">
        <f t="shared" si="41"/>
        <v>#N/A</v>
      </c>
      <c r="CD62" s="439" t="e">
        <f t="shared" si="41"/>
        <v>#N/A</v>
      </c>
      <c r="CE62" s="439">
        <f t="shared" si="41"/>
        <v>0</v>
      </c>
    </row>
    <row r="63" spans="1:83" ht="15.75" x14ac:dyDescent="0.25">
      <c r="A63" s="365"/>
      <c r="AC63" s="458"/>
      <c r="AU63" s="445">
        <f t="shared" si="31"/>
        <v>18</v>
      </c>
      <c r="AV63" s="440">
        <f>'Profile Data'!V20*RWDI_FACTORS!$D$7*0.0254</f>
        <v>243.84</v>
      </c>
      <c r="AW63" s="439">
        <f ca="1">HLOOKUP(AW$48,'Profile Data'!$W$3:$AZ$27,PLOTS!$AU63,FALSE)/AW$46</f>
        <v>1.0715362885214808</v>
      </c>
      <c r="AX63" s="439">
        <f ca="1">HLOOKUP(AX$48,'Profile Data'!$W$3:$AZ$27,PLOTS!$AU63,FALSE)/AX$46</f>
        <v>1.0957554320555856</v>
      </c>
      <c r="AY63" s="439">
        <f ca="1">HLOOKUP(AY$48,'Profile Data'!$W$3:$AZ$27,PLOTS!$AU63,FALSE)/AY$46</f>
        <v>1.1230507328261341</v>
      </c>
      <c r="AZ63" s="439">
        <f ca="1">HLOOKUP(AZ$48,'Profile Data'!$W$3:$AZ$27,PLOTS!$AU63,FALSE)/AZ$46</f>
        <v>1.1652158372294288</v>
      </c>
      <c r="BA63" s="439">
        <f ca="1">HLOOKUP(BA$48,'Profile Data'!$W$3:$AZ$27,PLOTS!$AU63,FALSE)/BA$46</f>
        <v>1.2160763356003375</v>
      </c>
      <c r="BB63" s="439">
        <f ca="1">HLOOKUP(BB$48,'Profile Data'!$W$3:$AZ$27,PLOTS!$AU63,FALSE)/BB$46</f>
        <v>1.0715362885214808</v>
      </c>
      <c r="BC63" s="439">
        <f ca="1">HLOOKUP(BC$48,'Profile Data'!$W$3:$AZ$27,PLOTS!$AU63,FALSE)/BC$46</f>
        <v>1.0957554320555856</v>
      </c>
      <c r="BD63" s="439">
        <f ca="1">HLOOKUP(BD$48,'Profile Data'!$W$3:$AZ$27,PLOTS!$AU63,FALSE)/BD$46</f>
        <v>1.1230507328261341</v>
      </c>
      <c r="BE63" s="439">
        <f ca="1">HLOOKUP(BE$48,'Profile Data'!$W$3:$AZ$27,PLOTS!$AU63,FALSE)/BE$46</f>
        <v>1.1652158372294288</v>
      </c>
      <c r="BF63" s="439">
        <f ca="1">HLOOKUP(BF$48,'Profile Data'!$W$3:$AZ$27,PLOTS!$AU63,FALSE)/BF$46</f>
        <v>1.2160763356003375</v>
      </c>
      <c r="BG63" s="439">
        <f ca="1">HLOOKUP(BG$48,'Profile Data'!$W$3:$AZ$27,PLOTS!$AU63,FALSE)/BG$46</f>
        <v>1.2076419648689642</v>
      </c>
      <c r="BH63" s="439">
        <f ca="1">HLOOKUP(BH$48,'Profile Data'!$W$3:$AZ$27,PLOTS!$AU63,FALSE)/BH$46</f>
        <v>1.1652158372294288</v>
      </c>
      <c r="BI63" s="439" t="e">
        <f>HLOOKUP(BI$48,'Profile Data'!$W$3:$AZ$27,PLOTS!$AU63,FALSE)/BI$46</f>
        <v>#N/A</v>
      </c>
      <c r="BJ63" s="439" t="e">
        <f>HLOOKUP(BJ$48,'Profile Data'!$W$3:$AZ$27,PLOTS!$AU63,FALSE)/BJ$46</f>
        <v>#N/A</v>
      </c>
      <c r="BK63" s="439" t="e">
        <f>HLOOKUP(BK$48,'Profile Data'!$W$3:$AZ$27,PLOTS!$AU63,FALSE)/BK$46</f>
        <v>#N/A</v>
      </c>
      <c r="BL63" s="439" t="e">
        <f>HLOOKUP(BL$48,'Profile Data'!$W$3:$AZ$27,PLOTS!$AU63,FALSE)/BL$46</f>
        <v>#N/A</v>
      </c>
      <c r="BM63" s="439"/>
      <c r="BO63" s="439">
        <f t="shared" ref="BO63:CE63" ca="1" si="42">AW63*(1+$BP$6*AW85)</f>
        <v>1.1935306949696514</v>
      </c>
      <c r="BP63" s="439">
        <f t="shared" ca="1" si="42"/>
        <v>1.260406382664838</v>
      </c>
      <c r="BQ63" s="439">
        <f t="shared" ca="1" si="42"/>
        <v>1.3386764735287517</v>
      </c>
      <c r="BR63" s="439">
        <f t="shared" ca="1" si="42"/>
        <v>1.4258357794897443</v>
      </c>
      <c r="BS63" s="439">
        <f t="shared" ca="1" si="42"/>
        <v>1.5699545492600355</v>
      </c>
      <c r="BT63" s="439">
        <f t="shared" ca="1" si="42"/>
        <v>1.1935306949696514</v>
      </c>
      <c r="BU63" s="439">
        <f t="shared" ca="1" si="42"/>
        <v>1.260406382664838</v>
      </c>
      <c r="BV63" s="439">
        <f t="shared" ca="1" si="42"/>
        <v>1.3386764735287517</v>
      </c>
      <c r="BW63" s="439">
        <f t="shared" ca="1" si="42"/>
        <v>1.4258357794897443</v>
      </c>
      <c r="BX63" s="439">
        <f t="shared" ca="1" si="42"/>
        <v>1.5699545492600355</v>
      </c>
      <c r="BY63" s="439">
        <f t="shared" ca="1" si="42"/>
        <v>1.507288127402076</v>
      </c>
      <c r="BZ63" s="439">
        <f t="shared" ca="1" si="42"/>
        <v>1.4258357794897443</v>
      </c>
      <c r="CA63" s="439" t="e">
        <f t="shared" si="42"/>
        <v>#N/A</v>
      </c>
      <c r="CB63" s="439" t="e">
        <f t="shared" si="42"/>
        <v>#N/A</v>
      </c>
      <c r="CC63" s="439" t="e">
        <f t="shared" si="42"/>
        <v>#N/A</v>
      </c>
      <c r="CD63" s="439" t="e">
        <f t="shared" si="42"/>
        <v>#N/A</v>
      </c>
      <c r="CE63" s="439">
        <f t="shared" si="42"/>
        <v>0</v>
      </c>
    </row>
    <row r="64" spans="1:83" ht="15.75" x14ac:dyDescent="0.25">
      <c r="A64" s="365"/>
      <c r="AC64" s="458"/>
      <c r="AU64" s="445">
        <f t="shared" si="31"/>
        <v>19</v>
      </c>
      <c r="AV64" s="440">
        <f>'Profile Data'!V21*RWDI_FACTORS!$D$7*0.0254</f>
        <v>284.47999999999996</v>
      </c>
      <c r="AW64" s="439">
        <f ca="1">HLOOKUP(AW$48,'Profile Data'!$W$3:$AZ$27,PLOTS!$AU64,FALSE)/AW$46</f>
        <v>1.0825630467999512</v>
      </c>
      <c r="AX64" s="439">
        <f ca="1">HLOOKUP(AX$48,'Profile Data'!$W$3:$AZ$27,PLOTS!$AU64,FALSE)/AX$46</f>
        <v>1.1168851517668044</v>
      </c>
      <c r="AY64" s="439">
        <f ca="1">HLOOKUP(AY$48,'Profile Data'!$W$3:$AZ$27,PLOTS!$AU64,FALSE)/AY$46</f>
        <v>1.1520109643315359</v>
      </c>
      <c r="AZ64" s="439">
        <f ca="1">HLOOKUP(AZ$48,'Profile Data'!$W$3:$AZ$27,PLOTS!$AU64,FALSE)/AZ$46</f>
        <v>1.2055839753590192</v>
      </c>
      <c r="BA64" s="439">
        <f ca="1">HLOOKUP(BA$48,'Profile Data'!$W$3:$AZ$27,PLOTS!$AU64,FALSE)/BA$46</f>
        <v>1.2746040736773592</v>
      </c>
      <c r="BB64" s="439">
        <f ca="1">HLOOKUP(BB$48,'Profile Data'!$W$3:$AZ$27,PLOTS!$AU64,FALSE)/BB$46</f>
        <v>1.0825630467999512</v>
      </c>
      <c r="BC64" s="439">
        <f ca="1">HLOOKUP(BC$48,'Profile Data'!$W$3:$AZ$27,PLOTS!$AU64,FALSE)/BC$46</f>
        <v>1.1168851517668044</v>
      </c>
      <c r="BD64" s="439">
        <f ca="1">HLOOKUP(BD$48,'Profile Data'!$W$3:$AZ$27,PLOTS!$AU64,FALSE)/BD$46</f>
        <v>1.1520109643315359</v>
      </c>
      <c r="BE64" s="439">
        <f ca="1">HLOOKUP(BE$48,'Profile Data'!$W$3:$AZ$27,PLOTS!$AU64,FALSE)/BE$46</f>
        <v>1.2055839753590192</v>
      </c>
      <c r="BF64" s="439">
        <f ca="1">HLOOKUP(BF$48,'Profile Data'!$W$3:$AZ$27,PLOTS!$AU64,FALSE)/BF$46</f>
        <v>1.2746040736773592</v>
      </c>
      <c r="BG64" s="439">
        <f ca="1">HLOOKUP(BG$48,'Profile Data'!$W$3:$AZ$27,PLOTS!$AU64,FALSE)/BG$46</f>
        <v>1.2678473464444118</v>
      </c>
      <c r="BH64" s="439">
        <f ca="1">HLOOKUP(BH$48,'Profile Data'!$W$3:$AZ$27,PLOTS!$AU64,FALSE)/BH$46</f>
        <v>1.2055839753590192</v>
      </c>
      <c r="BI64" s="439" t="e">
        <f>HLOOKUP(BI$48,'Profile Data'!$W$3:$AZ$27,PLOTS!$AU64,FALSE)/BI$46</f>
        <v>#N/A</v>
      </c>
      <c r="BJ64" s="439" t="e">
        <f>HLOOKUP(BJ$48,'Profile Data'!$W$3:$AZ$27,PLOTS!$AU64,FALSE)/BJ$46</f>
        <v>#N/A</v>
      </c>
      <c r="BK64" s="439" t="e">
        <f>HLOOKUP(BK$48,'Profile Data'!$W$3:$AZ$27,PLOTS!$AU64,FALSE)/BK$46</f>
        <v>#N/A</v>
      </c>
      <c r="BL64" s="439" t="e">
        <f>HLOOKUP(BL$48,'Profile Data'!$W$3:$AZ$27,PLOTS!$AU64,FALSE)/BL$46</f>
        <v>#N/A</v>
      </c>
      <c r="BM64" s="439"/>
      <c r="BO64" s="439">
        <f t="shared" ref="BO64:CE64" ca="1" si="43">AW64*(1+$BP$6*AW86)</f>
        <v>1.2031605702134658</v>
      </c>
      <c r="BP64" s="439">
        <f t="shared" ca="1" si="43"/>
        <v>1.275706220348044</v>
      </c>
      <c r="BQ64" s="439">
        <f t="shared" ca="1" si="43"/>
        <v>1.3649409909054815</v>
      </c>
      <c r="BR64" s="439">
        <f t="shared" ca="1" si="43"/>
        <v>1.4629761540981698</v>
      </c>
      <c r="BS64" s="439">
        <f t="shared" ca="1" si="43"/>
        <v>1.6200217776439234</v>
      </c>
      <c r="BT64" s="439">
        <f t="shared" ca="1" si="43"/>
        <v>1.2031605702134658</v>
      </c>
      <c r="BU64" s="439">
        <f t="shared" ca="1" si="43"/>
        <v>1.275706220348044</v>
      </c>
      <c r="BV64" s="439">
        <f t="shared" ca="1" si="43"/>
        <v>1.3649409909054815</v>
      </c>
      <c r="BW64" s="439">
        <f t="shared" ca="1" si="43"/>
        <v>1.4629761540981698</v>
      </c>
      <c r="BX64" s="439">
        <f t="shared" ca="1" si="43"/>
        <v>1.6200217776439234</v>
      </c>
      <c r="BY64" s="439">
        <f t="shared" ca="1" si="43"/>
        <v>1.5589767933717098</v>
      </c>
      <c r="BZ64" s="439">
        <f t="shared" ca="1" si="43"/>
        <v>1.4629761540981698</v>
      </c>
      <c r="CA64" s="439" t="e">
        <f t="shared" si="43"/>
        <v>#N/A</v>
      </c>
      <c r="CB64" s="439" t="e">
        <f t="shared" si="43"/>
        <v>#N/A</v>
      </c>
      <c r="CC64" s="439" t="e">
        <f t="shared" si="43"/>
        <v>#N/A</v>
      </c>
      <c r="CD64" s="439" t="e">
        <f t="shared" si="43"/>
        <v>#N/A</v>
      </c>
      <c r="CE64" s="439">
        <f t="shared" si="43"/>
        <v>0</v>
      </c>
    </row>
    <row r="65" spans="1:83" ht="15.75" x14ac:dyDescent="0.25">
      <c r="A65" s="365"/>
      <c r="AC65" s="458"/>
      <c r="AU65" s="445">
        <f t="shared" si="31"/>
        <v>20</v>
      </c>
      <c r="AV65" s="440">
        <f>'Profile Data'!V22*RWDI_FACTORS!$D$7*0.0254</f>
        <v>325.12</v>
      </c>
      <c r="AW65" s="439">
        <f ca="1">HLOOKUP(AW$48,'Profile Data'!$W$3:$AZ$27,PLOTS!$AU65,FALSE)/AW$46</f>
        <v>1.0935898050784214</v>
      </c>
      <c r="AX65" s="439">
        <f ca="1">HLOOKUP(AX$48,'Profile Data'!$W$3:$AZ$27,PLOTS!$AU65,FALSE)/AX$46</f>
        <v>1.1373148382428599</v>
      </c>
      <c r="AY65" s="439">
        <f ca="1">HLOOKUP(AY$48,'Profile Data'!$W$3:$AZ$27,PLOTS!$AU65,FALSE)/AY$46</f>
        <v>1.1817982043035569</v>
      </c>
      <c r="AZ65" s="439">
        <f ca="1">HLOOKUP(AZ$48,'Profile Data'!$W$3:$AZ$27,PLOTS!$AU65,FALSE)/AZ$46</f>
        <v>1.2459521134886098</v>
      </c>
      <c r="BA65" s="439">
        <f ca="1">HLOOKUP(BA$48,'Profile Data'!$W$3:$AZ$27,PLOTS!$AU65,FALSE)/BA$46</f>
        <v>1.3309641177515279</v>
      </c>
      <c r="BB65" s="439">
        <f ca="1">HLOOKUP(BB$48,'Profile Data'!$W$3:$AZ$27,PLOTS!$AU65,FALSE)/BB$46</f>
        <v>1.0935898050784214</v>
      </c>
      <c r="BC65" s="439">
        <f ca="1">HLOOKUP(BC$48,'Profile Data'!$W$3:$AZ$27,PLOTS!$AU65,FALSE)/BC$46</f>
        <v>1.1373148382428599</v>
      </c>
      <c r="BD65" s="439">
        <f ca="1">HLOOKUP(BD$48,'Profile Data'!$W$3:$AZ$27,PLOTS!$AU65,FALSE)/BD$46</f>
        <v>1.1817982043035569</v>
      </c>
      <c r="BE65" s="439">
        <f ca="1">HLOOKUP(BE$48,'Profile Data'!$W$3:$AZ$27,PLOTS!$AU65,FALSE)/BE$46</f>
        <v>1.2459521134886098</v>
      </c>
      <c r="BF65" s="439">
        <f ca="1">HLOOKUP(BF$48,'Profile Data'!$W$3:$AZ$27,PLOTS!$AU65,FALSE)/BF$46</f>
        <v>1.3309641177515279</v>
      </c>
      <c r="BG65" s="439">
        <f ca="1">HLOOKUP(BG$48,'Profile Data'!$W$3:$AZ$27,PLOTS!$AU65,FALSE)/BG$46</f>
        <v>1.3007895192403147</v>
      </c>
      <c r="BH65" s="439">
        <f ca="1">HLOOKUP(BH$48,'Profile Data'!$W$3:$AZ$27,PLOTS!$AU65,FALSE)/BH$46</f>
        <v>1.2459521134886098</v>
      </c>
      <c r="BI65" s="439" t="e">
        <f>HLOOKUP(BI$48,'Profile Data'!$W$3:$AZ$27,PLOTS!$AU65,FALSE)/BI$46</f>
        <v>#N/A</v>
      </c>
      <c r="BJ65" s="439" t="e">
        <f>HLOOKUP(BJ$48,'Profile Data'!$W$3:$AZ$27,PLOTS!$AU65,FALSE)/BJ$46</f>
        <v>#N/A</v>
      </c>
      <c r="BK65" s="439" t="e">
        <f>HLOOKUP(BK$48,'Profile Data'!$W$3:$AZ$27,PLOTS!$AU65,FALSE)/BK$46</f>
        <v>#N/A</v>
      </c>
      <c r="BL65" s="439" t="e">
        <f>HLOOKUP(BL$48,'Profile Data'!$W$3:$AZ$27,PLOTS!$AU65,FALSE)/BL$46</f>
        <v>#N/A</v>
      </c>
      <c r="BM65" s="439"/>
      <c r="BO65" s="439">
        <f t="shared" ref="BO65:CE65" ca="1" si="44">AW65*(1+$BP$6*AW87)</f>
        <v>1.2127364143417156</v>
      </c>
      <c r="BP65" s="439">
        <f t="shared" ca="1" si="44"/>
        <v>1.2940936886946381</v>
      </c>
      <c r="BQ65" s="439">
        <f t="shared" ca="1" si="44"/>
        <v>1.3896646904585093</v>
      </c>
      <c r="BR65" s="439">
        <f t="shared" ca="1" si="44"/>
        <v>1.4986727338412162</v>
      </c>
      <c r="BS65" s="439">
        <f t="shared" ca="1" si="44"/>
        <v>1.6710254498370434</v>
      </c>
      <c r="BT65" s="439">
        <f t="shared" ca="1" si="44"/>
        <v>1.2127364143417156</v>
      </c>
      <c r="BU65" s="439">
        <f t="shared" ca="1" si="44"/>
        <v>1.2940936886946381</v>
      </c>
      <c r="BV65" s="439">
        <f t="shared" ca="1" si="44"/>
        <v>1.3896646904585093</v>
      </c>
      <c r="BW65" s="439">
        <f t="shared" ca="1" si="44"/>
        <v>1.4986727338412162</v>
      </c>
      <c r="BX65" s="439">
        <f t="shared" ca="1" si="44"/>
        <v>1.6710254498370434</v>
      </c>
      <c r="BY65" s="439">
        <f t="shared" ca="1" si="44"/>
        <v>1.5879388056126142</v>
      </c>
      <c r="BZ65" s="439">
        <f t="shared" ca="1" si="44"/>
        <v>1.4986727338412162</v>
      </c>
      <c r="CA65" s="439" t="e">
        <f t="shared" si="44"/>
        <v>#N/A</v>
      </c>
      <c r="CB65" s="439" t="e">
        <f t="shared" si="44"/>
        <v>#N/A</v>
      </c>
      <c r="CC65" s="439" t="e">
        <f t="shared" si="44"/>
        <v>#N/A</v>
      </c>
      <c r="CD65" s="439" t="e">
        <f t="shared" si="44"/>
        <v>#N/A</v>
      </c>
      <c r="CE65" s="439">
        <f t="shared" si="44"/>
        <v>0</v>
      </c>
    </row>
    <row r="66" spans="1:83" ht="15.75" x14ac:dyDescent="0.25">
      <c r="A66" s="365"/>
      <c r="AC66" s="458"/>
      <c r="AU66" s="445">
        <f t="shared" si="31"/>
        <v>21</v>
      </c>
      <c r="AV66" s="440">
        <f>'Profile Data'!V23*RWDI_FACTORS!$D$7*0.0254</f>
        <v>365.76</v>
      </c>
      <c r="AW66" s="439">
        <f ca="1">HLOOKUP(AW$48,'Profile Data'!$W$3:$AZ$27,PLOTS!$AU66,FALSE)/AW$46</f>
        <v>1.1046165633568914</v>
      </c>
      <c r="AX66" s="439">
        <f ca="1">HLOOKUP(AX$48,'Profile Data'!$W$3:$AZ$27,PLOTS!$AU66,FALSE)/AX$46</f>
        <v>1.1570444914837519</v>
      </c>
      <c r="AY66" s="439">
        <f ca="1">HLOOKUP(AY$48,'Profile Data'!$W$3:$AZ$27,PLOTS!$AU66,FALSE)/AY$46</f>
        <v>1.2051176248015678</v>
      </c>
      <c r="AZ66" s="439">
        <f ca="1">HLOOKUP(AZ$48,'Profile Data'!$W$3:$AZ$27,PLOTS!$AU66,FALSE)/AZ$46</f>
        <v>1.2863202516182</v>
      </c>
      <c r="BA66" s="439">
        <f ca="1">HLOOKUP(BA$48,'Profile Data'!$W$3:$AZ$27,PLOTS!$AU66,FALSE)/BA$46</f>
        <v>1.3851564678228441</v>
      </c>
      <c r="BB66" s="439">
        <f ca="1">HLOOKUP(BB$48,'Profile Data'!$W$3:$AZ$27,PLOTS!$AU66,FALSE)/BB$46</f>
        <v>1.1046165633568914</v>
      </c>
      <c r="BC66" s="439">
        <f ca="1">HLOOKUP(BC$48,'Profile Data'!$W$3:$AZ$27,PLOTS!$AU66,FALSE)/BC$46</f>
        <v>1.1570444914837519</v>
      </c>
      <c r="BD66" s="439">
        <f ca="1">HLOOKUP(BD$48,'Profile Data'!$W$3:$AZ$27,PLOTS!$AU66,FALSE)/BD$46</f>
        <v>1.2051176248015678</v>
      </c>
      <c r="BE66" s="439">
        <f ca="1">HLOOKUP(BE$48,'Profile Data'!$W$3:$AZ$27,PLOTS!$AU66,FALSE)/BE$46</f>
        <v>1.2863202516182</v>
      </c>
      <c r="BF66" s="439">
        <f ca="1">HLOOKUP(BF$48,'Profile Data'!$W$3:$AZ$27,PLOTS!$AU66,FALSE)/BF$46</f>
        <v>1.3851564678228441</v>
      </c>
      <c r="BG66" s="439">
        <f ca="1">HLOOKUP(BG$48,'Profile Data'!$W$3:$AZ$27,PLOTS!$AU66,FALSE)/BG$46</f>
        <v>1.3526139884872355</v>
      </c>
      <c r="BH66" s="439">
        <f ca="1">HLOOKUP(BH$48,'Profile Data'!$W$3:$AZ$27,PLOTS!$AU66,FALSE)/BH$46</f>
        <v>1.2863202516182</v>
      </c>
      <c r="BI66" s="439" t="e">
        <f>HLOOKUP(BI$48,'Profile Data'!$W$3:$AZ$27,PLOTS!$AU66,FALSE)/BI$46</f>
        <v>#N/A</v>
      </c>
      <c r="BJ66" s="439" t="e">
        <f>HLOOKUP(BJ$48,'Profile Data'!$W$3:$AZ$27,PLOTS!$AU66,FALSE)/BJ$46</f>
        <v>#N/A</v>
      </c>
      <c r="BK66" s="439" t="e">
        <f>HLOOKUP(BK$48,'Profile Data'!$W$3:$AZ$27,PLOTS!$AU66,FALSE)/BK$46</f>
        <v>#N/A</v>
      </c>
      <c r="BL66" s="439" t="e">
        <f>HLOOKUP(BL$48,'Profile Data'!$W$3:$AZ$27,PLOTS!$AU66,FALSE)/BL$46</f>
        <v>#N/A</v>
      </c>
      <c r="BM66" s="439"/>
      <c r="BO66" s="439">
        <f t="shared" ref="BO66:CE66" ca="1" si="45">AW66*(1+$BP$6*AW88)</f>
        <v>1.2222582273544005</v>
      </c>
      <c r="BP66" s="439">
        <f t="shared" ca="1" si="45"/>
        <v>1.3115099310968328</v>
      </c>
      <c r="BQ66" s="439">
        <f t="shared" ca="1" si="45"/>
        <v>1.4105901798302352</v>
      </c>
      <c r="BR66" s="439">
        <f t="shared" ca="1" si="45"/>
        <v>1.5345800601805126</v>
      </c>
      <c r="BS66" s="439">
        <f t="shared" ca="1" si="45"/>
        <v>1.7238272242055295</v>
      </c>
      <c r="BT66" s="439">
        <f t="shared" ca="1" si="45"/>
        <v>1.2222582273544005</v>
      </c>
      <c r="BU66" s="439">
        <f t="shared" ca="1" si="45"/>
        <v>1.3115099310968328</v>
      </c>
      <c r="BV66" s="439">
        <f t="shared" ca="1" si="45"/>
        <v>1.4105901798302352</v>
      </c>
      <c r="BW66" s="439">
        <f t="shared" ca="1" si="45"/>
        <v>1.5345800601805126</v>
      </c>
      <c r="BX66" s="439">
        <f t="shared" ca="1" si="45"/>
        <v>1.7238272242055295</v>
      </c>
      <c r="BY66" s="439">
        <f t="shared" ca="1" si="45"/>
        <v>1.6306776091704991</v>
      </c>
      <c r="BZ66" s="439">
        <f t="shared" ca="1" si="45"/>
        <v>1.5345800601805126</v>
      </c>
      <c r="CA66" s="439" t="e">
        <f t="shared" si="45"/>
        <v>#N/A</v>
      </c>
      <c r="CB66" s="439" t="e">
        <f t="shared" si="45"/>
        <v>#N/A</v>
      </c>
      <c r="CC66" s="439" t="e">
        <f t="shared" si="45"/>
        <v>#N/A</v>
      </c>
      <c r="CD66" s="439" t="e">
        <f t="shared" si="45"/>
        <v>#N/A</v>
      </c>
      <c r="CE66" s="439">
        <f t="shared" si="45"/>
        <v>0</v>
      </c>
    </row>
    <row r="67" spans="1:83" ht="15.75" x14ac:dyDescent="0.25">
      <c r="A67" s="365"/>
      <c r="AC67" s="458"/>
      <c r="AU67" s="445">
        <f t="shared" si="31"/>
        <v>22</v>
      </c>
      <c r="AV67" s="440">
        <f>'Profile Data'!V24*RWDI_FACTORS!$D$7*0.0254</f>
        <v>406.4</v>
      </c>
      <c r="AW67" s="439">
        <f ca="1">HLOOKUP(AW$48,'Profile Data'!$W$3:$AZ$27,PLOTS!$AU67,FALSE)/AW$46</f>
        <v>1.1146114263422466</v>
      </c>
      <c r="AX67" s="439">
        <f ca="1">HLOOKUP(AX$48,'Profile Data'!$W$3:$AZ$27,PLOTS!$AU67,FALSE)/AX$46</f>
        <v>1.1747146663718846</v>
      </c>
      <c r="AY67" s="439">
        <f ca="1">HLOOKUP(AY$48,'Profile Data'!$W$3:$AZ$27,PLOTS!$AU67,FALSE)/AY$46</f>
        <v>1.2284370452995785</v>
      </c>
      <c r="AZ67" s="439">
        <f ca="1">HLOOKUP(AZ$48,'Profile Data'!$W$3:$AZ$27,PLOTS!$AU67,FALSE)/AZ$46</f>
        <v>1.3193515363062116</v>
      </c>
      <c r="BA67" s="439">
        <f ca="1">HLOOKUP(BA$48,'Profile Data'!$W$3:$AZ$27,PLOTS!$AU67,FALSE)/BA$46</f>
        <v>1.4209234188699129</v>
      </c>
      <c r="BB67" s="439">
        <f ca="1">HLOOKUP(BB$48,'Profile Data'!$W$3:$AZ$27,PLOTS!$AU67,FALSE)/BB$46</f>
        <v>1.1146114263422466</v>
      </c>
      <c r="BC67" s="439">
        <f ca="1">HLOOKUP(BC$48,'Profile Data'!$W$3:$AZ$27,PLOTS!$AU67,FALSE)/BC$46</f>
        <v>1.1747146663718846</v>
      </c>
      <c r="BD67" s="439">
        <f ca="1">HLOOKUP(BD$48,'Profile Data'!$W$3:$AZ$27,PLOTS!$AU67,FALSE)/BD$46</f>
        <v>1.2284370452995785</v>
      </c>
      <c r="BE67" s="439">
        <f ca="1">HLOOKUP(BE$48,'Profile Data'!$W$3:$AZ$27,PLOTS!$AU67,FALSE)/BE$46</f>
        <v>1.3193515363062116</v>
      </c>
      <c r="BF67" s="439">
        <f ca="1">HLOOKUP(BF$48,'Profile Data'!$W$3:$AZ$27,PLOTS!$AU67,FALSE)/BF$46</f>
        <v>1.4209234188699129</v>
      </c>
      <c r="BG67" s="439">
        <f ca="1">HLOOKUP(BG$48,'Profile Data'!$W$3:$AZ$27,PLOTS!$AU67,FALSE)/BG$46</f>
        <v>1.3836767233384166</v>
      </c>
      <c r="BH67" s="439">
        <f ca="1">HLOOKUP(BH$48,'Profile Data'!$W$3:$AZ$27,PLOTS!$AU67,FALSE)/BH$46</f>
        <v>1.3193515363062116</v>
      </c>
      <c r="BI67" s="439" t="e">
        <f>HLOOKUP(BI$48,'Profile Data'!$W$3:$AZ$27,PLOTS!$AU67,FALSE)/BI$46</f>
        <v>#N/A</v>
      </c>
      <c r="BJ67" s="439" t="e">
        <f>HLOOKUP(BJ$48,'Profile Data'!$W$3:$AZ$27,PLOTS!$AU67,FALSE)/BJ$46</f>
        <v>#N/A</v>
      </c>
      <c r="BK67" s="439" t="e">
        <f>HLOOKUP(BK$48,'Profile Data'!$W$3:$AZ$27,PLOTS!$AU67,FALSE)/BK$46</f>
        <v>#N/A</v>
      </c>
      <c r="BL67" s="439" t="e">
        <f>HLOOKUP(BL$48,'Profile Data'!$W$3:$AZ$27,PLOTS!$AU67,FALSE)/BL$46</f>
        <v>#N/A</v>
      </c>
      <c r="BM67" s="439"/>
      <c r="BO67" s="439">
        <f t="shared" ref="BO67:CE67" ca="1" si="46">AW67*(1+$BP$6*AW89)</f>
        <v>1.2323887003924106</v>
      </c>
      <c r="BP67" s="439">
        <f t="shared" ca="1" si="46"/>
        <v>1.3271338943336366</v>
      </c>
      <c r="BQ67" s="439">
        <f t="shared" ca="1" si="46"/>
        <v>1.4280580651607602</v>
      </c>
      <c r="BR67" s="439">
        <f t="shared" ca="1" si="46"/>
        <v>1.5612326512956838</v>
      </c>
      <c r="BS67" s="439">
        <f t="shared" ca="1" si="46"/>
        <v>1.7512881137571676</v>
      </c>
      <c r="BT67" s="439">
        <f t="shared" ca="1" si="46"/>
        <v>1.2323887003924106</v>
      </c>
      <c r="BU67" s="439">
        <f t="shared" ca="1" si="46"/>
        <v>1.3271338943336366</v>
      </c>
      <c r="BV67" s="439">
        <f t="shared" ca="1" si="46"/>
        <v>1.4280580651607602</v>
      </c>
      <c r="BW67" s="439">
        <f t="shared" ca="1" si="46"/>
        <v>1.5612326512956838</v>
      </c>
      <c r="BX67" s="439">
        <f t="shared" ca="1" si="46"/>
        <v>1.7512881137571676</v>
      </c>
      <c r="BY67" s="439">
        <f t="shared" ca="1" si="46"/>
        <v>1.6531823571266566</v>
      </c>
      <c r="BZ67" s="439">
        <f t="shared" ca="1" si="46"/>
        <v>1.5612326512956838</v>
      </c>
      <c r="CA67" s="439" t="e">
        <f t="shared" si="46"/>
        <v>#N/A</v>
      </c>
      <c r="CB67" s="439" t="e">
        <f t="shared" si="46"/>
        <v>#N/A</v>
      </c>
      <c r="CC67" s="439" t="e">
        <f t="shared" si="46"/>
        <v>#N/A</v>
      </c>
      <c r="CD67" s="439" t="e">
        <f t="shared" si="46"/>
        <v>#N/A</v>
      </c>
      <c r="CE67" s="439">
        <f t="shared" si="46"/>
        <v>0</v>
      </c>
    </row>
    <row r="68" spans="1:83" ht="15.75" x14ac:dyDescent="0.25">
      <c r="A68" s="365"/>
      <c r="AC68" s="458"/>
      <c r="AU68" s="445">
        <f t="shared" si="31"/>
        <v>23</v>
      </c>
      <c r="AV68" s="440">
        <f>'Profile Data'!V25*RWDI_FACTORS!$D$7*0.0254</f>
        <v>487.68</v>
      </c>
      <c r="AW68" s="439">
        <f ca="1">HLOOKUP(AW$48,'Profile Data'!$W$3:$AZ$27,PLOTS!$AU68,FALSE)/AW$46</f>
        <v>1.1359860439370459</v>
      </c>
      <c r="AX68" s="439">
        <f ca="1">HLOOKUP(AX$48,'Profile Data'!$W$3:$AZ$27,PLOTS!$AU68,FALSE)/AX$46</f>
        <v>1.2121551158536397</v>
      </c>
      <c r="AY68" s="439">
        <f ca="1">HLOOKUP(AY$48,'Profile Data'!$W$3:$AZ$27,PLOTS!$AU68,FALSE)/AY$46</f>
        <v>1.2712354664128214</v>
      </c>
      <c r="AZ68" s="439">
        <f ca="1">HLOOKUP(AZ$48,'Profile Data'!$W$3:$AZ$27,PLOTS!$AU68,FALSE)/AZ$46</f>
        <v>1.3854141056822342</v>
      </c>
      <c r="BA68" s="439">
        <f ca="1">HLOOKUP(BA$48,'Profile Data'!$W$3:$AZ$27,PLOTS!$AU68,FALSE)/BA$46</f>
        <v>1.4827026979512135</v>
      </c>
      <c r="BB68" s="439">
        <f ca="1">HLOOKUP(BB$48,'Profile Data'!$W$3:$AZ$27,PLOTS!$AU68,FALSE)/BB$46</f>
        <v>1.1359860439370459</v>
      </c>
      <c r="BC68" s="439">
        <f ca="1">HLOOKUP(BC$48,'Profile Data'!$W$3:$AZ$27,PLOTS!$AU68,FALSE)/BC$46</f>
        <v>1.2121551158536397</v>
      </c>
      <c r="BD68" s="439">
        <f ca="1">HLOOKUP(BD$48,'Profile Data'!$W$3:$AZ$27,PLOTS!$AU68,FALSE)/BD$46</f>
        <v>1.2712354664128214</v>
      </c>
      <c r="BE68" s="439">
        <f ca="1">HLOOKUP(BE$48,'Profile Data'!$W$3:$AZ$27,PLOTS!$AU68,FALSE)/BE$46</f>
        <v>1.3854141056822342</v>
      </c>
      <c r="BF68" s="439">
        <f ca="1">HLOOKUP(BF$48,'Profile Data'!$W$3:$AZ$27,PLOTS!$AU68,FALSE)/BF$46</f>
        <v>1.4827026979512135</v>
      </c>
      <c r="BG68" s="439">
        <f ca="1">HLOOKUP(BG$48,'Profile Data'!$W$3:$AZ$27,PLOTS!$AU68,FALSE)/BG$46</f>
        <v>1.435166308403558</v>
      </c>
      <c r="BH68" s="439">
        <f ca="1">HLOOKUP(BH$48,'Profile Data'!$W$3:$AZ$27,PLOTS!$AU68,FALSE)/BH$46</f>
        <v>1.3854141056822342</v>
      </c>
      <c r="BI68" s="439" t="e">
        <f>HLOOKUP(BI$48,'Profile Data'!$W$3:$AZ$27,PLOTS!$AU68,FALSE)/BI$46</f>
        <v>#N/A</v>
      </c>
      <c r="BJ68" s="439" t="e">
        <f>HLOOKUP(BJ$48,'Profile Data'!$W$3:$AZ$27,PLOTS!$AU68,FALSE)/BJ$46</f>
        <v>#N/A</v>
      </c>
      <c r="BK68" s="439" t="e">
        <f>HLOOKUP(BK$48,'Profile Data'!$W$3:$AZ$27,PLOTS!$AU68,FALSE)/BK$46</f>
        <v>#N/A</v>
      </c>
      <c r="BL68" s="439" t="e">
        <f>HLOOKUP(BL$48,'Profile Data'!$W$3:$AZ$27,PLOTS!$AU68,FALSE)/BL$46</f>
        <v>#N/A</v>
      </c>
      <c r="BM68" s="439"/>
      <c r="BO68" s="439">
        <f t="shared" ref="BO68:CE68" ca="1" si="47">AW68*(1+$BP$6*AW90)</f>
        <v>1.2571389555229318</v>
      </c>
      <c r="BP68" s="439">
        <f t="shared" ca="1" si="47"/>
        <v>1.3648866604511982</v>
      </c>
      <c r="BQ68" s="439">
        <f t="shared" ca="1" si="47"/>
        <v>1.4643996955342495</v>
      </c>
      <c r="BR68" s="439">
        <f t="shared" ca="1" si="47"/>
        <v>1.6209345036482139</v>
      </c>
      <c r="BS68" s="439">
        <f t="shared" ca="1" si="47"/>
        <v>1.7896221564271146</v>
      </c>
      <c r="BT68" s="439">
        <f t="shared" ca="1" si="47"/>
        <v>1.2571389555229318</v>
      </c>
      <c r="BU68" s="439">
        <f t="shared" ca="1" si="47"/>
        <v>1.3648866604511982</v>
      </c>
      <c r="BV68" s="439">
        <f t="shared" ca="1" si="47"/>
        <v>1.4643996955342495</v>
      </c>
      <c r="BW68" s="439">
        <f t="shared" ca="1" si="47"/>
        <v>1.6209345036482139</v>
      </c>
      <c r="BX68" s="439">
        <f t="shared" ca="1" si="47"/>
        <v>1.7896221564271146</v>
      </c>
      <c r="BY68" s="439">
        <f t="shared" ca="1" si="47"/>
        <v>1.6827324966031716</v>
      </c>
      <c r="BZ68" s="439">
        <f t="shared" ca="1" si="47"/>
        <v>1.6209345036482139</v>
      </c>
      <c r="CA68" s="439" t="e">
        <f t="shared" si="47"/>
        <v>#N/A</v>
      </c>
      <c r="CB68" s="439" t="e">
        <f t="shared" si="47"/>
        <v>#N/A</v>
      </c>
      <c r="CC68" s="439" t="e">
        <f t="shared" si="47"/>
        <v>#N/A</v>
      </c>
      <c r="CD68" s="439" t="e">
        <f t="shared" si="47"/>
        <v>#N/A</v>
      </c>
      <c r="CE68" s="439">
        <f t="shared" si="47"/>
        <v>0</v>
      </c>
    </row>
    <row r="69" spans="1:83" ht="15.75" x14ac:dyDescent="0.25">
      <c r="A69" s="365"/>
      <c r="AC69" s="458"/>
      <c r="AU69" s="445">
        <f t="shared" si="31"/>
        <v>24</v>
      </c>
      <c r="AV69" s="440">
        <f>'Profile Data'!V26*RWDI_FACTORS!$D$7*0.0254</f>
        <v>548.64</v>
      </c>
      <c r="AW69" s="439">
        <f ca="1">HLOOKUP(AW$48,'Profile Data'!$W$3:$AZ$27,PLOTS!$AU69,FALSE)/AW$46</f>
        <v>1.1524024386392715</v>
      </c>
      <c r="AX69" s="439">
        <f ca="1">HLOOKUP(AX$48,'Profile Data'!$W$3:$AZ$27,PLOTS!$AU69,FALSE)/AX$46</f>
        <v>1.2329573200155499</v>
      </c>
      <c r="AY69" s="439">
        <f ca="1">HLOOKUP(AY$48,'Profile Data'!$W$3:$AZ$27,PLOTS!$AU69,FALSE)/AY$46</f>
        <v>1.314033887526064</v>
      </c>
      <c r="AZ69" s="439">
        <f ca="1">HLOOKUP(AZ$48,'Profile Data'!$W$3:$AZ$27,PLOTS!$AU69,FALSE)/AZ$46</f>
        <v>1.4248479769083984</v>
      </c>
      <c r="BA69" s="439">
        <f ca="1">HLOOKUP(BA$48,'Profile Data'!$W$3:$AZ$27,PLOTS!$AU69,FALSE)/BA$46</f>
        <v>1.531475813015398</v>
      </c>
      <c r="BB69" s="439">
        <f ca="1">HLOOKUP(BB$48,'Profile Data'!$W$3:$AZ$27,PLOTS!$AU69,FALSE)/BB$46</f>
        <v>1.1524024386392715</v>
      </c>
      <c r="BC69" s="439">
        <f ca="1">HLOOKUP(BC$48,'Profile Data'!$W$3:$AZ$27,PLOTS!$AU69,FALSE)/BC$46</f>
        <v>1.2329573200155499</v>
      </c>
      <c r="BD69" s="439">
        <f ca="1">HLOOKUP(BD$48,'Profile Data'!$W$3:$AZ$27,PLOTS!$AU69,FALSE)/BD$46</f>
        <v>1.314033887526064</v>
      </c>
      <c r="BE69" s="439">
        <f ca="1">HLOOKUP(BE$48,'Profile Data'!$W$3:$AZ$27,PLOTS!$AU69,FALSE)/BE$46</f>
        <v>1.4248479769083984</v>
      </c>
      <c r="BF69" s="439">
        <f ca="1">HLOOKUP(BF$48,'Profile Data'!$W$3:$AZ$27,PLOTS!$AU69,FALSE)/BF$46</f>
        <v>1.531475813015398</v>
      </c>
      <c r="BG69" s="439">
        <f ca="1">HLOOKUP(BG$48,'Profile Data'!$W$3:$AZ$27,PLOTS!$AU69,FALSE)/BG$46</f>
        <v>1.4866558934686998</v>
      </c>
      <c r="BH69" s="439">
        <f ca="1">HLOOKUP(BH$48,'Profile Data'!$W$3:$AZ$27,PLOTS!$AU69,FALSE)/BH$46</f>
        <v>1.4248479769083984</v>
      </c>
      <c r="BI69" s="439" t="e">
        <f>HLOOKUP(BI$48,'Profile Data'!$W$3:$AZ$27,PLOTS!$AU69,FALSE)/BI$46</f>
        <v>#N/A</v>
      </c>
      <c r="BJ69" s="439" t="e">
        <f>HLOOKUP(BJ$48,'Profile Data'!$W$3:$AZ$27,PLOTS!$AU69,FALSE)/BJ$46</f>
        <v>#N/A</v>
      </c>
      <c r="BK69" s="439" t="e">
        <f>HLOOKUP(BK$48,'Profile Data'!$W$3:$AZ$27,PLOTS!$AU69,FALSE)/BK$46</f>
        <v>#N/A</v>
      </c>
      <c r="BL69" s="439" t="e">
        <f>HLOOKUP(BL$48,'Profile Data'!$W$3:$AZ$27,PLOTS!$AU69,FALSE)/BL$46</f>
        <v>#N/A</v>
      </c>
      <c r="BM69" s="439"/>
      <c r="BO69" s="439">
        <f t="shared" ref="BO69:CE69" ca="1" si="48">AW69*(1+$BP$6*AW91)</f>
        <v>1.2771500026219726</v>
      </c>
      <c r="BP69" s="439">
        <f t="shared" ca="1" si="48"/>
        <v>1.3857207319654765</v>
      </c>
      <c r="BQ69" s="439">
        <f t="shared" ca="1" si="48"/>
        <v>1.5041088893567092</v>
      </c>
      <c r="BR69" s="439">
        <f t="shared" ca="1" si="48"/>
        <v>1.6513275628379882</v>
      </c>
      <c r="BS69" s="439">
        <f t="shared" ca="1" si="48"/>
        <v>1.8209247416753083</v>
      </c>
      <c r="BT69" s="439">
        <f t="shared" ca="1" si="48"/>
        <v>1.2771500026219726</v>
      </c>
      <c r="BU69" s="439">
        <f t="shared" ca="1" si="48"/>
        <v>1.3857207319654765</v>
      </c>
      <c r="BV69" s="439">
        <f t="shared" ca="1" si="48"/>
        <v>1.5041088893567092</v>
      </c>
      <c r="BW69" s="439">
        <f t="shared" ca="1" si="48"/>
        <v>1.6513275628379882</v>
      </c>
      <c r="BX69" s="439">
        <f t="shared" ca="1" si="48"/>
        <v>1.8209247416753083</v>
      </c>
      <c r="BY69" s="439">
        <f t="shared" ca="1" si="48"/>
        <v>1.72794014497867</v>
      </c>
      <c r="BZ69" s="439">
        <f t="shared" ca="1" si="48"/>
        <v>1.6513275628379882</v>
      </c>
      <c r="CA69" s="439" t="e">
        <f t="shared" si="48"/>
        <v>#N/A</v>
      </c>
      <c r="CB69" s="439" t="e">
        <f t="shared" si="48"/>
        <v>#N/A</v>
      </c>
      <c r="CC69" s="439" t="e">
        <f t="shared" si="48"/>
        <v>#N/A</v>
      </c>
      <c r="CD69" s="439" t="e">
        <f t="shared" si="48"/>
        <v>#N/A</v>
      </c>
      <c r="CE69" s="439">
        <f t="shared" si="48"/>
        <v>0</v>
      </c>
    </row>
    <row r="70" spans="1:83" ht="15.75" x14ac:dyDescent="0.25">
      <c r="A70" s="365"/>
      <c r="AC70" s="458"/>
      <c r="AU70" s="445">
        <f t="shared" si="31"/>
        <v>25</v>
      </c>
      <c r="AV70" s="440">
        <f>'Profile Data'!V27*RWDI_FACTORS!$D$7*0.0254</f>
        <v>609.6</v>
      </c>
      <c r="AW70" s="439">
        <f ca="1">HLOOKUP(AW$48,'Profile Data'!$W$3:$AZ$27,PLOTS!$AU70,FALSE)/AW$46</f>
        <v>1.1690727936750265</v>
      </c>
      <c r="AX70" s="439">
        <f ca="1">HLOOKUP(AX$48,'Profile Data'!$W$3:$AZ$27,PLOTS!$AU70,FALSE)/AX$46</f>
        <v>1.2516594244719701</v>
      </c>
      <c r="AY70" s="439">
        <f ca="1">HLOOKUP(AY$48,'Profile Data'!$W$3:$AZ$27,PLOTS!$AU70,FALSE)/AY$46</f>
        <v>1.3413283297066512</v>
      </c>
      <c r="AZ70" s="439">
        <f ca="1">HLOOKUP(AZ$48,'Profile Data'!$W$3:$AZ$27,PLOTS!$AU70,FALSE)/AZ$46</f>
        <v>1.4642818481345623</v>
      </c>
      <c r="BA70" s="439">
        <f ca="1">HLOOKUP(BA$48,'Profile Data'!$W$3:$AZ$27,PLOTS!$AU70,FALSE)/BA$46</f>
        <v>1.5802489280795828</v>
      </c>
      <c r="BB70" s="439">
        <f ca="1">HLOOKUP(BB$48,'Profile Data'!$W$3:$AZ$27,PLOTS!$AU70,FALSE)/BB$46</f>
        <v>1.1690727936750265</v>
      </c>
      <c r="BC70" s="439">
        <f ca="1">HLOOKUP(BC$48,'Profile Data'!$W$3:$AZ$27,PLOTS!$AU70,FALSE)/BC$46</f>
        <v>1.2516594244719701</v>
      </c>
      <c r="BD70" s="439">
        <f ca="1">HLOOKUP(BD$48,'Profile Data'!$W$3:$AZ$27,PLOTS!$AU70,FALSE)/BD$46</f>
        <v>1.3413283297066512</v>
      </c>
      <c r="BE70" s="439">
        <f ca="1">HLOOKUP(BE$48,'Profile Data'!$W$3:$AZ$27,PLOTS!$AU70,FALSE)/BE$46</f>
        <v>1.4642818481345623</v>
      </c>
      <c r="BF70" s="439">
        <f ca="1">HLOOKUP(BF$48,'Profile Data'!$W$3:$AZ$27,PLOTS!$AU70,FALSE)/BF$46</f>
        <v>1.5802489280795828</v>
      </c>
      <c r="BG70" s="439">
        <f ca="1">HLOOKUP(BG$48,'Profile Data'!$W$3:$AZ$27,PLOTS!$AU70,FALSE)/BG$46</f>
        <v>1.5101862491018423</v>
      </c>
      <c r="BH70" s="439">
        <f ca="1">HLOOKUP(BH$48,'Profile Data'!$W$3:$AZ$27,PLOTS!$AU70,FALSE)/BH$46</f>
        <v>1.4642818481345623</v>
      </c>
      <c r="BI70" s="439" t="e">
        <f>HLOOKUP(BI$48,'Profile Data'!$W$3:$AZ$27,PLOTS!$AU70,FALSE)/BI$46</f>
        <v>#N/A</v>
      </c>
      <c r="BJ70" s="439" t="e">
        <f>HLOOKUP(BJ$48,'Profile Data'!$W$3:$AZ$27,PLOTS!$AU70,FALSE)/BJ$46</f>
        <v>#N/A</v>
      </c>
      <c r="BK70" s="439" t="e">
        <f>HLOOKUP(BK$48,'Profile Data'!$W$3:$AZ$27,PLOTS!$AU70,FALSE)/BK$46</f>
        <v>#N/A</v>
      </c>
      <c r="BL70" s="439" t="e">
        <f>HLOOKUP(BL$48,'Profile Data'!$W$3:$AZ$27,PLOTS!$AU70,FALSE)/BL$46</f>
        <v>#N/A</v>
      </c>
      <c r="BM70" s="439"/>
      <c r="BO70" s="439">
        <f t="shared" ref="BO70:CE70" ca="1" si="49">AW70*(1+$BP$6*AW92)</f>
        <v>1.2944558507966732</v>
      </c>
      <c r="BP70" s="439">
        <f t="shared" ca="1" si="49"/>
        <v>1.4058012825956934</v>
      </c>
      <c r="BQ70" s="439">
        <f t="shared" ca="1" si="49"/>
        <v>1.5228100527159611</v>
      </c>
      <c r="BR70" s="439">
        <f t="shared" ca="1" si="49"/>
        <v>1.6823134153217987</v>
      </c>
      <c r="BS70" s="439">
        <f t="shared" ca="1" si="49"/>
        <v>1.8457307479969527</v>
      </c>
      <c r="BT70" s="439">
        <f t="shared" ca="1" si="49"/>
        <v>1.2944558507966732</v>
      </c>
      <c r="BU70" s="439">
        <f t="shared" ca="1" si="49"/>
        <v>1.4058012825956934</v>
      </c>
      <c r="BV70" s="439">
        <f t="shared" ca="1" si="49"/>
        <v>1.5228100527159611</v>
      </c>
      <c r="BW70" s="439">
        <f t="shared" ca="1" si="49"/>
        <v>1.6823134153217987</v>
      </c>
      <c r="BX70" s="439">
        <f t="shared" ca="1" si="49"/>
        <v>1.8457307479969527</v>
      </c>
      <c r="BY70" s="439">
        <f t="shared" ca="1" si="49"/>
        <v>1.7398855775902324</v>
      </c>
      <c r="BZ70" s="439">
        <f t="shared" ca="1" si="49"/>
        <v>1.6823134153217987</v>
      </c>
      <c r="CA70" s="439" t="e">
        <f t="shared" si="49"/>
        <v>#N/A</v>
      </c>
      <c r="CB70" s="439" t="e">
        <f t="shared" si="49"/>
        <v>#N/A</v>
      </c>
      <c r="CC70" s="439" t="e">
        <f t="shared" si="49"/>
        <v>#N/A</v>
      </c>
      <c r="CD70" s="439" t="e">
        <f t="shared" si="49"/>
        <v>#N/A</v>
      </c>
      <c r="CE70" s="439">
        <f t="shared" si="49"/>
        <v>0</v>
      </c>
    </row>
    <row r="71" spans="1:83" x14ac:dyDescent="0.2">
      <c r="AC71" s="458"/>
      <c r="AU71" s="434"/>
      <c r="AV71" s="439"/>
      <c r="AW71" s="439"/>
      <c r="AX71" s="439"/>
      <c r="AY71" s="439"/>
      <c r="AZ71" s="439"/>
      <c r="BA71" s="439"/>
      <c r="BB71" s="439"/>
      <c r="BC71" s="439"/>
      <c r="BD71" s="439"/>
      <c r="BE71" s="439"/>
      <c r="BF71" s="439"/>
      <c r="BG71" s="439"/>
      <c r="BH71" s="439"/>
      <c r="BI71" s="439"/>
      <c r="BJ71" s="439"/>
      <c r="BK71" s="439"/>
      <c r="BL71" s="439"/>
      <c r="BM71" s="439"/>
    </row>
    <row r="72" spans="1:83" x14ac:dyDescent="0.2">
      <c r="AC72" s="458"/>
      <c r="AU72" s="434"/>
      <c r="AV72" s="437" t="s">
        <v>364</v>
      </c>
      <c r="AW72" s="438" t="s">
        <v>367</v>
      </c>
      <c r="AX72" s="439"/>
      <c r="AY72" s="439"/>
      <c r="AZ72" s="439"/>
      <c r="BA72" s="439"/>
      <c r="BB72" s="439"/>
      <c r="BC72" s="439"/>
      <c r="BD72" s="439"/>
      <c r="BE72" s="439"/>
      <c r="BF72" s="439"/>
      <c r="BG72" s="439"/>
      <c r="BH72" s="439"/>
      <c r="BI72" s="439"/>
      <c r="BJ72" s="439"/>
      <c r="BK72" s="439"/>
      <c r="BL72" s="439"/>
      <c r="BM72" s="439"/>
    </row>
    <row r="73" spans="1:83" x14ac:dyDescent="0.2">
      <c r="AC73" s="458"/>
      <c r="AU73" s="445">
        <v>6</v>
      </c>
      <c r="AV73" s="440">
        <f>AV51</f>
        <v>20.32</v>
      </c>
      <c r="AW73" s="439">
        <f ca="1">HLOOKUP(AW$48,'Profile Data'!$W$4:$AZ$27,PLOTS!$AU73-1,FALSE)</f>
        <v>0.13733333333333334</v>
      </c>
      <c r="AX73" s="439">
        <f ca="1">HLOOKUP(AX$48,'Profile Data'!$W$4:$AZ$27,PLOTS!$AU73-1,FALSE)</f>
        <v>0.16099999999999998</v>
      </c>
      <c r="AY73" s="439">
        <f ca="1">HLOOKUP(AY$48,'Profile Data'!$W$4:$AZ$27,PLOTS!$AU73-1,FALSE)</f>
        <v>0.21199999999999999</v>
      </c>
      <c r="AZ73" s="439">
        <f ca="1">HLOOKUP(AZ$48,'Profile Data'!$W$4:$AZ$27,PLOTS!$AU73-1,FALSE)</f>
        <v>0.253</v>
      </c>
      <c r="BA73" s="439">
        <f ca="1">HLOOKUP(BA$48,'Profile Data'!$W$4:$AZ$27,PLOTS!$AU73-1,FALSE)</f>
        <v>0.27200000000000002</v>
      </c>
      <c r="BB73" s="439">
        <f ca="1">HLOOKUP(BB$48,'Profile Data'!$W$4:$AZ$27,PLOTS!$AU73-1,FALSE)</f>
        <v>0.13733333333333334</v>
      </c>
      <c r="BC73" s="439">
        <f ca="1">HLOOKUP(BC$48,'Profile Data'!$W$4:$AZ$27,PLOTS!$AU73-1,FALSE)</f>
        <v>0.16099999999999998</v>
      </c>
      <c r="BD73" s="439">
        <f ca="1">HLOOKUP(BD$48,'Profile Data'!$W$4:$AZ$27,PLOTS!$AU73-1,FALSE)</f>
        <v>0.21199999999999999</v>
      </c>
      <c r="BE73" s="439">
        <f ca="1">HLOOKUP(BE$48,'Profile Data'!$W$4:$AZ$27,PLOTS!$AU73-1,FALSE)</f>
        <v>0.253</v>
      </c>
      <c r="BF73" s="439">
        <f ca="1">HLOOKUP(BF$48,'Profile Data'!$W$4:$AZ$27,PLOTS!$AU73-1,FALSE)</f>
        <v>0.27200000000000002</v>
      </c>
      <c r="BG73" s="439">
        <f ca="1">HLOOKUP(BG$48,'Profile Data'!$W$4:$AZ$27,PLOTS!$AU73-1,FALSE)</f>
        <v>0.2678907587709739</v>
      </c>
      <c r="BH73" s="439">
        <f ca="1">HLOOKUP(BH$48,'Profile Data'!$W$4:$AZ$27,PLOTS!$AU73-1,FALSE)</f>
        <v>0.253</v>
      </c>
      <c r="BI73" s="439" t="e">
        <f>HLOOKUP(BI$48,'Profile Data'!$W$4:$AZ$27,PLOTS!$AU73-1,FALSE)</f>
        <v>#N/A</v>
      </c>
      <c r="BJ73" s="439" t="e">
        <f>HLOOKUP(BJ$48,'Profile Data'!$W$4:$AZ$27,PLOTS!$AU73-1,FALSE)</f>
        <v>#N/A</v>
      </c>
      <c r="BK73" s="439" t="e">
        <f>HLOOKUP(BK$48,'Profile Data'!$W$4:$AZ$27,PLOTS!$AU73-1,FALSE)</f>
        <v>#N/A</v>
      </c>
      <c r="BL73" s="439" t="e">
        <f>HLOOKUP(BL$48,'Profile Data'!$W$4:$AZ$27,PLOTS!$AU73-1,FALSE)</f>
        <v>#N/A</v>
      </c>
      <c r="BM73" s="439"/>
    </row>
    <row r="74" spans="1:83" x14ac:dyDescent="0.2">
      <c r="AC74" s="458"/>
      <c r="AU74" s="445">
        <f>AU73+1</f>
        <v>7</v>
      </c>
      <c r="AV74" s="440">
        <f t="shared" ref="AV74:AV92" si="50">AV52</f>
        <v>30.48</v>
      </c>
      <c r="AW74" s="439">
        <f ca="1">HLOOKUP(AW$48,'Profile Data'!$W$4:$AZ$27,PLOTS!$AU74-1,FALSE)</f>
        <v>0.13166666666666665</v>
      </c>
      <c r="AX74" s="439">
        <f ca="1">HLOOKUP(AX$48,'Profile Data'!$W$4:$AZ$27,PLOTS!$AU74-1,FALSE)</f>
        <v>0.15537499999999999</v>
      </c>
      <c r="AY74" s="439">
        <f ca="1">HLOOKUP(AY$48,'Profile Data'!$W$4:$AZ$27,PLOTS!$AU74-1,FALSE)</f>
        <v>0.19883333333333333</v>
      </c>
      <c r="AZ74" s="439">
        <f ca="1">HLOOKUP(AZ$48,'Profile Data'!$W$4:$AZ$27,PLOTS!$AU74-1,FALSE)</f>
        <v>0.24033333333333337</v>
      </c>
      <c r="BA74" s="439">
        <f ca="1">HLOOKUP(BA$48,'Profile Data'!$W$4:$AZ$27,PLOTS!$AU74-1,FALSE)</f>
        <v>0.26750000000000002</v>
      </c>
      <c r="BB74" s="439">
        <f ca="1">HLOOKUP(BB$48,'Profile Data'!$W$4:$AZ$27,PLOTS!$AU74-1,FALSE)</f>
        <v>0.13166666666666665</v>
      </c>
      <c r="BC74" s="439">
        <f ca="1">HLOOKUP(BC$48,'Profile Data'!$W$4:$AZ$27,PLOTS!$AU74-1,FALSE)</f>
        <v>0.15537499999999999</v>
      </c>
      <c r="BD74" s="439">
        <f ca="1">HLOOKUP(BD$48,'Profile Data'!$W$4:$AZ$27,PLOTS!$AU74-1,FALSE)</f>
        <v>0.19883333333333333</v>
      </c>
      <c r="BE74" s="439">
        <f ca="1">HLOOKUP(BE$48,'Profile Data'!$W$4:$AZ$27,PLOTS!$AU74-1,FALSE)</f>
        <v>0.24033333333333337</v>
      </c>
      <c r="BF74" s="439">
        <f ca="1">HLOOKUP(BF$48,'Profile Data'!$W$4:$AZ$27,PLOTS!$AU74-1,FALSE)</f>
        <v>0.26750000000000002</v>
      </c>
      <c r="BG74" s="439">
        <f ca="1">HLOOKUP(BG$48,'Profile Data'!$W$4:$AZ$27,PLOTS!$AU74-1,FALSE)</f>
        <v>0.25534761127466327</v>
      </c>
      <c r="BH74" s="439">
        <f ca="1">HLOOKUP(BH$48,'Profile Data'!$W$4:$AZ$27,PLOTS!$AU74-1,FALSE)</f>
        <v>0.24033333333333337</v>
      </c>
      <c r="BI74" s="439" t="e">
        <f>HLOOKUP(BI$48,'Profile Data'!$W$4:$AZ$27,PLOTS!$AU74-1,FALSE)</f>
        <v>#N/A</v>
      </c>
      <c r="BJ74" s="439" t="e">
        <f>HLOOKUP(BJ$48,'Profile Data'!$W$4:$AZ$27,PLOTS!$AU74-1,FALSE)</f>
        <v>#N/A</v>
      </c>
      <c r="BK74" s="439" t="e">
        <f>HLOOKUP(BK$48,'Profile Data'!$W$4:$AZ$27,PLOTS!$AU74-1,FALSE)</f>
        <v>#N/A</v>
      </c>
      <c r="BL74" s="439" t="e">
        <f>HLOOKUP(BL$48,'Profile Data'!$W$4:$AZ$27,PLOTS!$AU74-1,FALSE)</f>
        <v>#N/A</v>
      </c>
      <c r="BM74" s="439"/>
    </row>
    <row r="75" spans="1:83" x14ac:dyDescent="0.2">
      <c r="AC75" s="458"/>
      <c r="AU75" s="445">
        <f t="shared" ref="AU75:AU92" si="51">AU74+1</f>
        <v>8</v>
      </c>
      <c r="AV75" s="440">
        <f t="shared" si="50"/>
        <v>40.64</v>
      </c>
      <c r="AW75" s="439">
        <f ca="1">HLOOKUP(AW$48,'Profile Data'!$W$4:$AZ$27,PLOTS!$AU75-1,FALSE)</f>
        <v>0.126</v>
      </c>
      <c r="AX75" s="439">
        <f ca="1">HLOOKUP(AX$48,'Profile Data'!$W$4:$AZ$27,PLOTS!$AU75-1,FALSE)</f>
        <v>0.14974999999999999</v>
      </c>
      <c r="AY75" s="439">
        <f ca="1">HLOOKUP(AY$48,'Profile Data'!$W$4:$AZ$27,PLOTS!$AU75-1,FALSE)</f>
        <v>0.192</v>
      </c>
      <c r="AZ75" s="439">
        <f ca="1">HLOOKUP(AZ$48,'Profile Data'!$W$4:$AZ$27,PLOTS!$AU75-1,FALSE)</f>
        <v>0.22766666666666668</v>
      </c>
      <c r="BA75" s="439">
        <f ca="1">HLOOKUP(BA$48,'Profile Data'!$W$4:$AZ$27,PLOTS!$AU75-1,FALSE)</f>
        <v>0.26300000000000001</v>
      </c>
      <c r="BB75" s="439">
        <f ca="1">HLOOKUP(BB$48,'Profile Data'!$W$4:$AZ$27,PLOTS!$AU75-1,FALSE)</f>
        <v>0.126</v>
      </c>
      <c r="BC75" s="439">
        <f ca="1">HLOOKUP(BC$48,'Profile Data'!$W$4:$AZ$27,PLOTS!$AU75-1,FALSE)</f>
        <v>0.14974999999999999</v>
      </c>
      <c r="BD75" s="439">
        <f ca="1">HLOOKUP(BD$48,'Profile Data'!$W$4:$AZ$27,PLOTS!$AU75-1,FALSE)</f>
        <v>0.192</v>
      </c>
      <c r="BE75" s="439">
        <f ca="1">HLOOKUP(BE$48,'Profile Data'!$W$4:$AZ$27,PLOTS!$AU75-1,FALSE)</f>
        <v>0.22766666666666668</v>
      </c>
      <c r="BF75" s="439">
        <f ca="1">HLOOKUP(BF$48,'Profile Data'!$W$4:$AZ$27,PLOTS!$AU75-1,FALSE)</f>
        <v>0.26300000000000001</v>
      </c>
      <c r="BG75" s="439">
        <f ca="1">HLOOKUP(BG$48,'Profile Data'!$W$4:$AZ$27,PLOTS!$AU75-1,FALSE)</f>
        <v>0.24680591561549042</v>
      </c>
      <c r="BH75" s="439">
        <f ca="1">HLOOKUP(BH$48,'Profile Data'!$W$4:$AZ$27,PLOTS!$AU75-1,FALSE)</f>
        <v>0.22766666666666668</v>
      </c>
      <c r="BI75" s="439" t="e">
        <f>HLOOKUP(BI$48,'Profile Data'!$W$4:$AZ$27,PLOTS!$AU75-1,FALSE)</f>
        <v>#N/A</v>
      </c>
      <c r="BJ75" s="439" t="e">
        <f>HLOOKUP(BJ$48,'Profile Data'!$W$4:$AZ$27,PLOTS!$AU75-1,FALSE)</f>
        <v>#N/A</v>
      </c>
      <c r="BK75" s="439" t="e">
        <f>HLOOKUP(BK$48,'Profile Data'!$W$4:$AZ$27,PLOTS!$AU75-1,FALSE)</f>
        <v>#N/A</v>
      </c>
      <c r="BL75" s="439" t="e">
        <f>HLOOKUP(BL$48,'Profile Data'!$W$4:$AZ$27,PLOTS!$AU75-1,FALSE)</f>
        <v>#N/A</v>
      </c>
      <c r="BM75" s="439"/>
    </row>
    <row r="76" spans="1:83" x14ac:dyDescent="0.2">
      <c r="AC76" s="458"/>
      <c r="AU76" s="445">
        <f t="shared" si="51"/>
        <v>9</v>
      </c>
      <c r="AV76" s="440">
        <f t="shared" si="50"/>
        <v>50.8</v>
      </c>
      <c r="AW76" s="439">
        <f ca="1">HLOOKUP(AW$48,'Profile Data'!$W$4:$AZ$27,PLOTS!$AU76-1,FALSE)</f>
        <v>0.12033333333333333</v>
      </c>
      <c r="AX76" s="439">
        <f ca="1">HLOOKUP(AX$48,'Profile Data'!$W$4:$AZ$27,PLOTS!$AU76-1,FALSE)</f>
        <v>0.14250000000000002</v>
      </c>
      <c r="AY76" s="439">
        <f ca="1">HLOOKUP(AY$48,'Profile Data'!$W$4:$AZ$27,PLOTS!$AU76-1,FALSE)</f>
        <v>0.18516666666666665</v>
      </c>
      <c r="AZ76" s="439">
        <f ca="1">HLOOKUP(AZ$48,'Profile Data'!$W$4:$AZ$27,PLOTS!$AU76-1,FALSE)</f>
        <v>0.21833333333333335</v>
      </c>
      <c r="BA76" s="439">
        <f ca="1">HLOOKUP(BA$48,'Profile Data'!$W$4:$AZ$27,PLOTS!$AU76-1,FALSE)</f>
        <v>0.25850000000000001</v>
      </c>
      <c r="BB76" s="439">
        <f ca="1">HLOOKUP(BB$48,'Profile Data'!$W$4:$AZ$27,PLOTS!$AU76-1,FALSE)</f>
        <v>0.12033333333333333</v>
      </c>
      <c r="BC76" s="439">
        <f ca="1">HLOOKUP(BC$48,'Profile Data'!$W$4:$AZ$27,PLOTS!$AU76-1,FALSE)</f>
        <v>0.14250000000000002</v>
      </c>
      <c r="BD76" s="439">
        <f ca="1">HLOOKUP(BD$48,'Profile Data'!$W$4:$AZ$27,PLOTS!$AU76-1,FALSE)</f>
        <v>0.18516666666666665</v>
      </c>
      <c r="BE76" s="439">
        <f ca="1">HLOOKUP(BE$48,'Profile Data'!$W$4:$AZ$27,PLOTS!$AU76-1,FALSE)</f>
        <v>0.21833333333333335</v>
      </c>
      <c r="BF76" s="439">
        <f ca="1">HLOOKUP(BF$48,'Profile Data'!$W$4:$AZ$27,PLOTS!$AU76-1,FALSE)</f>
        <v>0.25850000000000001</v>
      </c>
      <c r="BG76" s="439">
        <f ca="1">HLOOKUP(BG$48,'Profile Data'!$W$4:$AZ$27,PLOTS!$AU76-1,FALSE)</f>
        <v>0.24102795780774522</v>
      </c>
      <c r="BH76" s="439">
        <f ca="1">HLOOKUP(BH$48,'Profile Data'!$W$4:$AZ$27,PLOTS!$AU76-1,FALSE)</f>
        <v>0.21833333333333335</v>
      </c>
      <c r="BI76" s="439" t="e">
        <f>HLOOKUP(BI$48,'Profile Data'!$W$4:$AZ$27,PLOTS!$AU76-1,FALSE)</f>
        <v>#N/A</v>
      </c>
      <c r="BJ76" s="439" t="e">
        <f>HLOOKUP(BJ$48,'Profile Data'!$W$4:$AZ$27,PLOTS!$AU76-1,FALSE)</f>
        <v>#N/A</v>
      </c>
      <c r="BK76" s="439" t="e">
        <f>HLOOKUP(BK$48,'Profile Data'!$W$4:$AZ$27,PLOTS!$AU76-1,FALSE)</f>
        <v>#N/A</v>
      </c>
      <c r="BL76" s="439" t="e">
        <f>HLOOKUP(BL$48,'Profile Data'!$W$4:$AZ$27,PLOTS!$AU76-1,FALSE)</f>
        <v>#N/A</v>
      </c>
      <c r="BM76" s="439"/>
    </row>
    <row r="77" spans="1:83" ht="15.75" x14ac:dyDescent="0.25">
      <c r="A77" s="365" t="s">
        <v>269</v>
      </c>
      <c r="AC77" s="458"/>
      <c r="AU77" s="445">
        <f t="shared" si="51"/>
        <v>10</v>
      </c>
      <c r="AV77" s="440">
        <f t="shared" si="50"/>
        <v>60.96</v>
      </c>
      <c r="AW77" s="439">
        <f ca="1">HLOOKUP(AW$48,'Profile Data'!$W$4:$AZ$27,PLOTS!$AU77-1,FALSE)</f>
        <v>0.11591666666666667</v>
      </c>
      <c r="AX77" s="439">
        <f ca="1">HLOOKUP(AX$48,'Profile Data'!$W$4:$AZ$27,PLOTS!$AU77-1,FALSE)</f>
        <v>0.13800000000000001</v>
      </c>
      <c r="AY77" s="439">
        <f ca="1">HLOOKUP(AY$48,'Profile Data'!$W$4:$AZ$27,PLOTS!$AU77-1,FALSE)</f>
        <v>0.17833333333333332</v>
      </c>
      <c r="AZ77" s="439">
        <f ca="1">HLOOKUP(AZ$48,'Profile Data'!$W$4:$AZ$27,PLOTS!$AU77-1,FALSE)</f>
        <v>0.21033333333333334</v>
      </c>
      <c r="BA77" s="439">
        <f ca="1">HLOOKUP(BA$48,'Profile Data'!$W$4:$AZ$27,PLOTS!$AU77-1,FALSE)</f>
        <v>0.254</v>
      </c>
      <c r="BB77" s="439">
        <f ca="1">HLOOKUP(BB$48,'Profile Data'!$W$4:$AZ$27,PLOTS!$AU77-1,FALSE)</f>
        <v>0.11591666666666667</v>
      </c>
      <c r="BC77" s="439">
        <f ca="1">HLOOKUP(BC$48,'Profile Data'!$W$4:$AZ$27,PLOTS!$AU77-1,FALSE)</f>
        <v>0.13800000000000001</v>
      </c>
      <c r="BD77" s="439">
        <f ca="1">HLOOKUP(BD$48,'Profile Data'!$W$4:$AZ$27,PLOTS!$AU77-1,FALSE)</f>
        <v>0.17833333333333332</v>
      </c>
      <c r="BE77" s="439">
        <f ca="1">HLOOKUP(BE$48,'Profile Data'!$W$4:$AZ$27,PLOTS!$AU77-1,FALSE)</f>
        <v>0.21033333333333334</v>
      </c>
      <c r="BF77" s="439">
        <f ca="1">HLOOKUP(BF$48,'Profile Data'!$W$4:$AZ$27,PLOTS!$AU77-1,FALSE)</f>
        <v>0.254</v>
      </c>
      <c r="BG77" s="439">
        <f ca="1">HLOOKUP(BG$48,'Profile Data'!$W$4:$AZ$27,PLOTS!$AU77-1,FALSE)</f>
        <v>0.23524999999999999</v>
      </c>
      <c r="BH77" s="439">
        <f ca="1">HLOOKUP(BH$48,'Profile Data'!$W$4:$AZ$27,PLOTS!$AU77-1,FALSE)</f>
        <v>0.21033333333333334</v>
      </c>
      <c r="BI77" s="439" t="e">
        <f>HLOOKUP(BI$48,'Profile Data'!$W$4:$AZ$27,PLOTS!$AU77-1,FALSE)</f>
        <v>#N/A</v>
      </c>
      <c r="BJ77" s="439" t="e">
        <f>HLOOKUP(BJ$48,'Profile Data'!$W$4:$AZ$27,PLOTS!$AU77-1,FALSE)</f>
        <v>#N/A</v>
      </c>
      <c r="BK77" s="439" t="e">
        <f>HLOOKUP(BK$48,'Profile Data'!$W$4:$AZ$27,PLOTS!$AU77-1,FALSE)</f>
        <v>#N/A</v>
      </c>
      <c r="BL77" s="439" t="e">
        <f>HLOOKUP(BL$48,'Profile Data'!$W$4:$AZ$27,PLOTS!$AU77-1,FALSE)</f>
        <v>#N/A</v>
      </c>
      <c r="BM77" s="439"/>
    </row>
    <row r="78" spans="1:83" x14ac:dyDescent="0.2">
      <c r="AC78" s="458"/>
      <c r="AU78" s="445">
        <f t="shared" si="51"/>
        <v>11</v>
      </c>
      <c r="AV78" s="440">
        <f t="shared" si="50"/>
        <v>71.11999999999999</v>
      </c>
      <c r="AW78" s="439">
        <f ca="1">HLOOKUP(AW$48,'Profile Data'!$W$4:$AZ$27,PLOTS!$AU78-1,FALSE)</f>
        <v>0.1115</v>
      </c>
      <c r="AX78" s="439">
        <f ca="1">HLOOKUP(AX$48,'Profile Data'!$W$4:$AZ$27,PLOTS!$AU78-1,FALSE)</f>
        <v>0.13450000000000001</v>
      </c>
      <c r="AY78" s="439">
        <f ca="1">HLOOKUP(AY$48,'Profile Data'!$W$4:$AZ$27,PLOTS!$AU78-1,FALSE)</f>
        <v>0.17299999999999996</v>
      </c>
      <c r="AZ78" s="439">
        <f ca="1">HLOOKUP(AZ$48,'Profile Data'!$W$4:$AZ$27,PLOTS!$AU78-1,FALSE)</f>
        <v>0.20425000000000001</v>
      </c>
      <c r="BA78" s="439">
        <f ca="1">HLOOKUP(BA$48,'Profile Data'!$W$4:$AZ$27,PLOTS!$AU78-1,FALSE)</f>
        <v>0.25049999999999994</v>
      </c>
      <c r="BB78" s="439">
        <f ca="1">HLOOKUP(BB$48,'Profile Data'!$W$4:$AZ$27,PLOTS!$AU78-1,FALSE)</f>
        <v>0.1115</v>
      </c>
      <c r="BC78" s="439">
        <f ca="1">HLOOKUP(BC$48,'Profile Data'!$W$4:$AZ$27,PLOTS!$AU78-1,FALSE)</f>
        <v>0.13450000000000001</v>
      </c>
      <c r="BD78" s="439">
        <f ca="1">HLOOKUP(BD$48,'Profile Data'!$W$4:$AZ$27,PLOTS!$AU78-1,FALSE)</f>
        <v>0.17299999999999996</v>
      </c>
      <c r="BE78" s="439">
        <f ca="1">HLOOKUP(BE$48,'Profile Data'!$W$4:$AZ$27,PLOTS!$AU78-1,FALSE)</f>
        <v>0.20425000000000001</v>
      </c>
      <c r="BF78" s="439">
        <f ca="1">HLOOKUP(BF$48,'Profile Data'!$W$4:$AZ$27,PLOTS!$AU78-1,FALSE)</f>
        <v>0.25049999999999994</v>
      </c>
      <c r="BG78" s="439">
        <f ca="1">HLOOKUP(BG$48,'Profile Data'!$W$4:$AZ$27,PLOTS!$AU78-1,FALSE)</f>
        <v>0.23099999999999998</v>
      </c>
      <c r="BH78" s="439">
        <f ca="1">HLOOKUP(BH$48,'Profile Data'!$W$4:$AZ$27,PLOTS!$AU78-1,FALSE)</f>
        <v>0.20425000000000001</v>
      </c>
      <c r="BI78" s="439" t="e">
        <f>HLOOKUP(BI$48,'Profile Data'!$W$4:$AZ$27,PLOTS!$AU78-1,FALSE)</f>
        <v>#N/A</v>
      </c>
      <c r="BJ78" s="439" t="e">
        <f>HLOOKUP(BJ$48,'Profile Data'!$W$4:$AZ$27,PLOTS!$AU78-1,FALSE)</f>
        <v>#N/A</v>
      </c>
      <c r="BK78" s="439" t="e">
        <f>HLOOKUP(BK$48,'Profile Data'!$W$4:$AZ$27,PLOTS!$AU78-1,FALSE)</f>
        <v>#N/A</v>
      </c>
      <c r="BL78" s="439" t="e">
        <f>HLOOKUP(BL$48,'Profile Data'!$W$4:$AZ$27,PLOTS!$AU78-1,FALSE)</f>
        <v>#N/A</v>
      </c>
      <c r="BM78" s="439"/>
    </row>
    <row r="79" spans="1:83" x14ac:dyDescent="0.2">
      <c r="AC79" s="458"/>
      <c r="AU79" s="445">
        <f t="shared" si="51"/>
        <v>12</v>
      </c>
      <c r="AV79" s="440">
        <f t="shared" si="50"/>
        <v>81.28</v>
      </c>
      <c r="AW79" s="439">
        <f ca="1">HLOOKUP(AW$48,'Profile Data'!$W$4:$AZ$27,PLOTS!$AU79-1,FALSE)</f>
        <v>0.10833333333333334</v>
      </c>
      <c r="AX79" s="439">
        <f ca="1">HLOOKUP(AX$48,'Profile Data'!$W$4:$AZ$27,PLOTS!$AU79-1,FALSE)</f>
        <v>0.13100000000000001</v>
      </c>
      <c r="AY79" s="439">
        <f ca="1">HLOOKUP(AY$48,'Profile Data'!$W$4:$AZ$27,PLOTS!$AU79-1,FALSE)</f>
        <v>0.16766666666666666</v>
      </c>
      <c r="AZ79" s="439">
        <f ca="1">HLOOKUP(AZ$48,'Profile Data'!$W$4:$AZ$27,PLOTS!$AU79-1,FALSE)</f>
        <v>0.19816666666666669</v>
      </c>
      <c r="BA79" s="439">
        <f ca="1">HLOOKUP(BA$48,'Profile Data'!$W$4:$AZ$27,PLOTS!$AU79-1,FALSE)</f>
        <v>0.247</v>
      </c>
      <c r="BB79" s="439">
        <f ca="1">HLOOKUP(BB$48,'Profile Data'!$W$4:$AZ$27,PLOTS!$AU79-1,FALSE)</f>
        <v>0.10833333333333334</v>
      </c>
      <c r="BC79" s="439">
        <f ca="1">HLOOKUP(BC$48,'Profile Data'!$W$4:$AZ$27,PLOTS!$AU79-1,FALSE)</f>
        <v>0.13100000000000001</v>
      </c>
      <c r="BD79" s="439">
        <f ca="1">HLOOKUP(BD$48,'Profile Data'!$W$4:$AZ$27,PLOTS!$AU79-1,FALSE)</f>
        <v>0.16766666666666666</v>
      </c>
      <c r="BE79" s="439">
        <f ca="1">HLOOKUP(BE$48,'Profile Data'!$W$4:$AZ$27,PLOTS!$AU79-1,FALSE)</f>
        <v>0.19816666666666669</v>
      </c>
      <c r="BF79" s="439">
        <f ca="1">HLOOKUP(BF$48,'Profile Data'!$W$4:$AZ$27,PLOTS!$AU79-1,FALSE)</f>
        <v>0.247</v>
      </c>
      <c r="BG79" s="439">
        <f ca="1">HLOOKUP(BG$48,'Profile Data'!$W$4:$AZ$27,PLOTS!$AU79-1,FALSE)</f>
        <v>0.22550000000000001</v>
      </c>
      <c r="BH79" s="439">
        <f ca="1">HLOOKUP(BH$48,'Profile Data'!$W$4:$AZ$27,PLOTS!$AU79-1,FALSE)</f>
        <v>0.19816666666666669</v>
      </c>
      <c r="BI79" s="439" t="e">
        <f>HLOOKUP(BI$48,'Profile Data'!$W$4:$AZ$27,PLOTS!$AU79-1,FALSE)</f>
        <v>#N/A</v>
      </c>
      <c r="BJ79" s="439" t="e">
        <f>HLOOKUP(BJ$48,'Profile Data'!$W$4:$AZ$27,PLOTS!$AU79-1,FALSE)</f>
        <v>#N/A</v>
      </c>
      <c r="BK79" s="439" t="e">
        <f>HLOOKUP(BK$48,'Profile Data'!$W$4:$AZ$27,PLOTS!$AU79-1,FALSE)</f>
        <v>#N/A</v>
      </c>
      <c r="BL79" s="439" t="e">
        <f>HLOOKUP(BL$48,'Profile Data'!$W$4:$AZ$27,PLOTS!$AU79-1,FALSE)</f>
        <v>#N/A</v>
      </c>
      <c r="BM79" s="439"/>
    </row>
    <row r="80" spans="1:83" x14ac:dyDescent="0.2">
      <c r="AC80" s="458"/>
      <c r="AU80" s="445">
        <f t="shared" si="51"/>
        <v>13</v>
      </c>
      <c r="AV80" s="440">
        <f t="shared" si="50"/>
        <v>101.6</v>
      </c>
      <c r="AW80" s="439">
        <f ca="1">HLOOKUP(AW$48,'Profile Data'!$W$4:$AZ$27,PLOTS!$AU80-1,FALSE)</f>
        <v>0.1009</v>
      </c>
      <c r="AX80" s="439">
        <f ca="1">HLOOKUP(AX$48,'Profile Data'!$W$4:$AZ$27,PLOTS!$AU80-1,FALSE)</f>
        <v>0.124</v>
      </c>
      <c r="AY80" s="439">
        <f ca="1">HLOOKUP(AY$48,'Profile Data'!$W$4:$AZ$27,PLOTS!$AU80-1,FALSE)</f>
        <v>0.15983333333333336</v>
      </c>
      <c r="AZ80" s="439">
        <f ca="1">HLOOKUP(AZ$48,'Profile Data'!$W$4:$AZ$27,PLOTS!$AU80-1,FALSE)</f>
        <v>0.18666666666666668</v>
      </c>
      <c r="BA80" s="439">
        <f ca="1">HLOOKUP(BA$48,'Profile Data'!$W$4:$AZ$27,PLOTS!$AU80-1,FALSE)</f>
        <v>0.23499999999999999</v>
      </c>
      <c r="BB80" s="439">
        <f ca="1">HLOOKUP(BB$48,'Profile Data'!$W$4:$AZ$27,PLOTS!$AU80-1,FALSE)</f>
        <v>0.1009</v>
      </c>
      <c r="BC80" s="439">
        <f ca="1">HLOOKUP(BC$48,'Profile Data'!$W$4:$AZ$27,PLOTS!$AU80-1,FALSE)</f>
        <v>0.124</v>
      </c>
      <c r="BD80" s="439">
        <f ca="1">HLOOKUP(BD$48,'Profile Data'!$W$4:$AZ$27,PLOTS!$AU80-1,FALSE)</f>
        <v>0.15983333333333336</v>
      </c>
      <c r="BE80" s="439">
        <f ca="1">HLOOKUP(BE$48,'Profile Data'!$W$4:$AZ$27,PLOTS!$AU80-1,FALSE)</f>
        <v>0.18666666666666668</v>
      </c>
      <c r="BF80" s="439">
        <f ca="1">HLOOKUP(BF$48,'Profile Data'!$W$4:$AZ$27,PLOTS!$AU80-1,FALSE)</f>
        <v>0.23499999999999999</v>
      </c>
      <c r="BG80" s="439">
        <f ca="1">HLOOKUP(BG$48,'Profile Data'!$W$4:$AZ$27,PLOTS!$AU80-1,FALSE)</f>
        <v>0.214</v>
      </c>
      <c r="BH80" s="439">
        <f ca="1">HLOOKUP(BH$48,'Profile Data'!$W$4:$AZ$27,PLOTS!$AU80-1,FALSE)</f>
        <v>0.18666666666666668</v>
      </c>
      <c r="BI80" s="439" t="e">
        <f>HLOOKUP(BI$48,'Profile Data'!$W$4:$AZ$27,PLOTS!$AU80-1,FALSE)</f>
        <v>#N/A</v>
      </c>
      <c r="BJ80" s="439" t="e">
        <f>HLOOKUP(BJ$48,'Profile Data'!$W$4:$AZ$27,PLOTS!$AU80-1,FALSE)</f>
        <v>#N/A</v>
      </c>
      <c r="BK80" s="439" t="e">
        <f>HLOOKUP(BK$48,'Profile Data'!$W$4:$AZ$27,PLOTS!$AU80-1,FALSE)</f>
        <v>#N/A</v>
      </c>
      <c r="BL80" s="439" t="e">
        <f>HLOOKUP(BL$48,'Profile Data'!$W$4:$AZ$27,PLOTS!$AU80-1,FALSE)</f>
        <v>#N/A</v>
      </c>
      <c r="BM80" s="439"/>
    </row>
    <row r="81" spans="29:65" x14ac:dyDescent="0.2">
      <c r="AC81" s="458"/>
      <c r="AU81" s="445">
        <f t="shared" si="51"/>
        <v>14</v>
      </c>
      <c r="AV81" s="440">
        <f t="shared" si="50"/>
        <v>121.92</v>
      </c>
      <c r="AW81" s="439">
        <f ca="1">HLOOKUP(AW$48,'Profile Data'!$W$4:$AZ$27,PLOTS!$AU81-1,FALSE)</f>
        <v>9.5399999999999985E-2</v>
      </c>
      <c r="AX81" s="439">
        <f ca="1">HLOOKUP(AX$48,'Profile Data'!$W$4:$AZ$27,PLOTS!$AU81-1,FALSE)</f>
        <v>0.1195</v>
      </c>
      <c r="AY81" s="439">
        <f ca="1">HLOOKUP(AY$48,'Profile Data'!$W$4:$AZ$27,PLOTS!$AU81-1,FALSE)</f>
        <v>0.15200000000000002</v>
      </c>
      <c r="AZ81" s="439">
        <f ca="1">HLOOKUP(AZ$48,'Profile Data'!$W$4:$AZ$27,PLOTS!$AU81-1,FALSE)</f>
        <v>0.17988888888888888</v>
      </c>
      <c r="BA81" s="439">
        <f ca="1">HLOOKUP(BA$48,'Profile Data'!$W$4:$AZ$27,PLOTS!$AU81-1,FALSE)</f>
        <v>0.22699999999999998</v>
      </c>
      <c r="BB81" s="439">
        <f ca="1">HLOOKUP(BB$48,'Profile Data'!$W$4:$AZ$27,PLOTS!$AU81-1,FALSE)</f>
        <v>9.5399999999999985E-2</v>
      </c>
      <c r="BC81" s="439">
        <f ca="1">HLOOKUP(BC$48,'Profile Data'!$W$4:$AZ$27,PLOTS!$AU81-1,FALSE)</f>
        <v>0.1195</v>
      </c>
      <c r="BD81" s="439">
        <f ca="1">HLOOKUP(BD$48,'Profile Data'!$W$4:$AZ$27,PLOTS!$AU81-1,FALSE)</f>
        <v>0.15200000000000002</v>
      </c>
      <c r="BE81" s="439">
        <f ca="1">HLOOKUP(BE$48,'Profile Data'!$W$4:$AZ$27,PLOTS!$AU81-1,FALSE)</f>
        <v>0.17988888888888888</v>
      </c>
      <c r="BF81" s="439">
        <f ca="1">HLOOKUP(BF$48,'Profile Data'!$W$4:$AZ$27,PLOTS!$AU81-1,FALSE)</f>
        <v>0.22699999999999998</v>
      </c>
      <c r="BG81" s="439">
        <f ca="1">HLOOKUP(BG$48,'Profile Data'!$W$4:$AZ$27,PLOTS!$AU81-1,FALSE)</f>
        <v>0.20624999999999999</v>
      </c>
      <c r="BH81" s="439">
        <f ca="1">HLOOKUP(BH$48,'Profile Data'!$W$4:$AZ$27,PLOTS!$AU81-1,FALSE)</f>
        <v>0.17988888888888888</v>
      </c>
      <c r="BI81" s="439" t="e">
        <f>HLOOKUP(BI$48,'Profile Data'!$W$4:$AZ$27,PLOTS!$AU81-1,FALSE)</f>
        <v>#N/A</v>
      </c>
      <c r="BJ81" s="439" t="e">
        <f>HLOOKUP(BJ$48,'Profile Data'!$W$4:$AZ$27,PLOTS!$AU81-1,FALSE)</f>
        <v>#N/A</v>
      </c>
      <c r="BK81" s="439" t="e">
        <f>HLOOKUP(BK$48,'Profile Data'!$W$4:$AZ$27,PLOTS!$AU81-1,FALSE)</f>
        <v>#N/A</v>
      </c>
      <c r="BL81" s="439" t="e">
        <f>HLOOKUP(BL$48,'Profile Data'!$W$4:$AZ$27,PLOTS!$AU81-1,FALSE)</f>
        <v>#N/A</v>
      </c>
      <c r="BM81" s="439"/>
    </row>
    <row r="82" spans="29:65" x14ac:dyDescent="0.2">
      <c r="AU82" s="445">
        <f t="shared" si="51"/>
        <v>15</v>
      </c>
      <c r="AV82" s="440">
        <f t="shared" si="50"/>
        <v>142.23999999999998</v>
      </c>
      <c r="AW82" s="439">
        <f ca="1">HLOOKUP(AW$48,'Profile Data'!$W$4:$AZ$27,PLOTS!$AU82-1,FALSE)</f>
        <v>8.989999999999998E-2</v>
      </c>
      <c r="AX82" s="439">
        <f ca="1">HLOOKUP(AX$48,'Profile Data'!$W$4:$AZ$27,PLOTS!$AU82-1,FALSE)</f>
        <v>0.115</v>
      </c>
      <c r="AY82" s="439">
        <f ca="1">HLOOKUP(AY$48,'Profile Data'!$W$4:$AZ$27,PLOTS!$AU82-1,FALSE)</f>
        <v>0.14585666666666666</v>
      </c>
      <c r="AZ82" s="439">
        <f ca="1">HLOOKUP(AZ$48,'Profile Data'!$W$4:$AZ$27,PLOTS!$AU82-1,FALSE)</f>
        <v>0.17311111111111113</v>
      </c>
      <c r="BA82" s="439">
        <f ca="1">HLOOKUP(BA$48,'Profile Data'!$W$4:$AZ$27,PLOTS!$AU82-1,FALSE)</f>
        <v>0.222</v>
      </c>
      <c r="BB82" s="439">
        <f ca="1">HLOOKUP(BB$48,'Profile Data'!$W$4:$AZ$27,PLOTS!$AU82-1,FALSE)</f>
        <v>8.989999999999998E-2</v>
      </c>
      <c r="BC82" s="439">
        <f ca="1">HLOOKUP(BC$48,'Profile Data'!$W$4:$AZ$27,PLOTS!$AU82-1,FALSE)</f>
        <v>0.115</v>
      </c>
      <c r="BD82" s="439">
        <f ca="1">HLOOKUP(BD$48,'Profile Data'!$W$4:$AZ$27,PLOTS!$AU82-1,FALSE)</f>
        <v>0.14585666666666666</v>
      </c>
      <c r="BE82" s="439">
        <f ca="1">HLOOKUP(BE$48,'Profile Data'!$W$4:$AZ$27,PLOTS!$AU82-1,FALSE)</f>
        <v>0.17311111111111113</v>
      </c>
      <c r="BF82" s="439">
        <f ca="1">HLOOKUP(BF$48,'Profile Data'!$W$4:$AZ$27,PLOTS!$AU82-1,FALSE)</f>
        <v>0.222</v>
      </c>
      <c r="BG82" s="439">
        <f ca="1">HLOOKUP(BG$48,'Profile Data'!$W$4:$AZ$27,PLOTS!$AU82-1,FALSE)</f>
        <v>0.19975000000000001</v>
      </c>
      <c r="BH82" s="439">
        <f ca="1">HLOOKUP(BH$48,'Profile Data'!$W$4:$AZ$27,PLOTS!$AU82-1,FALSE)</f>
        <v>0.17311111111111113</v>
      </c>
      <c r="BI82" s="439" t="e">
        <f>HLOOKUP(BI$48,'Profile Data'!$W$4:$AZ$27,PLOTS!$AU82-1,FALSE)</f>
        <v>#N/A</v>
      </c>
      <c r="BJ82" s="439" t="e">
        <f>HLOOKUP(BJ$48,'Profile Data'!$W$4:$AZ$27,PLOTS!$AU82-1,FALSE)</f>
        <v>#N/A</v>
      </c>
      <c r="BK82" s="439" t="e">
        <f>HLOOKUP(BK$48,'Profile Data'!$W$4:$AZ$27,PLOTS!$AU82-1,FALSE)</f>
        <v>#N/A</v>
      </c>
      <c r="BL82" s="439" t="e">
        <f>HLOOKUP(BL$48,'Profile Data'!$W$4:$AZ$27,PLOTS!$AU82-1,FALSE)</f>
        <v>#N/A</v>
      </c>
      <c r="BM82" s="439"/>
    </row>
    <row r="83" spans="29:65" x14ac:dyDescent="0.2">
      <c r="AU83" s="445">
        <f t="shared" si="51"/>
        <v>16</v>
      </c>
      <c r="AV83" s="440">
        <f t="shared" si="50"/>
        <v>162.56</v>
      </c>
      <c r="AW83" s="439">
        <f ca="1">HLOOKUP(AW$48,'Profile Data'!$W$4:$AZ$27,PLOTS!$AU83-1,FALSE)</f>
        <v>8.6333333333333331E-2</v>
      </c>
      <c r="AX83" s="439">
        <f ca="1">HLOOKUP(AX$48,'Profile Data'!$W$4:$AZ$27,PLOTS!$AU83-1,FALSE)</f>
        <v>0.11027500000000001</v>
      </c>
      <c r="AY83" s="439">
        <f ca="1">HLOOKUP(AY$48,'Profile Data'!$W$4:$AZ$27,PLOTS!$AU83-1,FALSE)</f>
        <v>0.14001166666666665</v>
      </c>
      <c r="AZ83" s="439">
        <f ca="1">HLOOKUP(AZ$48,'Profile Data'!$W$4:$AZ$27,PLOTS!$AU83-1,FALSE)</f>
        <v>0.16866666666666666</v>
      </c>
      <c r="BA83" s="439">
        <f ca="1">HLOOKUP(BA$48,'Profile Data'!$W$4:$AZ$27,PLOTS!$AU83-1,FALSE)</f>
        <v>0.217</v>
      </c>
      <c r="BB83" s="439">
        <f ca="1">HLOOKUP(BB$48,'Profile Data'!$W$4:$AZ$27,PLOTS!$AU83-1,FALSE)</f>
        <v>8.6333333333333331E-2</v>
      </c>
      <c r="BC83" s="439">
        <f ca="1">HLOOKUP(BC$48,'Profile Data'!$W$4:$AZ$27,PLOTS!$AU83-1,FALSE)</f>
        <v>0.11027500000000001</v>
      </c>
      <c r="BD83" s="439">
        <f ca="1">HLOOKUP(BD$48,'Profile Data'!$W$4:$AZ$27,PLOTS!$AU83-1,FALSE)</f>
        <v>0.14001166666666665</v>
      </c>
      <c r="BE83" s="439">
        <f ca="1">HLOOKUP(BE$48,'Profile Data'!$W$4:$AZ$27,PLOTS!$AU83-1,FALSE)</f>
        <v>0.16866666666666666</v>
      </c>
      <c r="BF83" s="439">
        <f ca="1">HLOOKUP(BF$48,'Profile Data'!$W$4:$AZ$27,PLOTS!$AU83-1,FALSE)</f>
        <v>0.217</v>
      </c>
      <c r="BG83" s="439">
        <f ca="1">HLOOKUP(BG$48,'Profile Data'!$W$4:$AZ$27,PLOTS!$AU83-1,FALSE)</f>
        <v>0.19325000000000003</v>
      </c>
      <c r="BH83" s="439">
        <f ca="1">HLOOKUP(BH$48,'Profile Data'!$W$4:$AZ$27,PLOTS!$AU83-1,FALSE)</f>
        <v>0.16866666666666666</v>
      </c>
      <c r="BI83" s="439" t="e">
        <f>HLOOKUP(BI$48,'Profile Data'!$W$4:$AZ$27,PLOTS!$AU83-1,FALSE)</f>
        <v>#N/A</v>
      </c>
      <c r="BJ83" s="439" t="e">
        <f>HLOOKUP(BJ$48,'Profile Data'!$W$4:$AZ$27,PLOTS!$AU83-1,FALSE)</f>
        <v>#N/A</v>
      </c>
      <c r="BK83" s="439" t="e">
        <f>HLOOKUP(BK$48,'Profile Data'!$W$4:$AZ$27,PLOTS!$AU83-1,FALSE)</f>
        <v>#N/A</v>
      </c>
      <c r="BL83" s="439" t="e">
        <f>HLOOKUP(BL$48,'Profile Data'!$W$4:$AZ$27,PLOTS!$AU83-1,FALSE)</f>
        <v>#N/A</v>
      </c>
      <c r="BM83" s="439"/>
    </row>
    <row r="84" spans="29:65" x14ac:dyDescent="0.2">
      <c r="AU84" s="445">
        <f t="shared" si="51"/>
        <v>17</v>
      </c>
      <c r="AV84" s="440">
        <f t="shared" si="50"/>
        <v>203.2</v>
      </c>
      <c r="AW84" s="439">
        <f ca="1">HLOOKUP(AW$48,'Profile Data'!$W$4:$AZ$27,PLOTS!$AU84-1,FALSE)</f>
        <v>8.111666666666667E-2</v>
      </c>
      <c r="AX84" s="439">
        <f ca="1">HLOOKUP(AX$48,'Profile Data'!$W$4:$AZ$27,PLOTS!$AU84-1,FALSE)</f>
        <v>0.10555</v>
      </c>
      <c r="AY84" s="439">
        <f ca="1">HLOOKUP(AY$48,'Profile Data'!$W$4:$AZ$27,PLOTS!$AU84-1,FALSE)</f>
        <v>0.13416666666666666</v>
      </c>
      <c r="AZ84" s="439">
        <f ca="1">HLOOKUP(AZ$48,'Profile Data'!$W$4:$AZ$27,PLOTS!$AU84-1,FALSE)</f>
        <v>0.1575</v>
      </c>
      <c r="BA84" s="439">
        <f ca="1">HLOOKUP(BA$48,'Profile Data'!$W$4:$AZ$27,PLOTS!$AU84-1,FALSE)</f>
        <v>0.20499999999999999</v>
      </c>
      <c r="BB84" s="439">
        <f ca="1">HLOOKUP(BB$48,'Profile Data'!$W$4:$AZ$27,PLOTS!$AU84-1,FALSE)</f>
        <v>8.111666666666667E-2</v>
      </c>
      <c r="BC84" s="439">
        <f ca="1">HLOOKUP(BC$48,'Profile Data'!$W$4:$AZ$27,PLOTS!$AU84-1,FALSE)</f>
        <v>0.10555</v>
      </c>
      <c r="BD84" s="439">
        <f ca="1">HLOOKUP(BD$48,'Profile Data'!$W$4:$AZ$27,PLOTS!$AU84-1,FALSE)</f>
        <v>0.13416666666666666</v>
      </c>
      <c r="BE84" s="439">
        <f ca="1">HLOOKUP(BE$48,'Profile Data'!$W$4:$AZ$27,PLOTS!$AU84-1,FALSE)</f>
        <v>0.1575</v>
      </c>
      <c r="BF84" s="439">
        <f ca="1">HLOOKUP(BF$48,'Profile Data'!$W$4:$AZ$27,PLOTS!$AU84-1,FALSE)</f>
        <v>0.20499999999999999</v>
      </c>
      <c r="BG84" s="439">
        <f ca="1">HLOOKUP(BG$48,'Profile Data'!$W$4:$AZ$27,PLOTS!$AU84-1,FALSE)</f>
        <v>0.17774999999999999</v>
      </c>
      <c r="BH84" s="439">
        <f ca="1">HLOOKUP(BH$48,'Profile Data'!$W$4:$AZ$27,PLOTS!$AU84-1,FALSE)</f>
        <v>0.1575</v>
      </c>
      <c r="BI84" s="439" t="e">
        <f>HLOOKUP(BI$48,'Profile Data'!$W$4:$AZ$27,PLOTS!$AU84-1,FALSE)</f>
        <v>#N/A</v>
      </c>
      <c r="BJ84" s="439" t="e">
        <f>HLOOKUP(BJ$48,'Profile Data'!$W$4:$AZ$27,PLOTS!$AU84-1,FALSE)</f>
        <v>#N/A</v>
      </c>
      <c r="BK84" s="439" t="e">
        <f>HLOOKUP(BK$48,'Profile Data'!$W$4:$AZ$27,PLOTS!$AU84-1,FALSE)</f>
        <v>#N/A</v>
      </c>
      <c r="BL84" s="439" t="e">
        <f>HLOOKUP(BL$48,'Profile Data'!$W$4:$AZ$27,PLOTS!$AU84-1,FALSE)</f>
        <v>#N/A</v>
      </c>
      <c r="BM84" s="439"/>
    </row>
    <row r="85" spans="29:65" x14ac:dyDescent="0.2">
      <c r="AU85" s="445">
        <f t="shared" si="51"/>
        <v>18</v>
      </c>
      <c r="AV85" s="440">
        <f t="shared" si="50"/>
        <v>243.84</v>
      </c>
      <c r="AW85" s="439">
        <f ca="1">HLOOKUP(AW$48,'Profile Data'!$W$4:$AZ$27,PLOTS!$AU85-1,FALSE)</f>
        <v>7.5899999999999995E-2</v>
      </c>
      <c r="AX85" s="439">
        <f ca="1">HLOOKUP(AX$48,'Profile Data'!$W$4:$AZ$27,PLOTS!$AU85-1,FALSE)</f>
        <v>0.10017500000000001</v>
      </c>
      <c r="AY85" s="439">
        <f ca="1">HLOOKUP(AY$48,'Profile Data'!$W$4:$AZ$27,PLOTS!$AU85-1,FALSE)</f>
        <v>0.128</v>
      </c>
      <c r="AZ85" s="439">
        <f ca="1">HLOOKUP(AZ$48,'Profile Data'!$W$4:$AZ$27,PLOTS!$AU85-1,FALSE)</f>
        <v>0.14911111111111111</v>
      </c>
      <c r="BA85" s="439">
        <f ca="1">HLOOKUP(BA$48,'Profile Data'!$W$4:$AZ$27,PLOTS!$AU85-1,FALSE)</f>
        <v>0.19399999999999998</v>
      </c>
      <c r="BB85" s="439">
        <f ca="1">HLOOKUP(BB$48,'Profile Data'!$W$4:$AZ$27,PLOTS!$AU85-1,FALSE)</f>
        <v>7.5899999999999995E-2</v>
      </c>
      <c r="BC85" s="439">
        <f ca="1">HLOOKUP(BC$48,'Profile Data'!$W$4:$AZ$27,PLOTS!$AU85-1,FALSE)</f>
        <v>0.10017500000000001</v>
      </c>
      <c r="BD85" s="439">
        <f ca="1">HLOOKUP(BD$48,'Profile Data'!$W$4:$AZ$27,PLOTS!$AU85-1,FALSE)</f>
        <v>0.128</v>
      </c>
      <c r="BE85" s="439">
        <f ca="1">HLOOKUP(BE$48,'Profile Data'!$W$4:$AZ$27,PLOTS!$AU85-1,FALSE)</f>
        <v>0.14911111111111111</v>
      </c>
      <c r="BF85" s="439">
        <f ca="1">HLOOKUP(BF$48,'Profile Data'!$W$4:$AZ$27,PLOTS!$AU85-1,FALSE)</f>
        <v>0.19399999999999998</v>
      </c>
      <c r="BG85" s="439">
        <f ca="1">HLOOKUP(BG$48,'Profile Data'!$W$4:$AZ$27,PLOTS!$AU85-1,FALSE)</f>
        <v>0.16541666666666666</v>
      </c>
      <c r="BH85" s="439">
        <f ca="1">HLOOKUP(BH$48,'Profile Data'!$W$4:$AZ$27,PLOTS!$AU85-1,FALSE)</f>
        <v>0.14911111111111111</v>
      </c>
      <c r="BI85" s="439" t="e">
        <f>HLOOKUP(BI$48,'Profile Data'!$W$4:$AZ$27,PLOTS!$AU85-1,FALSE)</f>
        <v>#N/A</v>
      </c>
      <c r="BJ85" s="439" t="e">
        <f>HLOOKUP(BJ$48,'Profile Data'!$W$4:$AZ$27,PLOTS!$AU85-1,FALSE)</f>
        <v>#N/A</v>
      </c>
      <c r="BK85" s="439" t="e">
        <f>HLOOKUP(BK$48,'Profile Data'!$W$4:$AZ$27,PLOTS!$AU85-1,FALSE)</f>
        <v>#N/A</v>
      </c>
      <c r="BL85" s="439" t="e">
        <f>HLOOKUP(BL$48,'Profile Data'!$W$4:$AZ$27,PLOTS!$AU85-1,FALSE)</f>
        <v>#N/A</v>
      </c>
      <c r="BM85" s="439"/>
    </row>
    <row r="86" spans="29:65" x14ac:dyDescent="0.2">
      <c r="AU86" s="445">
        <f t="shared" si="51"/>
        <v>19</v>
      </c>
      <c r="AV86" s="440">
        <f t="shared" si="50"/>
        <v>284.47999999999996</v>
      </c>
      <c r="AW86" s="439">
        <f ca="1">HLOOKUP(AW$48,'Profile Data'!$W$4:$AZ$27,PLOTS!$AU86-1,FALSE)</f>
        <v>7.4266666666666661E-2</v>
      </c>
      <c r="AX86" s="439">
        <f ca="1">HLOOKUP(AX$48,'Profile Data'!$W$4:$AZ$27,PLOTS!$AU86-1,FALSE)</f>
        <v>9.4800000000000009E-2</v>
      </c>
      <c r="AY86" s="439">
        <f ca="1">HLOOKUP(AY$48,'Profile Data'!$W$4:$AZ$27,PLOTS!$AU86-1,FALSE)</f>
        <v>0.12322222222222223</v>
      </c>
      <c r="AZ86" s="439">
        <f ca="1">HLOOKUP(AZ$48,'Profile Data'!$W$4:$AZ$27,PLOTS!$AU86-1,FALSE)</f>
        <v>0.14233333333333334</v>
      </c>
      <c r="BA86" s="439">
        <f ca="1">HLOOKUP(BA$48,'Profile Data'!$W$4:$AZ$27,PLOTS!$AU86-1,FALSE)</f>
        <v>0.18066666666666667</v>
      </c>
      <c r="BB86" s="439">
        <f ca="1">HLOOKUP(BB$48,'Profile Data'!$W$4:$AZ$27,PLOTS!$AU86-1,FALSE)</f>
        <v>7.4266666666666661E-2</v>
      </c>
      <c r="BC86" s="439">
        <f ca="1">HLOOKUP(BC$48,'Profile Data'!$W$4:$AZ$27,PLOTS!$AU86-1,FALSE)</f>
        <v>9.4800000000000009E-2</v>
      </c>
      <c r="BD86" s="439">
        <f ca="1">HLOOKUP(BD$48,'Profile Data'!$W$4:$AZ$27,PLOTS!$AU86-1,FALSE)</f>
        <v>0.12322222222222223</v>
      </c>
      <c r="BE86" s="439">
        <f ca="1">HLOOKUP(BE$48,'Profile Data'!$W$4:$AZ$27,PLOTS!$AU86-1,FALSE)</f>
        <v>0.14233333333333334</v>
      </c>
      <c r="BF86" s="439">
        <f ca="1">HLOOKUP(BF$48,'Profile Data'!$W$4:$AZ$27,PLOTS!$AU86-1,FALSE)</f>
        <v>0.18066666666666667</v>
      </c>
      <c r="BG86" s="439">
        <f ca="1">HLOOKUP(BG$48,'Profile Data'!$W$4:$AZ$27,PLOTS!$AU86-1,FALSE)</f>
        <v>0.15308333333333335</v>
      </c>
      <c r="BH86" s="439">
        <f ca="1">HLOOKUP(BH$48,'Profile Data'!$W$4:$AZ$27,PLOTS!$AU86-1,FALSE)</f>
        <v>0.14233333333333334</v>
      </c>
      <c r="BI86" s="439" t="e">
        <f>HLOOKUP(BI$48,'Profile Data'!$W$4:$AZ$27,PLOTS!$AU86-1,FALSE)</f>
        <v>#N/A</v>
      </c>
      <c r="BJ86" s="439" t="e">
        <f>HLOOKUP(BJ$48,'Profile Data'!$W$4:$AZ$27,PLOTS!$AU86-1,FALSE)</f>
        <v>#N/A</v>
      </c>
      <c r="BK86" s="439" t="e">
        <f>HLOOKUP(BK$48,'Profile Data'!$W$4:$AZ$27,PLOTS!$AU86-1,FALSE)</f>
        <v>#N/A</v>
      </c>
      <c r="BL86" s="439" t="e">
        <f>HLOOKUP(BL$48,'Profile Data'!$W$4:$AZ$27,PLOTS!$AU86-1,FALSE)</f>
        <v>#N/A</v>
      </c>
      <c r="BM86" s="439"/>
    </row>
    <row r="87" spans="29:65" x14ac:dyDescent="0.2">
      <c r="AU87" s="445">
        <f t="shared" si="51"/>
        <v>20</v>
      </c>
      <c r="AV87" s="440">
        <f t="shared" si="50"/>
        <v>325.12</v>
      </c>
      <c r="AW87" s="439">
        <f ca="1">HLOOKUP(AW$48,'Profile Data'!$W$4:$AZ$27,PLOTS!$AU87-1,FALSE)</f>
        <v>7.2633333333333341E-2</v>
      </c>
      <c r="AX87" s="439">
        <f ca="1">HLOOKUP(AX$48,'Profile Data'!$W$4:$AZ$27,PLOTS!$AU87-1,FALSE)</f>
        <v>9.1900000000000009E-2</v>
      </c>
      <c r="AY87" s="439">
        <f ca="1">HLOOKUP(AY$48,'Profile Data'!$W$4:$AZ$27,PLOTS!$AU87-1,FALSE)</f>
        <v>0.11726</v>
      </c>
      <c r="AZ87" s="439">
        <f ca="1">HLOOKUP(AZ$48,'Profile Data'!$W$4:$AZ$27,PLOTS!$AU87-1,FALSE)</f>
        <v>0.13522222222222222</v>
      </c>
      <c r="BA87" s="439">
        <f ca="1">HLOOKUP(BA$48,'Profile Data'!$W$4:$AZ$27,PLOTS!$AU87-1,FALSE)</f>
        <v>0.17033333333333331</v>
      </c>
      <c r="BB87" s="439">
        <f ca="1">HLOOKUP(BB$48,'Profile Data'!$W$4:$AZ$27,PLOTS!$AU87-1,FALSE)</f>
        <v>7.2633333333333341E-2</v>
      </c>
      <c r="BC87" s="439">
        <f ca="1">HLOOKUP(BC$48,'Profile Data'!$W$4:$AZ$27,PLOTS!$AU87-1,FALSE)</f>
        <v>9.1900000000000009E-2</v>
      </c>
      <c r="BD87" s="439">
        <f ca="1">HLOOKUP(BD$48,'Profile Data'!$W$4:$AZ$27,PLOTS!$AU87-1,FALSE)</f>
        <v>0.11726</v>
      </c>
      <c r="BE87" s="439">
        <f ca="1">HLOOKUP(BE$48,'Profile Data'!$W$4:$AZ$27,PLOTS!$AU87-1,FALSE)</f>
        <v>0.13522222222222222</v>
      </c>
      <c r="BF87" s="439">
        <f ca="1">HLOOKUP(BF$48,'Profile Data'!$W$4:$AZ$27,PLOTS!$AU87-1,FALSE)</f>
        <v>0.17033333333333331</v>
      </c>
      <c r="BG87" s="439">
        <f ca="1">HLOOKUP(BG$48,'Profile Data'!$W$4:$AZ$27,PLOTS!$AU87-1,FALSE)</f>
        <v>0.14716666666666667</v>
      </c>
      <c r="BH87" s="439">
        <f ca="1">HLOOKUP(BH$48,'Profile Data'!$W$4:$AZ$27,PLOTS!$AU87-1,FALSE)</f>
        <v>0.13522222222222222</v>
      </c>
      <c r="BI87" s="439" t="e">
        <f>HLOOKUP(BI$48,'Profile Data'!$W$4:$AZ$27,PLOTS!$AU87-1,FALSE)</f>
        <v>#N/A</v>
      </c>
      <c r="BJ87" s="439" t="e">
        <f>HLOOKUP(BJ$48,'Profile Data'!$W$4:$AZ$27,PLOTS!$AU87-1,FALSE)</f>
        <v>#N/A</v>
      </c>
      <c r="BK87" s="439" t="e">
        <f>HLOOKUP(BK$48,'Profile Data'!$W$4:$AZ$27,PLOTS!$AU87-1,FALSE)</f>
        <v>#N/A</v>
      </c>
      <c r="BL87" s="439" t="e">
        <f>HLOOKUP(BL$48,'Profile Data'!$W$4:$AZ$27,PLOTS!$AU87-1,FALSE)</f>
        <v>#N/A</v>
      </c>
      <c r="BM87" s="439"/>
    </row>
    <row r="88" spans="29:65" x14ac:dyDescent="0.2">
      <c r="AU88" s="445">
        <f t="shared" si="51"/>
        <v>21</v>
      </c>
      <c r="AV88" s="440">
        <f t="shared" si="50"/>
        <v>365.76</v>
      </c>
      <c r="AW88" s="439">
        <f ca="1">HLOOKUP(AW$48,'Profile Data'!$W$4:$AZ$27,PLOTS!$AU88-1,FALSE)</f>
        <v>7.1000000000000008E-2</v>
      </c>
      <c r="AX88" s="439">
        <f ca="1">HLOOKUP(AX$48,'Profile Data'!$W$4:$AZ$27,PLOTS!$AU88-1,FALSE)</f>
        <v>8.900000000000001E-2</v>
      </c>
      <c r="AY88" s="439">
        <f ca="1">HLOOKUP(AY$48,'Profile Data'!$W$4:$AZ$27,PLOTS!$AU88-1,FALSE)</f>
        <v>0.11366666666666667</v>
      </c>
      <c r="AZ88" s="439">
        <f ca="1">HLOOKUP(AZ$48,'Profile Data'!$W$4:$AZ$27,PLOTS!$AU88-1,FALSE)</f>
        <v>0.12866666666666668</v>
      </c>
      <c r="BA88" s="439">
        <f ca="1">HLOOKUP(BA$48,'Profile Data'!$W$4:$AZ$27,PLOTS!$AU88-1,FALSE)</f>
        <v>0.16300000000000001</v>
      </c>
      <c r="BB88" s="439">
        <f ca="1">HLOOKUP(BB$48,'Profile Data'!$W$4:$AZ$27,PLOTS!$AU88-1,FALSE)</f>
        <v>7.1000000000000008E-2</v>
      </c>
      <c r="BC88" s="439">
        <f ca="1">HLOOKUP(BC$48,'Profile Data'!$W$4:$AZ$27,PLOTS!$AU88-1,FALSE)</f>
        <v>8.900000000000001E-2</v>
      </c>
      <c r="BD88" s="439">
        <f ca="1">HLOOKUP(BD$48,'Profile Data'!$W$4:$AZ$27,PLOTS!$AU88-1,FALSE)</f>
        <v>0.11366666666666667</v>
      </c>
      <c r="BE88" s="439">
        <f ca="1">HLOOKUP(BE$48,'Profile Data'!$W$4:$AZ$27,PLOTS!$AU88-1,FALSE)</f>
        <v>0.12866666666666668</v>
      </c>
      <c r="BF88" s="439">
        <f ca="1">HLOOKUP(BF$48,'Profile Data'!$W$4:$AZ$27,PLOTS!$AU88-1,FALSE)</f>
        <v>0.16300000000000001</v>
      </c>
      <c r="BG88" s="439">
        <f ca="1">HLOOKUP(BG$48,'Profile Data'!$W$4:$AZ$27,PLOTS!$AU88-1,FALSE)</f>
        <v>0.13705000000000001</v>
      </c>
      <c r="BH88" s="439">
        <f ca="1">HLOOKUP(BH$48,'Profile Data'!$W$4:$AZ$27,PLOTS!$AU88-1,FALSE)</f>
        <v>0.12866666666666668</v>
      </c>
      <c r="BI88" s="439" t="e">
        <f>HLOOKUP(BI$48,'Profile Data'!$W$4:$AZ$27,PLOTS!$AU88-1,FALSE)</f>
        <v>#N/A</v>
      </c>
      <c r="BJ88" s="439" t="e">
        <f>HLOOKUP(BJ$48,'Profile Data'!$W$4:$AZ$27,PLOTS!$AU88-1,FALSE)</f>
        <v>#N/A</v>
      </c>
      <c r="BK88" s="439" t="e">
        <f>HLOOKUP(BK$48,'Profile Data'!$W$4:$AZ$27,PLOTS!$AU88-1,FALSE)</f>
        <v>#N/A</v>
      </c>
      <c r="BL88" s="439" t="e">
        <f>HLOOKUP(BL$48,'Profile Data'!$W$4:$AZ$27,PLOTS!$AU88-1,FALSE)</f>
        <v>#N/A</v>
      </c>
      <c r="BM88" s="439"/>
    </row>
    <row r="89" spans="29:65" x14ac:dyDescent="0.2">
      <c r="AU89" s="445">
        <f t="shared" si="51"/>
        <v>22</v>
      </c>
      <c r="AV89" s="440">
        <f t="shared" si="50"/>
        <v>406.4</v>
      </c>
      <c r="AW89" s="439">
        <f ca="1">HLOOKUP(AW$48,'Profile Data'!$W$4:$AZ$27,PLOTS!$AU89-1,FALSE)</f>
        <v>7.0444444444444448E-2</v>
      </c>
      <c r="AX89" s="439">
        <f ca="1">HLOOKUP(AX$48,'Profile Data'!$W$4:$AZ$27,PLOTS!$AU89-1,FALSE)</f>
        <v>8.6500000000000007E-2</v>
      </c>
      <c r="AY89" s="439">
        <f ca="1">HLOOKUP(AY$48,'Profile Data'!$W$4:$AZ$27,PLOTS!$AU89-1,FALSE)</f>
        <v>0.10833333333333334</v>
      </c>
      <c r="AZ89" s="439">
        <f ca="1">HLOOKUP(AZ$48,'Profile Data'!$W$4:$AZ$27,PLOTS!$AU89-1,FALSE)</f>
        <v>0.12222222222222222</v>
      </c>
      <c r="BA89" s="439">
        <f ca="1">HLOOKUP(BA$48,'Profile Data'!$W$4:$AZ$27,PLOTS!$AU89-1,FALSE)</f>
        <v>0.155</v>
      </c>
      <c r="BB89" s="439">
        <f ca="1">HLOOKUP(BB$48,'Profile Data'!$W$4:$AZ$27,PLOTS!$AU89-1,FALSE)</f>
        <v>7.0444444444444448E-2</v>
      </c>
      <c r="BC89" s="439">
        <f ca="1">HLOOKUP(BC$48,'Profile Data'!$W$4:$AZ$27,PLOTS!$AU89-1,FALSE)</f>
        <v>8.6500000000000007E-2</v>
      </c>
      <c r="BD89" s="439">
        <f ca="1">HLOOKUP(BD$48,'Profile Data'!$W$4:$AZ$27,PLOTS!$AU89-1,FALSE)</f>
        <v>0.10833333333333334</v>
      </c>
      <c r="BE89" s="439">
        <f ca="1">HLOOKUP(BE$48,'Profile Data'!$W$4:$AZ$27,PLOTS!$AU89-1,FALSE)</f>
        <v>0.12222222222222222</v>
      </c>
      <c r="BF89" s="439">
        <f ca="1">HLOOKUP(BF$48,'Profile Data'!$W$4:$AZ$27,PLOTS!$AU89-1,FALSE)</f>
        <v>0.155</v>
      </c>
      <c r="BG89" s="439">
        <f ca="1">HLOOKUP(BG$48,'Profile Data'!$W$4:$AZ$27,PLOTS!$AU89-1,FALSE)</f>
        <v>0.12984999999999999</v>
      </c>
      <c r="BH89" s="439">
        <f ca="1">HLOOKUP(BH$48,'Profile Data'!$W$4:$AZ$27,PLOTS!$AU89-1,FALSE)</f>
        <v>0.12222222222222222</v>
      </c>
      <c r="BI89" s="439" t="e">
        <f>HLOOKUP(BI$48,'Profile Data'!$W$4:$AZ$27,PLOTS!$AU89-1,FALSE)</f>
        <v>#N/A</v>
      </c>
      <c r="BJ89" s="439" t="e">
        <f>HLOOKUP(BJ$48,'Profile Data'!$W$4:$AZ$27,PLOTS!$AU89-1,FALSE)</f>
        <v>#N/A</v>
      </c>
      <c r="BK89" s="439" t="e">
        <f>HLOOKUP(BK$48,'Profile Data'!$W$4:$AZ$27,PLOTS!$AU89-1,FALSE)</f>
        <v>#N/A</v>
      </c>
      <c r="BL89" s="439" t="e">
        <f>HLOOKUP(BL$48,'Profile Data'!$W$4:$AZ$27,PLOTS!$AU89-1,FALSE)</f>
        <v>#N/A</v>
      </c>
      <c r="BM89" s="439"/>
    </row>
    <row r="90" spans="29:65" x14ac:dyDescent="0.2">
      <c r="AU90" s="445">
        <f t="shared" si="51"/>
        <v>23</v>
      </c>
      <c r="AV90" s="440">
        <f t="shared" si="50"/>
        <v>487.68</v>
      </c>
      <c r="AW90" s="439">
        <f ca="1">HLOOKUP(AW$48,'Profile Data'!$W$4:$AZ$27,PLOTS!$AU90-1,FALSE)</f>
        <v>7.1099999999999997E-2</v>
      </c>
      <c r="AX90" s="439">
        <f ca="1">HLOOKUP(AX$48,'Profile Data'!$W$4:$AZ$27,PLOTS!$AU90-1,FALSE)</f>
        <v>8.4000000000000005E-2</v>
      </c>
      <c r="AY90" s="439">
        <f ca="1">HLOOKUP(AY$48,'Profile Data'!$W$4:$AZ$27,PLOTS!$AU90-1,FALSE)</f>
        <v>0.10129999999999999</v>
      </c>
      <c r="AZ90" s="439">
        <f ca="1">HLOOKUP(AZ$48,'Profile Data'!$W$4:$AZ$27,PLOTS!$AU90-1,FALSE)</f>
        <v>0.11333333333333333</v>
      </c>
      <c r="BA90" s="439">
        <f ca="1">HLOOKUP(BA$48,'Profile Data'!$W$4:$AZ$27,PLOTS!$AU90-1,FALSE)</f>
        <v>0.13800000000000001</v>
      </c>
      <c r="BB90" s="439">
        <f ca="1">HLOOKUP(BB$48,'Profile Data'!$W$4:$AZ$27,PLOTS!$AU90-1,FALSE)</f>
        <v>7.1099999999999997E-2</v>
      </c>
      <c r="BC90" s="439">
        <f ca="1">HLOOKUP(BC$48,'Profile Data'!$W$4:$AZ$27,PLOTS!$AU90-1,FALSE)</f>
        <v>8.4000000000000005E-2</v>
      </c>
      <c r="BD90" s="439">
        <f ca="1">HLOOKUP(BD$48,'Profile Data'!$W$4:$AZ$27,PLOTS!$AU90-1,FALSE)</f>
        <v>0.10129999999999999</v>
      </c>
      <c r="BE90" s="439">
        <f ca="1">HLOOKUP(BE$48,'Profile Data'!$W$4:$AZ$27,PLOTS!$AU90-1,FALSE)</f>
        <v>0.11333333333333333</v>
      </c>
      <c r="BF90" s="439">
        <f ca="1">HLOOKUP(BF$48,'Profile Data'!$W$4:$AZ$27,PLOTS!$AU90-1,FALSE)</f>
        <v>0.13800000000000001</v>
      </c>
      <c r="BG90" s="439">
        <f ca="1">HLOOKUP(BG$48,'Profile Data'!$W$4:$AZ$27,PLOTS!$AU90-1,FALSE)</f>
        <v>0.11499999999999999</v>
      </c>
      <c r="BH90" s="439">
        <f ca="1">HLOOKUP(BH$48,'Profile Data'!$W$4:$AZ$27,PLOTS!$AU90-1,FALSE)</f>
        <v>0.11333333333333333</v>
      </c>
      <c r="BI90" s="439" t="e">
        <f>HLOOKUP(BI$48,'Profile Data'!$W$4:$AZ$27,PLOTS!$AU90-1,FALSE)</f>
        <v>#N/A</v>
      </c>
      <c r="BJ90" s="439" t="e">
        <f>HLOOKUP(BJ$48,'Profile Data'!$W$4:$AZ$27,PLOTS!$AU90-1,FALSE)</f>
        <v>#N/A</v>
      </c>
      <c r="BK90" s="439" t="e">
        <f>HLOOKUP(BK$48,'Profile Data'!$W$4:$AZ$27,PLOTS!$AU90-1,FALSE)</f>
        <v>#N/A</v>
      </c>
      <c r="BL90" s="439" t="e">
        <f>HLOOKUP(BL$48,'Profile Data'!$W$4:$AZ$27,PLOTS!$AU90-1,FALSE)</f>
        <v>#N/A</v>
      </c>
      <c r="BM90" s="439"/>
    </row>
    <row r="91" spans="29:65" x14ac:dyDescent="0.2">
      <c r="AU91" s="445">
        <f t="shared" si="51"/>
        <v>24</v>
      </c>
      <c r="AV91" s="440">
        <f t="shared" si="50"/>
        <v>548.64</v>
      </c>
      <c r="AW91" s="439">
        <f ca="1">HLOOKUP(AW$48,'Profile Data'!$W$4:$AZ$27,PLOTS!$AU91-1,FALSE)</f>
        <v>7.2166666666666657E-2</v>
      </c>
      <c r="AX91" s="439">
        <f ca="1">HLOOKUP(AX$48,'Profile Data'!$W$4:$AZ$27,PLOTS!$AU91-1,FALSE)</f>
        <v>8.2599999999999993E-2</v>
      </c>
      <c r="AY91" s="439">
        <f ca="1">HLOOKUP(AY$48,'Profile Data'!$W$4:$AZ$27,PLOTS!$AU91-1,FALSE)</f>
        <v>9.6433333333333329E-2</v>
      </c>
      <c r="AZ91" s="439">
        <f ca="1">HLOOKUP(AZ$48,'Profile Data'!$W$4:$AZ$27,PLOTS!$AU91-1,FALSE)</f>
        <v>0.10596666666666667</v>
      </c>
      <c r="BA91" s="439">
        <f ca="1">HLOOKUP(BA$48,'Profile Data'!$W$4:$AZ$27,PLOTS!$AU91-1,FALSE)</f>
        <v>0.126</v>
      </c>
      <c r="BB91" s="439">
        <f ca="1">HLOOKUP(BB$48,'Profile Data'!$W$4:$AZ$27,PLOTS!$AU91-1,FALSE)</f>
        <v>7.2166666666666657E-2</v>
      </c>
      <c r="BC91" s="439">
        <f ca="1">HLOOKUP(BC$48,'Profile Data'!$W$4:$AZ$27,PLOTS!$AU91-1,FALSE)</f>
        <v>8.2599999999999993E-2</v>
      </c>
      <c r="BD91" s="439">
        <f ca="1">HLOOKUP(BD$48,'Profile Data'!$W$4:$AZ$27,PLOTS!$AU91-1,FALSE)</f>
        <v>9.6433333333333329E-2</v>
      </c>
      <c r="BE91" s="439">
        <f ca="1">HLOOKUP(BE$48,'Profile Data'!$W$4:$AZ$27,PLOTS!$AU91-1,FALSE)</f>
        <v>0.10596666666666667</v>
      </c>
      <c r="BF91" s="439">
        <f ca="1">HLOOKUP(BF$48,'Profile Data'!$W$4:$AZ$27,PLOTS!$AU91-1,FALSE)</f>
        <v>0.126</v>
      </c>
      <c r="BG91" s="439">
        <f ca="1">HLOOKUP(BG$48,'Profile Data'!$W$4:$AZ$27,PLOTS!$AU91-1,FALSE)</f>
        <v>0.10819999999999999</v>
      </c>
      <c r="BH91" s="439">
        <f ca="1">HLOOKUP(BH$48,'Profile Data'!$W$4:$AZ$27,PLOTS!$AU91-1,FALSE)</f>
        <v>0.10596666666666667</v>
      </c>
      <c r="BI91" s="439" t="e">
        <f>HLOOKUP(BI$48,'Profile Data'!$W$4:$AZ$27,PLOTS!$AU91-1,FALSE)</f>
        <v>#N/A</v>
      </c>
      <c r="BJ91" s="439" t="e">
        <f>HLOOKUP(BJ$48,'Profile Data'!$W$4:$AZ$27,PLOTS!$AU91-1,FALSE)</f>
        <v>#N/A</v>
      </c>
      <c r="BK91" s="439" t="e">
        <f>HLOOKUP(BK$48,'Profile Data'!$W$4:$AZ$27,PLOTS!$AU91-1,FALSE)</f>
        <v>#N/A</v>
      </c>
      <c r="BL91" s="439" t="e">
        <f>HLOOKUP(BL$48,'Profile Data'!$W$4:$AZ$27,PLOTS!$AU91-1,FALSE)</f>
        <v>#N/A</v>
      </c>
      <c r="BM91" s="439"/>
    </row>
    <row r="92" spans="29:65" x14ac:dyDescent="0.2">
      <c r="AU92" s="445">
        <f t="shared" si="51"/>
        <v>25</v>
      </c>
      <c r="AV92" s="440">
        <f t="shared" si="50"/>
        <v>609.6</v>
      </c>
      <c r="AW92" s="439">
        <f ca="1">HLOOKUP(AW$48,'Profile Data'!$W$4:$AZ$27,PLOTS!$AU92-1,FALSE)</f>
        <v>7.1499999999999994E-2</v>
      </c>
      <c r="AX92" s="439">
        <f ca="1">HLOOKUP(AX$48,'Profile Data'!$W$4:$AZ$27,PLOTS!$AU92-1,FALSE)</f>
        <v>8.2100000000000006E-2</v>
      </c>
      <c r="AY92" s="439">
        <f ca="1">HLOOKUP(AY$48,'Profile Data'!$W$4:$AZ$27,PLOTS!$AU92-1,FALSE)</f>
        <v>9.0200000000000016E-2</v>
      </c>
      <c r="AZ92" s="439">
        <f ca="1">HLOOKUP(AZ$48,'Profile Data'!$W$4:$AZ$27,PLOTS!$AU92-1,FALSE)</f>
        <v>9.9266666666666656E-2</v>
      </c>
      <c r="BA92" s="439">
        <f ca="1">HLOOKUP(BA$48,'Profile Data'!$W$4:$AZ$27,PLOTS!$AU92-1,FALSE)</f>
        <v>0.11199999999999999</v>
      </c>
      <c r="BB92" s="439">
        <f ca="1">HLOOKUP(BB$48,'Profile Data'!$W$4:$AZ$27,PLOTS!$AU92-1,FALSE)</f>
        <v>7.1499999999999994E-2</v>
      </c>
      <c r="BC92" s="439">
        <f ca="1">HLOOKUP(BC$48,'Profile Data'!$W$4:$AZ$27,PLOTS!$AU92-1,FALSE)</f>
        <v>8.2100000000000006E-2</v>
      </c>
      <c r="BD92" s="439">
        <f ca="1">HLOOKUP(BD$48,'Profile Data'!$W$4:$AZ$27,PLOTS!$AU92-1,FALSE)</f>
        <v>9.0200000000000016E-2</v>
      </c>
      <c r="BE92" s="439">
        <f ca="1">HLOOKUP(BE$48,'Profile Data'!$W$4:$AZ$27,PLOTS!$AU92-1,FALSE)</f>
        <v>9.9266666666666656E-2</v>
      </c>
      <c r="BF92" s="439">
        <f ca="1">HLOOKUP(BF$48,'Profile Data'!$W$4:$AZ$27,PLOTS!$AU92-1,FALSE)</f>
        <v>0.11199999999999999</v>
      </c>
      <c r="BG92" s="439">
        <f ca="1">HLOOKUP(BG$48,'Profile Data'!$W$4:$AZ$27,PLOTS!$AU92-1,FALSE)</f>
        <v>0.10139999999999999</v>
      </c>
      <c r="BH92" s="439">
        <f ca="1">HLOOKUP(BH$48,'Profile Data'!$W$4:$AZ$27,PLOTS!$AU92-1,FALSE)</f>
        <v>9.9266666666666656E-2</v>
      </c>
      <c r="BI92" s="439" t="e">
        <f>HLOOKUP(BI$48,'Profile Data'!$W$4:$AZ$27,PLOTS!$AU92-1,FALSE)</f>
        <v>#N/A</v>
      </c>
      <c r="BJ92" s="439" t="e">
        <f>HLOOKUP(BJ$48,'Profile Data'!$W$4:$AZ$27,PLOTS!$AU92-1,FALSE)</f>
        <v>#N/A</v>
      </c>
      <c r="BK92" s="439" t="e">
        <f>HLOOKUP(BK$48,'Profile Data'!$W$4:$AZ$27,PLOTS!$AU92-1,FALSE)</f>
        <v>#N/A</v>
      </c>
      <c r="BL92" s="439" t="e">
        <f>HLOOKUP(BL$48,'Profile Data'!$W$4:$AZ$27,PLOTS!$AU92-1,FALSE)</f>
        <v>#N/A</v>
      </c>
      <c r="BM92" s="439"/>
    </row>
    <row r="103" spans="1:1" ht="15.75" x14ac:dyDescent="0.25">
      <c r="A103" s="365" t="s">
        <v>270</v>
      </c>
    </row>
    <row r="130" spans="1:1" ht="15.75" x14ac:dyDescent="0.25">
      <c r="A130" s="365" t="s">
        <v>271</v>
      </c>
    </row>
    <row r="156" spans="1:1" ht="15.75" x14ac:dyDescent="0.25">
      <c r="A156" s="365" t="s">
        <v>272</v>
      </c>
    </row>
    <row r="182" spans="1:1" ht="15.75" x14ac:dyDescent="0.25">
      <c r="A182" s="365" t="s">
        <v>273</v>
      </c>
    </row>
    <row r="208" spans="1:1" ht="15.75" x14ac:dyDescent="0.25">
      <c r="A208" s="365" t="s">
        <v>274</v>
      </c>
    </row>
    <row r="232" spans="1:1" ht="15.75" x14ac:dyDescent="0.25">
      <c r="A232" s="365" t="s">
        <v>275</v>
      </c>
    </row>
    <row r="259" spans="1:1" x14ac:dyDescent="0.2">
      <c r="A259" s="433" t="s">
        <v>276</v>
      </c>
    </row>
    <row r="286" spans="1:1" x14ac:dyDescent="0.2">
      <c r="A286" s="433" t="s">
        <v>277</v>
      </c>
    </row>
    <row r="313" spans="1:1" x14ac:dyDescent="0.2">
      <c r="A313" s="433" t="s">
        <v>278</v>
      </c>
    </row>
    <row r="340" spans="1:1" x14ac:dyDescent="0.2">
      <c r="A340" s="433" t="s">
        <v>279</v>
      </c>
    </row>
    <row r="367" spans="1:1" x14ac:dyDescent="0.2">
      <c r="A367" s="433" t="s">
        <v>280</v>
      </c>
    </row>
    <row r="394" spans="1:1" x14ac:dyDescent="0.2">
      <c r="A394" s="433" t="s">
        <v>297</v>
      </c>
    </row>
  </sheetData>
  <pageMargins left="0.7" right="0.7" top="0.75" bottom="0.75" header="0.3" footer="0.3"/>
  <pageSetup paperSize="3" scale="58"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0070C0"/>
  </sheetPr>
  <dimension ref="A1:BL229"/>
  <sheetViews>
    <sheetView workbookViewId="0"/>
  </sheetViews>
  <sheetFormatPr defaultRowHeight="12.75" x14ac:dyDescent="0.2"/>
  <cols>
    <col min="1" max="1" width="15.42578125" style="577" customWidth="1"/>
    <col min="2" max="2" width="9.140625" style="577"/>
    <col min="3" max="11" width="11.42578125" style="577" customWidth="1"/>
    <col min="12" max="23" width="9.5703125" style="577" bestFit="1" customWidth="1"/>
    <col min="24" max="260" width="9.140625" style="577"/>
    <col min="261" max="269" width="11.42578125" style="577" customWidth="1"/>
    <col min="270" max="281" width="9.5703125" style="577" bestFit="1" customWidth="1"/>
    <col min="282" max="516" width="9.140625" style="577"/>
    <col min="517" max="525" width="11.42578125" style="577" customWidth="1"/>
    <col min="526" max="537" width="9.5703125" style="577" bestFit="1" customWidth="1"/>
    <col min="538" max="772" width="9.140625" style="577"/>
    <col min="773" max="781" width="11.42578125" style="577" customWidth="1"/>
    <col min="782" max="793" width="9.5703125" style="577" bestFit="1" customWidth="1"/>
    <col min="794" max="1028" width="9.140625" style="577"/>
    <col min="1029" max="1037" width="11.42578125" style="577" customWidth="1"/>
    <col min="1038" max="1049" width="9.5703125" style="577" bestFit="1" customWidth="1"/>
    <col min="1050" max="1284" width="9.140625" style="577"/>
    <col min="1285" max="1293" width="11.42578125" style="577" customWidth="1"/>
    <col min="1294" max="1305" width="9.5703125" style="577" bestFit="1" customWidth="1"/>
    <col min="1306" max="1540" width="9.140625" style="577"/>
    <col min="1541" max="1549" width="11.42578125" style="577" customWidth="1"/>
    <col min="1550" max="1561" width="9.5703125" style="577" bestFit="1" customWidth="1"/>
    <col min="1562" max="1796" width="9.140625" style="577"/>
    <col min="1797" max="1805" width="11.42578125" style="577" customWidth="1"/>
    <col min="1806" max="1817" width="9.5703125" style="577" bestFit="1" customWidth="1"/>
    <col min="1818" max="2052" width="9.140625" style="577"/>
    <col min="2053" max="2061" width="11.42578125" style="577" customWidth="1"/>
    <col min="2062" max="2073" width="9.5703125" style="577" bestFit="1" customWidth="1"/>
    <col min="2074" max="2308" width="9.140625" style="577"/>
    <col min="2309" max="2317" width="11.42578125" style="577" customWidth="1"/>
    <col min="2318" max="2329" width="9.5703125" style="577" bestFit="1" customWidth="1"/>
    <col min="2330" max="2564" width="9.140625" style="577"/>
    <col min="2565" max="2573" width="11.42578125" style="577" customWidth="1"/>
    <col min="2574" max="2585" width="9.5703125" style="577" bestFit="1" customWidth="1"/>
    <col min="2586" max="2820" width="9.140625" style="577"/>
    <col min="2821" max="2829" width="11.42578125" style="577" customWidth="1"/>
    <col min="2830" max="2841" width="9.5703125" style="577" bestFit="1" customWidth="1"/>
    <col min="2842" max="3076" width="9.140625" style="577"/>
    <col min="3077" max="3085" width="11.42578125" style="577" customWidth="1"/>
    <col min="3086" max="3097" width="9.5703125" style="577" bestFit="1" customWidth="1"/>
    <col min="3098" max="3332" width="9.140625" style="577"/>
    <col min="3333" max="3341" width="11.42578125" style="577" customWidth="1"/>
    <col min="3342" max="3353" width="9.5703125" style="577" bestFit="1" customWidth="1"/>
    <col min="3354" max="3588" width="9.140625" style="577"/>
    <col min="3589" max="3597" width="11.42578125" style="577" customWidth="1"/>
    <col min="3598" max="3609" width="9.5703125" style="577" bestFit="1" customWidth="1"/>
    <col min="3610" max="3844" width="9.140625" style="577"/>
    <col min="3845" max="3853" width="11.42578125" style="577" customWidth="1"/>
    <col min="3854" max="3865" width="9.5703125" style="577" bestFit="1" customWidth="1"/>
    <col min="3866" max="4100" width="9.140625" style="577"/>
    <col min="4101" max="4109" width="11.42578125" style="577" customWidth="1"/>
    <col min="4110" max="4121" width="9.5703125" style="577" bestFit="1" customWidth="1"/>
    <col min="4122" max="4356" width="9.140625" style="577"/>
    <col min="4357" max="4365" width="11.42578125" style="577" customWidth="1"/>
    <col min="4366" max="4377" width="9.5703125" style="577" bestFit="1" customWidth="1"/>
    <col min="4378" max="4612" width="9.140625" style="577"/>
    <col min="4613" max="4621" width="11.42578125" style="577" customWidth="1"/>
    <col min="4622" max="4633" width="9.5703125" style="577" bestFit="1" customWidth="1"/>
    <col min="4634" max="4868" width="9.140625" style="577"/>
    <col min="4869" max="4877" width="11.42578125" style="577" customWidth="1"/>
    <col min="4878" max="4889" width="9.5703125" style="577" bestFit="1" customWidth="1"/>
    <col min="4890" max="5124" width="9.140625" style="577"/>
    <col min="5125" max="5133" width="11.42578125" style="577" customWidth="1"/>
    <col min="5134" max="5145" width="9.5703125" style="577" bestFit="1" customWidth="1"/>
    <col min="5146" max="5380" width="9.140625" style="577"/>
    <col min="5381" max="5389" width="11.42578125" style="577" customWidth="1"/>
    <col min="5390" max="5401" width="9.5703125" style="577" bestFit="1" customWidth="1"/>
    <col min="5402" max="5636" width="9.140625" style="577"/>
    <col min="5637" max="5645" width="11.42578125" style="577" customWidth="1"/>
    <col min="5646" max="5657" width="9.5703125" style="577" bestFit="1" customWidth="1"/>
    <col min="5658" max="5892" width="9.140625" style="577"/>
    <col min="5893" max="5901" width="11.42578125" style="577" customWidth="1"/>
    <col min="5902" max="5913" width="9.5703125" style="577" bestFit="1" customWidth="1"/>
    <col min="5914" max="6148" width="9.140625" style="577"/>
    <col min="6149" max="6157" width="11.42578125" style="577" customWidth="1"/>
    <col min="6158" max="6169" width="9.5703125" style="577" bestFit="1" customWidth="1"/>
    <col min="6170" max="6404" width="9.140625" style="577"/>
    <col min="6405" max="6413" width="11.42578125" style="577" customWidth="1"/>
    <col min="6414" max="6425" width="9.5703125" style="577" bestFit="1" customWidth="1"/>
    <col min="6426" max="6660" width="9.140625" style="577"/>
    <col min="6661" max="6669" width="11.42578125" style="577" customWidth="1"/>
    <col min="6670" max="6681" width="9.5703125" style="577" bestFit="1" customWidth="1"/>
    <col min="6682" max="6916" width="9.140625" style="577"/>
    <col min="6917" max="6925" width="11.42578125" style="577" customWidth="1"/>
    <col min="6926" max="6937" width="9.5703125" style="577" bestFit="1" customWidth="1"/>
    <col min="6938" max="7172" width="9.140625" style="577"/>
    <col min="7173" max="7181" width="11.42578125" style="577" customWidth="1"/>
    <col min="7182" max="7193" width="9.5703125" style="577" bestFit="1" customWidth="1"/>
    <col min="7194" max="7428" width="9.140625" style="577"/>
    <col min="7429" max="7437" width="11.42578125" style="577" customWidth="1"/>
    <col min="7438" max="7449" width="9.5703125" style="577" bestFit="1" customWidth="1"/>
    <col min="7450" max="7684" width="9.140625" style="577"/>
    <col min="7685" max="7693" width="11.42578125" style="577" customWidth="1"/>
    <col min="7694" max="7705" width="9.5703125" style="577" bestFit="1" customWidth="1"/>
    <col min="7706" max="7940" width="9.140625" style="577"/>
    <col min="7941" max="7949" width="11.42578125" style="577" customWidth="1"/>
    <col min="7950" max="7961" width="9.5703125" style="577" bestFit="1" customWidth="1"/>
    <col min="7962" max="8196" width="9.140625" style="577"/>
    <col min="8197" max="8205" width="11.42578125" style="577" customWidth="1"/>
    <col min="8206" max="8217" width="9.5703125" style="577" bestFit="1" customWidth="1"/>
    <col min="8218" max="8452" width="9.140625" style="577"/>
    <col min="8453" max="8461" width="11.42578125" style="577" customWidth="1"/>
    <col min="8462" max="8473" width="9.5703125" style="577" bestFit="1" customWidth="1"/>
    <col min="8474" max="8708" width="9.140625" style="577"/>
    <col min="8709" max="8717" width="11.42578125" style="577" customWidth="1"/>
    <col min="8718" max="8729" width="9.5703125" style="577" bestFit="1" customWidth="1"/>
    <col min="8730" max="8964" width="9.140625" style="577"/>
    <col min="8965" max="8973" width="11.42578125" style="577" customWidth="1"/>
    <col min="8974" max="8985" width="9.5703125" style="577" bestFit="1" customWidth="1"/>
    <col min="8986" max="9220" width="9.140625" style="577"/>
    <col min="9221" max="9229" width="11.42578125" style="577" customWidth="1"/>
    <col min="9230" max="9241" width="9.5703125" style="577" bestFit="1" customWidth="1"/>
    <col min="9242" max="9476" width="9.140625" style="577"/>
    <col min="9477" max="9485" width="11.42578125" style="577" customWidth="1"/>
    <col min="9486" max="9497" width="9.5703125" style="577" bestFit="1" customWidth="1"/>
    <col min="9498" max="9732" width="9.140625" style="577"/>
    <col min="9733" max="9741" width="11.42578125" style="577" customWidth="1"/>
    <col min="9742" max="9753" width="9.5703125" style="577" bestFit="1" customWidth="1"/>
    <col min="9754" max="9988" width="9.140625" style="577"/>
    <col min="9989" max="9997" width="11.42578125" style="577" customWidth="1"/>
    <col min="9998" max="10009" width="9.5703125" style="577" bestFit="1" customWidth="1"/>
    <col min="10010" max="10244" width="9.140625" style="577"/>
    <col min="10245" max="10253" width="11.42578125" style="577" customWidth="1"/>
    <col min="10254" max="10265" width="9.5703125" style="577" bestFit="1" customWidth="1"/>
    <col min="10266" max="10500" width="9.140625" style="577"/>
    <col min="10501" max="10509" width="11.42578125" style="577" customWidth="1"/>
    <col min="10510" max="10521" width="9.5703125" style="577" bestFit="1" customWidth="1"/>
    <col min="10522" max="10756" width="9.140625" style="577"/>
    <col min="10757" max="10765" width="11.42578125" style="577" customWidth="1"/>
    <col min="10766" max="10777" width="9.5703125" style="577" bestFit="1" customWidth="1"/>
    <col min="10778" max="11012" width="9.140625" style="577"/>
    <col min="11013" max="11021" width="11.42578125" style="577" customWidth="1"/>
    <col min="11022" max="11033" width="9.5703125" style="577" bestFit="1" customWidth="1"/>
    <col min="11034" max="11268" width="9.140625" style="577"/>
    <col min="11269" max="11277" width="11.42578125" style="577" customWidth="1"/>
    <col min="11278" max="11289" width="9.5703125" style="577" bestFit="1" customWidth="1"/>
    <col min="11290" max="11524" width="9.140625" style="577"/>
    <col min="11525" max="11533" width="11.42578125" style="577" customWidth="1"/>
    <col min="11534" max="11545" width="9.5703125" style="577" bestFit="1" customWidth="1"/>
    <col min="11546" max="11780" width="9.140625" style="577"/>
    <col min="11781" max="11789" width="11.42578125" style="577" customWidth="1"/>
    <col min="11790" max="11801" width="9.5703125" style="577" bestFit="1" customWidth="1"/>
    <col min="11802" max="12036" width="9.140625" style="577"/>
    <col min="12037" max="12045" width="11.42578125" style="577" customWidth="1"/>
    <col min="12046" max="12057" width="9.5703125" style="577" bestFit="1" customWidth="1"/>
    <col min="12058" max="12292" width="9.140625" style="577"/>
    <col min="12293" max="12301" width="11.42578125" style="577" customWidth="1"/>
    <col min="12302" max="12313" width="9.5703125" style="577" bestFit="1" customWidth="1"/>
    <col min="12314" max="12548" width="9.140625" style="577"/>
    <col min="12549" max="12557" width="11.42578125" style="577" customWidth="1"/>
    <col min="12558" max="12569" width="9.5703125" style="577" bestFit="1" customWidth="1"/>
    <col min="12570" max="12804" width="9.140625" style="577"/>
    <col min="12805" max="12813" width="11.42578125" style="577" customWidth="1"/>
    <col min="12814" max="12825" width="9.5703125" style="577" bestFit="1" customWidth="1"/>
    <col min="12826" max="13060" width="9.140625" style="577"/>
    <col min="13061" max="13069" width="11.42578125" style="577" customWidth="1"/>
    <col min="13070" max="13081" width="9.5703125" style="577" bestFit="1" customWidth="1"/>
    <col min="13082" max="13316" width="9.140625" style="577"/>
    <col min="13317" max="13325" width="11.42578125" style="577" customWidth="1"/>
    <col min="13326" max="13337" width="9.5703125" style="577" bestFit="1" customWidth="1"/>
    <col min="13338" max="13572" width="9.140625" style="577"/>
    <col min="13573" max="13581" width="11.42578125" style="577" customWidth="1"/>
    <col min="13582" max="13593" width="9.5703125" style="577" bestFit="1" customWidth="1"/>
    <col min="13594" max="13828" width="9.140625" style="577"/>
    <col min="13829" max="13837" width="11.42578125" style="577" customWidth="1"/>
    <col min="13838" max="13849" width="9.5703125" style="577" bestFit="1" customWidth="1"/>
    <col min="13850" max="14084" width="9.140625" style="577"/>
    <col min="14085" max="14093" width="11.42578125" style="577" customWidth="1"/>
    <col min="14094" max="14105" width="9.5703125" style="577" bestFit="1" customWidth="1"/>
    <col min="14106" max="14340" width="9.140625" style="577"/>
    <col min="14341" max="14349" width="11.42578125" style="577" customWidth="1"/>
    <col min="14350" max="14361" width="9.5703125" style="577" bestFit="1" customWidth="1"/>
    <col min="14362" max="14596" width="9.140625" style="577"/>
    <col min="14597" max="14605" width="11.42578125" style="577" customWidth="1"/>
    <col min="14606" max="14617" width="9.5703125" style="577" bestFit="1" customWidth="1"/>
    <col min="14618" max="14852" width="9.140625" style="577"/>
    <col min="14853" max="14861" width="11.42578125" style="577" customWidth="1"/>
    <col min="14862" max="14873" width="9.5703125" style="577" bestFit="1" customWidth="1"/>
    <col min="14874" max="15108" width="9.140625" style="577"/>
    <col min="15109" max="15117" width="11.42578125" style="577" customWidth="1"/>
    <col min="15118" max="15129" width="9.5703125" style="577" bestFit="1" customWidth="1"/>
    <col min="15130" max="15364" width="9.140625" style="577"/>
    <col min="15365" max="15373" width="11.42578125" style="577" customWidth="1"/>
    <col min="15374" max="15385" width="9.5703125" style="577" bestFit="1" customWidth="1"/>
    <col min="15386" max="15620" width="9.140625" style="577"/>
    <col min="15621" max="15629" width="11.42578125" style="577" customWidth="1"/>
    <col min="15630" max="15641" width="9.5703125" style="577" bestFit="1" customWidth="1"/>
    <col min="15642" max="15876" width="9.140625" style="577"/>
    <col min="15877" max="15885" width="11.42578125" style="577" customWidth="1"/>
    <col min="15886" max="15897" width="9.5703125" style="577" bestFit="1" customWidth="1"/>
    <col min="15898" max="16132" width="9.140625" style="577"/>
    <col min="16133" max="16141" width="11.42578125" style="577" customWidth="1"/>
    <col min="16142" max="16153" width="9.5703125" style="577" bestFit="1" customWidth="1"/>
    <col min="16154" max="16384" width="9.140625" style="577"/>
  </cols>
  <sheetData>
    <row r="1" spans="1:64" x14ac:dyDescent="0.2">
      <c r="A1" s="577" t="s">
        <v>602</v>
      </c>
      <c r="B1" s="577">
        <f>RWDI_FACTORS!D33</f>
        <v>1.5</v>
      </c>
    </row>
    <row r="4" spans="1:64" x14ac:dyDescent="0.2">
      <c r="A4" s="578" t="s">
        <v>603</v>
      </c>
      <c r="C4" s="573" t="s">
        <v>768</v>
      </c>
      <c r="D4" s="577">
        <f ca="1">'Profile Data'!W63</f>
        <v>1</v>
      </c>
      <c r="F4" s="577">
        <f ca="1">'Profile Data'!Y63</f>
        <v>1</v>
      </c>
      <c r="H4" s="577">
        <f ca="1">'Profile Data'!AA63</f>
        <v>1</v>
      </c>
      <c r="J4" s="577">
        <f ca="1">'Profile Data'!AC63</f>
        <v>1</v>
      </c>
      <c r="L4" s="577">
        <f ca="1">'Profile Data'!AE63</f>
        <v>1</v>
      </c>
      <c r="N4" s="577">
        <f ca="1">'Profile Data'!AG63</f>
        <v>1</v>
      </c>
      <c r="P4" s="577" t="e">
        <f ca="1">'Profile Data'!AI63</f>
        <v>#VALUE!</v>
      </c>
      <c r="R4" s="577" t="e">
        <f ca="1">'Profile Data'!AK63</f>
        <v>#VALUE!</v>
      </c>
      <c r="T4" s="577" t="e">
        <f ca="1">'Profile Data'!AM63</f>
        <v>#VALUE!</v>
      </c>
      <c r="V4" s="577" t="e">
        <f ca="1">'Profile Data'!AO63</f>
        <v>#VALUE!</v>
      </c>
      <c r="X4" s="577" t="e">
        <f ca="1">'Profile Data'!AQ63</f>
        <v>#VALUE!</v>
      </c>
      <c r="Z4" s="577" t="e">
        <f ca="1">'Profile Data'!AS63</f>
        <v>#VALUE!</v>
      </c>
      <c r="AB4" s="577" t="e">
        <f ca="1">'Profile Data'!AU63</f>
        <v>#VALUE!</v>
      </c>
      <c r="AD4" s="577" t="e">
        <f ca="1">'Profile Data'!AW63</f>
        <v>#VALUE!</v>
      </c>
      <c r="AF4" s="577" t="e">
        <f ca="1">'Profile Data'!AY63</f>
        <v>#VALUE!</v>
      </c>
    </row>
    <row r="6" spans="1:64" x14ac:dyDescent="0.2">
      <c r="D6" s="1006" t="str">
        <f ca="1">'Profile Data'!W5</f>
        <v>Openwater A24LE</v>
      </c>
      <c r="F6" s="1006" t="str">
        <f ca="1">'Profile Data'!Y5</f>
        <v>Open A24LE</v>
      </c>
      <c r="H6" s="1006" t="str">
        <f ca="1">'Profile Data'!AA5</f>
        <v>Opsub A24LE</v>
      </c>
      <c r="J6" s="1006" t="str">
        <f ca="1">'Profile Data'!AC5</f>
        <v>Suburban A24LE</v>
      </c>
      <c r="L6" s="1006" t="str">
        <f ca="1">'Profile Data'!AE5</f>
        <v>Light Urban A24LE</v>
      </c>
      <c r="N6" s="1006" t="str">
        <f ca="1">'Profile Data'!AG5</f>
        <v>Urban A24LE</v>
      </c>
      <c r="P6" s="1006" t="e">
        <f ca="1">'Profile Data'!AI5</f>
        <v>#REF!</v>
      </c>
      <c r="R6" s="1006" t="e">
        <f ca="1">'Profile Data'!AK5</f>
        <v>#REF!</v>
      </c>
      <c r="T6" s="1006" t="e">
        <f ca="1">'Profile Data'!AM5</f>
        <v>#REF!</v>
      </c>
      <c r="V6" s="1006" t="e">
        <f ca="1">'Profile Data'!AO5</f>
        <v>#REF!</v>
      </c>
      <c r="X6" s="1006" t="e">
        <f ca="1">'Profile Data'!AQ5</f>
        <v>#REF!</v>
      </c>
      <c r="Z6" s="1006" t="e">
        <f ca="1">'Profile Data'!AS5</f>
        <v>#REF!</v>
      </c>
      <c r="AB6" s="1006" t="e">
        <f ca="1">'Profile Data'!AU5</f>
        <v>#REF!</v>
      </c>
      <c r="AD6" s="1006" t="e">
        <f ca="1">'Profile Data'!AW5</f>
        <v>#REF!</v>
      </c>
      <c r="AF6" s="1006" t="e">
        <f ca="1">'Profile Data'!AY5</f>
        <v>#REF!</v>
      </c>
      <c r="AH6" s="1006"/>
    </row>
    <row r="7" spans="1:64" ht="51" x14ac:dyDescent="0.2">
      <c r="A7" s="1008" t="s">
        <v>604</v>
      </c>
      <c r="B7" s="1008" t="s">
        <v>605</v>
      </c>
      <c r="C7" s="1008" t="s">
        <v>606</v>
      </c>
      <c r="D7" s="577" t="s">
        <v>197</v>
      </c>
      <c r="E7" s="577" t="s">
        <v>198</v>
      </c>
      <c r="F7" s="577" t="s">
        <v>197</v>
      </c>
      <c r="G7" s="577" t="s">
        <v>198</v>
      </c>
      <c r="H7" s="577" t="s">
        <v>197</v>
      </c>
      <c r="I7" s="577" t="s">
        <v>198</v>
      </c>
      <c r="J7" s="577" t="s">
        <v>197</v>
      </c>
      <c r="K7" s="577" t="s">
        <v>198</v>
      </c>
      <c r="L7" s="577" t="s">
        <v>197</v>
      </c>
      <c r="M7" s="577" t="s">
        <v>198</v>
      </c>
      <c r="N7" s="577" t="s">
        <v>197</v>
      </c>
      <c r="O7" s="577" t="s">
        <v>198</v>
      </c>
      <c r="P7" s="577" t="s">
        <v>197</v>
      </c>
      <c r="Q7" s="577" t="s">
        <v>198</v>
      </c>
      <c r="R7" s="577" t="s">
        <v>197</v>
      </c>
      <c r="S7" s="577" t="s">
        <v>198</v>
      </c>
      <c r="T7" s="577" t="s">
        <v>197</v>
      </c>
      <c r="U7" s="577" t="s">
        <v>198</v>
      </c>
      <c r="V7" s="577" t="s">
        <v>197</v>
      </c>
      <c r="W7" s="577" t="s">
        <v>198</v>
      </c>
      <c r="X7" s="577" t="s">
        <v>197</v>
      </c>
      <c r="Y7" s="577" t="s">
        <v>198</v>
      </c>
      <c r="Z7" s="577" t="s">
        <v>197</v>
      </c>
      <c r="AA7" s="577" t="s">
        <v>198</v>
      </c>
      <c r="AB7" s="577" t="s">
        <v>197</v>
      </c>
      <c r="AC7" s="577" t="s">
        <v>198</v>
      </c>
      <c r="AD7" s="577" t="s">
        <v>197</v>
      </c>
      <c r="AE7" s="577" t="s">
        <v>198</v>
      </c>
      <c r="AF7" s="577" t="s">
        <v>197</v>
      </c>
      <c r="AG7" s="577" t="s">
        <v>198</v>
      </c>
      <c r="AI7" s="1007" t="str">
        <f ca="1">D6</f>
        <v>Openwater A24LE</v>
      </c>
      <c r="AJ7" s="569"/>
      <c r="AK7" s="1007" t="str">
        <f ca="1">F6</f>
        <v>Open A24LE</v>
      </c>
      <c r="AL7" s="569"/>
      <c r="AM7" s="1007" t="str">
        <f ca="1">H6</f>
        <v>Opsub A24LE</v>
      </c>
      <c r="AN7" s="569"/>
      <c r="AO7" s="1007" t="str">
        <f ca="1">J6</f>
        <v>Suburban A24LE</v>
      </c>
      <c r="AP7" s="569"/>
      <c r="AQ7" s="1007" t="str">
        <f ca="1">L6</f>
        <v>Light Urban A24LE</v>
      </c>
      <c r="AR7" s="569"/>
      <c r="AS7" s="1007" t="str">
        <f ca="1">N6</f>
        <v>Urban A24LE</v>
      </c>
      <c r="AT7" s="569"/>
      <c r="AU7" s="1007" t="e">
        <f ca="1">P6</f>
        <v>#REF!</v>
      </c>
      <c r="AV7" s="569"/>
      <c r="AW7" s="1007" t="e">
        <f ca="1">R6</f>
        <v>#REF!</v>
      </c>
      <c r="AX7" s="569"/>
      <c r="AY7" s="1007" t="e">
        <f ca="1">T6</f>
        <v>#REF!</v>
      </c>
      <c r="AZ7" s="569"/>
      <c r="BA7" s="1007" t="e">
        <f ca="1">V6</f>
        <v>#REF!</v>
      </c>
      <c r="BB7" s="569"/>
      <c r="BC7" s="1007" t="e">
        <f ca="1">X6</f>
        <v>#REF!</v>
      </c>
      <c r="BD7" s="569"/>
      <c r="BE7" s="1007" t="e">
        <f ca="1">Z6</f>
        <v>#REF!</v>
      </c>
      <c r="BF7" s="569"/>
      <c r="BG7" s="1007" t="e">
        <f ca="1">AB6</f>
        <v>#REF!</v>
      </c>
      <c r="BH7" s="569"/>
      <c r="BI7" s="1007" t="e">
        <f ca="1">AD6</f>
        <v>#REF!</v>
      </c>
      <c r="BJ7" s="569"/>
      <c r="BK7" s="1007" t="e">
        <f ca="1">AF6</f>
        <v>#REF!</v>
      </c>
      <c r="BL7" s="569"/>
    </row>
    <row r="8" spans="1:64" x14ac:dyDescent="0.2">
      <c r="AI8" s="569" t="s">
        <v>197</v>
      </c>
      <c r="AJ8" s="569" t="s">
        <v>198</v>
      </c>
      <c r="AK8" s="569" t="s">
        <v>197</v>
      </c>
      <c r="AL8" s="569" t="s">
        <v>198</v>
      </c>
      <c r="AM8" s="569" t="s">
        <v>197</v>
      </c>
      <c r="AN8" s="569" t="s">
        <v>198</v>
      </c>
      <c r="AO8" s="569" t="s">
        <v>197</v>
      </c>
      <c r="AP8" s="569" t="s">
        <v>198</v>
      </c>
      <c r="AQ8" s="569" t="s">
        <v>197</v>
      </c>
      <c r="AR8" s="569" t="s">
        <v>198</v>
      </c>
      <c r="AS8" s="569" t="s">
        <v>197</v>
      </c>
      <c r="AT8" s="569" t="s">
        <v>198</v>
      </c>
      <c r="AU8" s="569" t="s">
        <v>197</v>
      </c>
      <c r="AV8" s="569" t="s">
        <v>198</v>
      </c>
      <c r="AW8" s="569" t="s">
        <v>197</v>
      </c>
      <c r="AX8" s="569" t="s">
        <v>198</v>
      </c>
      <c r="AY8" s="569" t="s">
        <v>197</v>
      </c>
      <c r="AZ8" s="569" t="s">
        <v>198</v>
      </c>
      <c r="BA8" s="569" t="s">
        <v>197</v>
      </c>
      <c r="BB8" s="569" t="s">
        <v>198</v>
      </c>
      <c r="BC8" s="569" t="s">
        <v>197</v>
      </c>
      <c r="BD8" s="569" t="s">
        <v>198</v>
      </c>
      <c r="BE8" s="569" t="s">
        <v>197</v>
      </c>
      <c r="BF8" s="569" t="s">
        <v>198</v>
      </c>
      <c r="BG8" s="569" t="s">
        <v>197</v>
      </c>
      <c r="BH8" s="569" t="s">
        <v>198</v>
      </c>
      <c r="BI8" s="569" t="s">
        <v>197</v>
      </c>
      <c r="BJ8" s="569" t="s">
        <v>198</v>
      </c>
      <c r="BK8" s="569" t="s">
        <v>197</v>
      </c>
      <c r="BL8" s="569" t="s">
        <v>198</v>
      </c>
    </row>
    <row r="9" spans="1:64" x14ac:dyDescent="0.2">
      <c r="A9" s="1003" t="str">
        <f>'Target Site'!A23</f>
        <v>54.3</v>
      </c>
      <c r="B9" s="1009">
        <f>A9/RWDI_FACTORS!$D$7*39.37</f>
        <v>5.3444774999999991</v>
      </c>
      <c r="C9" s="1009">
        <f>INDEX('Profile Data'!V$8:V$27,MATCH($B9,'Profile Data'!$V$8:$V$27,1),0)</f>
        <v>5</v>
      </c>
      <c r="D9" s="1010">
        <f ca="1">INDEX('Profile Data'!W$8:W$27,MATCH($B9,'Profile Data'!$V$8:$V$27,1),0)/D4</f>
        <v>0.7699089075669544</v>
      </c>
      <c r="E9" s="1010">
        <f ca="1">INDEX('Profile Data'!X$8:X$27,MATCH($B9,'Profile Data'!$V$8:$V$27,1),0)</f>
        <v>0.12033333333333333</v>
      </c>
      <c r="F9" s="1010">
        <f ca="1">INDEX('Profile Data'!Y$8:Y$27,MATCH($B9,'Profile Data'!$V$8:$V$27,1),0)/F4</f>
        <v>0.70975091575091587</v>
      </c>
      <c r="G9" s="1010">
        <f ca="1">INDEX('Profile Data'!Z$8:Z$27,MATCH($B9,'Profile Data'!$V$8:$V$27,1),0)</f>
        <v>0.14250000000000002</v>
      </c>
      <c r="H9" s="1010">
        <f ca="1">INDEX('Profile Data'!AA$8:AA$27,MATCH($B9,'Profile Data'!$V$8:$V$27,1),0)/H4</f>
        <v>0.62989390620859687</v>
      </c>
      <c r="I9" s="1010">
        <f ca="1">INDEX('Profile Data'!AB$8:AB$27,MATCH($B9,'Profile Data'!$V$8:$V$27,1),0)</f>
        <v>0.18516666666666665</v>
      </c>
      <c r="J9" s="1010">
        <f ca="1">INDEX('Profile Data'!AC$8:AC$27,MATCH($B9,'Profile Data'!$V$8:$V$27,1),0)/J4</f>
        <v>0.56672688386265091</v>
      </c>
      <c r="K9" s="1010">
        <f ca="1">INDEX('Profile Data'!AD$8:AD$27,MATCH($B9,'Profile Data'!$V$8:$V$27,1),0)</f>
        <v>0.21833333333333335</v>
      </c>
      <c r="L9" s="1010">
        <f ca="1">INDEX('Profile Data'!AE$8:AE$27,MATCH($B9,'Profile Data'!$V$8:$V$27,1),0)/L4</f>
        <v>0.54074572054238179</v>
      </c>
      <c r="M9" s="1010">
        <f ca="1">INDEX('Profile Data'!AF$8:AF$27,MATCH($B9,'Profile Data'!$V$8:$V$27,1),0)</f>
        <v>0.24102795780774522</v>
      </c>
      <c r="N9" s="1010">
        <f ca="1">INDEX('Profile Data'!AG$8:AG$27,MATCH($B9,'Profile Data'!$V$8:$V$27,1),0)/N4</f>
        <v>0.49845679012345678</v>
      </c>
      <c r="O9" s="1010">
        <f ca="1">INDEX('Profile Data'!AH$8:AH$27,MATCH($B9,'Profile Data'!$V$8:$V$27,1),0)</f>
        <v>0.25850000000000001</v>
      </c>
      <c r="P9" s="1010" t="e">
        <f ca="1">INDEX('Profile Data'!AI$8:AI$27,MATCH($B9,'Profile Data'!$V$8:$V$27,1),0)/P4</f>
        <v>#REF!</v>
      </c>
      <c r="Q9" s="1010" t="e">
        <f ca="1">INDEX('Profile Data'!AJ$8:AJ$27,MATCH($B9,'Profile Data'!$V$8:$V$27,1),0)</f>
        <v>#REF!</v>
      </c>
      <c r="R9" s="1010" t="e">
        <f ca="1">INDEX('Profile Data'!AK$8:AK$27,MATCH($B9,'Profile Data'!$V$8:$V$27,1),0)/R4</f>
        <v>#REF!</v>
      </c>
      <c r="S9" s="1010" t="e">
        <f ca="1">INDEX('Profile Data'!AL$8:AL$27,MATCH($B9,'Profile Data'!$V$8:$V$27,1),0)</f>
        <v>#REF!</v>
      </c>
      <c r="T9" s="1010" t="e">
        <f ca="1">INDEX('Profile Data'!AM$8:AM$27,MATCH($B9,'Profile Data'!$V$8:$V$27,1),0)/T4</f>
        <v>#REF!</v>
      </c>
      <c r="U9" s="1010" t="e">
        <f ca="1">INDEX('Profile Data'!AN$8:AN$27,MATCH($B9,'Profile Data'!$V$8:$V$27,1),0)</f>
        <v>#REF!</v>
      </c>
      <c r="V9" s="1010" t="e">
        <f ca="1">INDEX('Profile Data'!AO$8:AO$27,MATCH($B9,'Profile Data'!$V$8:$V$27,1),0)/V4</f>
        <v>#REF!</v>
      </c>
      <c r="W9" s="1010" t="e">
        <f ca="1">INDEX('Profile Data'!AP$8:AP$27,MATCH($B9,'Profile Data'!$V$8:$V$27,1),0)</f>
        <v>#REF!</v>
      </c>
      <c r="X9" s="1010" t="e">
        <f ca="1">INDEX('Profile Data'!AQ$8:AQ$27,MATCH($B9,'Profile Data'!$V$8:$V$27,1),0)/X4</f>
        <v>#REF!</v>
      </c>
      <c r="Y9" s="1010" t="e">
        <f ca="1">INDEX('Profile Data'!AR$8:AR$27,MATCH($B9,'Profile Data'!$V$8:$V$27,1),0)</f>
        <v>#REF!</v>
      </c>
      <c r="Z9" s="1010" t="e">
        <f ca="1">INDEX('Profile Data'!AS$8:AS$27,MATCH($B9,'Profile Data'!$V$8:$V$27,1),0)/Z4</f>
        <v>#REF!</v>
      </c>
      <c r="AA9" s="1010" t="e">
        <f ca="1">INDEX('Profile Data'!AT$8:AT$27,MATCH($B9,'Profile Data'!$V$8:$V$27,1),0)</f>
        <v>#REF!</v>
      </c>
      <c r="AB9" s="1010" t="e">
        <f ca="1">INDEX('Profile Data'!AU$8:AU$27,MATCH($B9,'Profile Data'!$V$8:$V$27,1),0)/AB4</f>
        <v>#REF!</v>
      </c>
      <c r="AC9" s="1010" t="e">
        <f ca="1">INDEX('Profile Data'!AV$8:AV$27,MATCH($B9,'Profile Data'!$V$8:$V$27,1),0)</f>
        <v>#REF!</v>
      </c>
      <c r="AD9" s="1010" t="e">
        <f ca="1">INDEX('Profile Data'!AW$8:AW$27,MATCH($B9,'Profile Data'!$V$8:$V$27,1),0)/AD4</f>
        <v>#REF!</v>
      </c>
      <c r="AE9" s="1010" t="e">
        <f ca="1">INDEX('Profile Data'!AX$8:AX$27,MATCH($B9,'Profile Data'!$V$8:$V$27,1),0)</f>
        <v>#REF!</v>
      </c>
      <c r="AF9" s="1010" t="e">
        <f ca="1">INDEX('Profile Data'!AY$8:AY$27,MATCH($B9,'Profile Data'!$V$8:$V$27,1),0)/AF4</f>
        <v>#REF!</v>
      </c>
      <c r="AG9" s="1010" t="e">
        <f ca="1">INDEX('Profile Data'!AZ$8:AZ$27,MATCH($B9,'Profile Data'!$V$8:$V$27,1),0)</f>
        <v>#REF!</v>
      </c>
      <c r="AI9" s="1144">
        <f ca="1">'Profile Data'!W7</f>
        <v>9.0611538408597939E-2</v>
      </c>
      <c r="AJ9" s="1144">
        <f ca="1">'Profile Data'!X7</f>
        <v>-0.10392407042127935</v>
      </c>
      <c r="AK9" s="1144">
        <f ca="1">'Profile Data'!Y7</f>
        <v>0.10080063982370678</v>
      </c>
      <c r="AL9" s="1144">
        <f ca="1">'Profile Data'!Z7</f>
        <v>-8.7708694145146787E-2</v>
      </c>
      <c r="AM9" s="1144">
        <f ca="1">'Profile Data'!AA7</f>
        <v>0.12708463347147239</v>
      </c>
      <c r="AN9" s="1144">
        <f ca="1">'Profile Data'!AB7</f>
        <v>-0.15813770536587426</v>
      </c>
      <c r="AO9" s="1144">
        <f ca="1">'Profile Data'!AC7</f>
        <v>0.38813959267289561</v>
      </c>
      <c r="AP9" s="1144">
        <f ca="1">'Profile Data'!AD7</f>
        <v>-0.12667585714176618</v>
      </c>
      <c r="AQ9" s="1144">
        <f ca="1">'Profile Data'!AE7</f>
        <v>0.24434377396463169</v>
      </c>
      <c r="AR9" s="1144">
        <f ca="1">'Profile Data'!AF7</f>
        <v>-0.11826784003888452</v>
      </c>
      <c r="AS9" s="1144">
        <f ca="1">'Profile Data'!AG7</f>
        <v>0.20479773632467219</v>
      </c>
      <c r="AT9" s="1144">
        <f ca="1">'Profile Data'!AH7</f>
        <v>-4.1144107412284983E-2</v>
      </c>
      <c r="AU9" s="1144" t="e">
        <f ca="1">'Profile Data'!AI7</f>
        <v>#REF!</v>
      </c>
      <c r="AV9" s="1144" t="e">
        <f ca="1">'Profile Data'!AJ7</f>
        <v>#REF!</v>
      </c>
      <c r="AW9" s="1144" t="e">
        <f ca="1">'Profile Data'!AK7</f>
        <v>#REF!</v>
      </c>
      <c r="AX9" s="1144" t="e">
        <f ca="1">'Profile Data'!AL7</f>
        <v>#REF!</v>
      </c>
      <c r="AY9" s="1144" t="e">
        <f ca="1">'Profile Data'!AM7</f>
        <v>#REF!</v>
      </c>
      <c r="AZ9" s="1144" t="e">
        <f ca="1">'Profile Data'!AN7</f>
        <v>#REF!</v>
      </c>
      <c r="BA9" s="1144" t="e">
        <f ca="1">'Profile Data'!AO7</f>
        <v>#REF!</v>
      </c>
      <c r="BB9" s="1144" t="e">
        <f ca="1">'Profile Data'!AP7</f>
        <v>#REF!</v>
      </c>
      <c r="BC9" s="1144" t="e">
        <f ca="1">'Profile Data'!AQ7</f>
        <v>#REF!</v>
      </c>
      <c r="BD9" s="1144" t="e">
        <f ca="1">'Profile Data'!AR7</f>
        <v>#REF!</v>
      </c>
      <c r="BE9" s="1144" t="e">
        <f ca="1">'Profile Data'!AS7</f>
        <v>#REF!</v>
      </c>
      <c r="BF9" s="1144" t="e">
        <f ca="1">'Profile Data'!AT7</f>
        <v>#REF!</v>
      </c>
      <c r="BG9" s="1144" t="e">
        <f ca="1">'Profile Data'!AU7</f>
        <v>#REF!</v>
      </c>
      <c r="BH9" s="1144" t="e">
        <f ca="1">'Profile Data'!AV7</f>
        <v>#REF!</v>
      </c>
      <c r="BI9" s="1144" t="e">
        <f ca="1">'Profile Data'!AW7</f>
        <v>#REF!</v>
      </c>
      <c r="BJ9" s="1144" t="e">
        <f ca="1">'Profile Data'!AX7</f>
        <v>#REF!</v>
      </c>
      <c r="BK9" s="1144" t="e">
        <f ca="1">'Profile Data'!AY7</f>
        <v>#REF!</v>
      </c>
      <c r="BL9" s="1144" t="e">
        <f ca="1">'Profile Data'!AZ7</f>
        <v>#REF!</v>
      </c>
    </row>
    <row r="10" spans="1:64" x14ac:dyDescent="0.2">
      <c r="A10" s="1003"/>
      <c r="B10" s="1009"/>
      <c r="C10" s="1009">
        <f>INDEX('Profile Data'!V$8:V$27,MATCH($B9,'Profile Data'!$V$8:$V$27,1)+1,0)</f>
        <v>6</v>
      </c>
      <c r="D10" s="1010">
        <f ca="1">INDEX('Profile Data'!W$8:W$27,MATCH($B9,'Profile Data'!$V$8:$V$27,1)+1,0)/D4</f>
        <v>0.78917099575035909</v>
      </c>
      <c r="E10" s="1010">
        <f ca="1">INDEX('Profile Data'!X$8:X$27,MATCH($B9,'Profile Data'!$V$8:$V$27,1)+1,0)</f>
        <v>0.11591666666666667</v>
      </c>
      <c r="F10" s="1010">
        <f ca="1">INDEX('Profile Data'!Y$8:Y$27,MATCH($B9,'Profile Data'!$V$8:$V$27,1)+1,0)/F4</f>
        <v>0.72388278388278393</v>
      </c>
      <c r="G10" s="1010">
        <f ca="1">INDEX('Profile Data'!Z$8:Z$27,MATCH($B9,'Profile Data'!$V$8:$V$27,1)+1,0)</f>
        <v>0.13800000000000001</v>
      </c>
      <c r="H10" s="1010">
        <f ca="1">INDEX('Profile Data'!AA$8:AA$27,MATCH($B9,'Profile Data'!$V$8:$V$27,1)+1,0)/H4</f>
        <v>0.6576920614157945</v>
      </c>
      <c r="I10" s="1010">
        <f ca="1">INDEX('Profile Data'!AB$8:AB$27,MATCH($B9,'Profile Data'!$V$8:$V$27,1)+1,0)</f>
        <v>0.17833333333333332</v>
      </c>
      <c r="J10" s="1010">
        <f ca="1">INDEX('Profile Data'!AC$8:AC$27,MATCH($B9,'Profile Data'!$V$8:$V$27,1)+1,0)/J4</f>
        <v>0.5925503632954412</v>
      </c>
      <c r="K10" s="1010">
        <f ca="1">INDEX('Profile Data'!AD$8:AD$27,MATCH($B9,'Profile Data'!$V$8:$V$27,1)+1,0)</f>
        <v>0.21033333333333334</v>
      </c>
      <c r="L10" s="1010">
        <f ca="1">INDEX('Profile Data'!AE$8:AE$27,MATCH($B9,'Profile Data'!$V$8:$V$27,1)+1,0)/L4</f>
        <v>0.56538012251069525</v>
      </c>
      <c r="M10" s="1010">
        <f ca="1">INDEX('Profile Data'!AF$8:AF$27,MATCH($B9,'Profile Data'!$V$8:$V$27,1)+1,0)</f>
        <v>0.23524999999999999</v>
      </c>
      <c r="N10" s="1010">
        <f ca="1">INDEX('Profile Data'!AG$8:AG$27,MATCH($B9,'Profile Data'!$V$8:$V$27,1)+1,0)/N4</f>
        <v>0.53271604938271611</v>
      </c>
      <c r="O10" s="1010">
        <f ca="1">INDEX('Profile Data'!AH$8:AH$27,MATCH($B9,'Profile Data'!$V$8:$V$27,1)+1,0)</f>
        <v>0.254</v>
      </c>
      <c r="P10" s="1010" t="e">
        <f ca="1">INDEX('Profile Data'!AI$8:AI$27,MATCH($B9,'Profile Data'!$V$8:$V$27,1)+1,0)/P4</f>
        <v>#REF!</v>
      </c>
      <c r="Q10" s="1010" t="e">
        <f ca="1">INDEX('Profile Data'!AJ$8:AJ$27,MATCH($B9,'Profile Data'!$V$8:$V$27,1)+1,0)</f>
        <v>#REF!</v>
      </c>
      <c r="R10" s="1010" t="e">
        <f ca="1">INDEX('Profile Data'!AK$8:AK$27,MATCH($B9,'Profile Data'!$V$8:$V$27,1)+1,0)/R4</f>
        <v>#REF!</v>
      </c>
      <c r="S10" s="1010" t="e">
        <f ca="1">INDEX('Profile Data'!AL$8:AL$27,MATCH($B9,'Profile Data'!$V$8:$V$27,1)+1,0)</f>
        <v>#REF!</v>
      </c>
      <c r="T10" s="1010" t="e">
        <f ca="1">INDEX('Profile Data'!AM$8:AM$27,MATCH($B9,'Profile Data'!$V$8:$V$27,1)+1,0)/T4</f>
        <v>#REF!</v>
      </c>
      <c r="U10" s="1010" t="e">
        <f ca="1">INDEX('Profile Data'!AN$8:AN$27,MATCH($B9,'Profile Data'!$V$8:$V$27,1)+1,0)</f>
        <v>#REF!</v>
      </c>
      <c r="V10" s="1010" t="e">
        <f ca="1">INDEX('Profile Data'!AO$8:AO$27,MATCH($B9,'Profile Data'!$V$8:$V$27,1)+1,0)/V4</f>
        <v>#REF!</v>
      </c>
      <c r="W10" s="1010" t="e">
        <f ca="1">INDEX('Profile Data'!AP$8:AP$27,MATCH($B9,'Profile Data'!$V$8:$V$27,1)+1,0)</f>
        <v>#REF!</v>
      </c>
      <c r="X10" s="1010" t="e">
        <f ca="1">INDEX('Profile Data'!AQ$8:AQ$27,MATCH($B9,'Profile Data'!$V$8:$V$27,1)+1,0)/X4</f>
        <v>#REF!</v>
      </c>
      <c r="Y10" s="1010" t="e">
        <f ca="1">INDEX('Profile Data'!AR$8:AR$27,MATCH($B9,'Profile Data'!$V$8:$V$27,1)+1,0)</f>
        <v>#REF!</v>
      </c>
      <c r="Z10" s="1010" t="e">
        <f ca="1">INDEX('Profile Data'!AS$8:AS$27,MATCH($B9,'Profile Data'!$V$8:$V$27,1)+1,0)/Z4</f>
        <v>#REF!</v>
      </c>
      <c r="AA10" s="1010" t="e">
        <f ca="1">INDEX('Profile Data'!AT$8:AT$27,MATCH($B9,'Profile Data'!$V$8:$V$27,1)+1,0)</f>
        <v>#REF!</v>
      </c>
      <c r="AB10" s="1010" t="e">
        <f ca="1">INDEX('Profile Data'!AU$8:AU$27,MATCH($B9,'Profile Data'!$V$8:$V$27,1)+1,0)/AB4</f>
        <v>#REF!</v>
      </c>
      <c r="AC10" s="1010" t="e">
        <f ca="1">INDEX('Profile Data'!AV$8:AV$27,MATCH($B9,'Profile Data'!$V$8:$V$27,1)+1,0)</f>
        <v>#REF!</v>
      </c>
      <c r="AD10" s="1010" t="e">
        <f ca="1">INDEX('Profile Data'!AW$8:AW$27,MATCH($B9,'Profile Data'!$V$8:$V$27,1)+1,0)/AD4</f>
        <v>#REF!</v>
      </c>
      <c r="AE10" s="1010" t="e">
        <f ca="1">INDEX('Profile Data'!AX$8:AX$27,MATCH($B9,'Profile Data'!$V$8:$V$27,1)+1,0)</f>
        <v>#REF!</v>
      </c>
      <c r="AF10" s="1010" t="e">
        <f ca="1">INDEX('Profile Data'!AY$8:AY$27,MATCH($B9,'Profile Data'!$V$8:$V$27,1)+1,0)/AF4</f>
        <v>#REF!</v>
      </c>
      <c r="AG10" s="1010" t="e">
        <f ca="1">INDEX('Profile Data'!AZ$8:AZ$27,MATCH($B9,'Profile Data'!$V$8:$V$27,1)+1,0)</f>
        <v>#REF!</v>
      </c>
      <c r="AH10" s="1014">
        <f>B9</f>
        <v>5.3444774999999991</v>
      </c>
      <c r="AI10" s="1011">
        <f ca="1">IF($B9&lt;2,($B9/3)^AI9*'Profile Data'!W9/D4,TREND(D9:D10,$C9:$C10,'PLW Factors'!$B9))</f>
        <v>0.77654426354915318</v>
      </c>
      <c r="AJ10" s="1011">
        <f ca="1">IF($B9&lt;2,($B9/3)^AJ9*'Profile Data'!X9,TREND(E9:E10,$C9:$C10,'PLW Factors'!$B9))</f>
        <v>0.11881189104166667</v>
      </c>
      <c r="AK10" s="1011">
        <f ca="1">IF($B9&lt;2,($B9/3)^AK9*'Profile Data'!Y9/F4,TREND(F9:F10,$C9:$C10,'PLW Factors'!$B9))</f>
        <v>0.71461902635531138</v>
      </c>
      <c r="AL10" s="1011">
        <f ca="1">IF($B9&lt;2,($B9/3)^AL9*'Profile Data'!Z9,TREND(G9:G10,$C9:$C10,'PLW Factors'!$B9))</f>
        <v>0.14094985125000001</v>
      </c>
      <c r="AM10" s="1011">
        <f ca="1">IF($B9&lt;2,($B9/3)^AM9*'Profile Data'!AA9/H4,TREND(H9:H10,$C9:$C10,'PLW Factors'!$B9))</f>
        <v>0.63946974521898414</v>
      </c>
      <c r="AN10" s="1011">
        <f ca="1">IF($B9&lt;2,($B9/3)^AN9*'Profile Data'!AB9,TREND(I9:I10,$C9:$C10,'PLW Factors'!$B9))</f>
        <v>0.18281273708333329</v>
      </c>
      <c r="AO10" s="1011">
        <f ca="1">IF($B9&lt;2,($B9/3)^AO9*'Profile Data'!AC9/J4,TREND(J9:J10,$C9:$C10,'PLW Factors'!$B9))</f>
        <v>0.57562249149895994</v>
      </c>
      <c r="AP10" s="1011">
        <f ca="1">IF($B9&lt;2,($B9/3)^AP9*'Profile Data'!AD9,TREND(K9:K10,$C9:$C10,'PLW Factors'!$B9))</f>
        <v>0.21557751333333336</v>
      </c>
      <c r="AQ10" s="1011">
        <f ca="1">IF($B9&lt;2,($B9/3)^AQ9*'Profile Data'!AE9/L4,TREND(L9:L10,$C9:$C10,'PLW Factors'!$B9))</f>
        <v>0.54923171774642154</v>
      </c>
      <c r="AR10" s="1011">
        <f ca="1">IF($B9&lt;2,($B9/3)^AR9*'Profile Data'!AF9,TREND(M9:M10,$C9:$C10,'PLW Factors'!$B9))</f>
        <v>0.23903758134702763</v>
      </c>
      <c r="AS10" s="1011">
        <f ca="1">IF($B9&lt;2,($B9/3)^AS9*'Profile Data'!AG9/N4,TREND(N9:N10,$C9:$C10,'PLW Factors'!$B9))</f>
        <v>0.51025833410493826</v>
      </c>
      <c r="AT10" s="1011">
        <f ca="1">IF($B9&lt;2,($B9/3)^AT9*'Profile Data'!AH9,TREND(O9:O10,$C9:$C10,'PLW Factors'!$B9))</f>
        <v>0.25694985125000003</v>
      </c>
      <c r="AU10" s="1011" t="e">
        <f ca="1">IF($B9&lt;2,($B9/3)^AU9*'Profile Data'!AI9/P4,TREND(P9:P10,$C9:$C10,'PLW Factors'!$B9))</f>
        <v>#VALUE!</v>
      </c>
      <c r="AV10" s="1011" t="e">
        <f ca="1">IF($B9&lt;2,($B9/3)^AV9*'Profile Data'!AJ9,TREND(Q9:Q10,$C9:$C10,'PLW Factors'!$B9))</f>
        <v>#VALUE!</v>
      </c>
      <c r="AW10" s="1011" t="e">
        <f ca="1">IF($B9&lt;2,($B9/3)^AW9*'Profile Data'!AK9/R4,TREND(R9:R10,$C9:$C10,'PLW Factors'!$B9))</f>
        <v>#VALUE!</v>
      </c>
      <c r="AX10" s="1011" t="e">
        <f ca="1">IF($B9&lt;2,($B9/3)^AX9*'Profile Data'!AL9,TREND(S9:S10,$C9:$C10,'PLW Factors'!$B9))</f>
        <v>#VALUE!</v>
      </c>
      <c r="AY10" s="1011" t="e">
        <f ca="1">IF($B9&lt;2,($B9/3)^AY9*'Profile Data'!AM9/T4,TREND(T9:T10,$C9:$C10,'PLW Factors'!$B9))</f>
        <v>#VALUE!</v>
      </c>
      <c r="AZ10" s="1011" t="e">
        <f ca="1">IF($B9&lt;2,($B9/3)^AZ9*'Profile Data'!AN9,TREND(U9:U10,$C9:$C10,'PLW Factors'!$B9))</f>
        <v>#VALUE!</v>
      </c>
      <c r="BA10" s="1011" t="e">
        <f ca="1">IF($B9&lt;2,($B9/3)^BA9*'Profile Data'!AO9/V4,TREND(V9:V10,$C9:$C10,'PLW Factors'!$B9))</f>
        <v>#VALUE!</v>
      </c>
      <c r="BB10" s="1011" t="e">
        <f ca="1">IF($B9&lt;2,($B9/3)^BB9*'Profile Data'!AP9,TREND(W9:W10,$C9:$C10,'PLW Factors'!$B9))</f>
        <v>#VALUE!</v>
      </c>
      <c r="BC10" s="1011" t="e">
        <f ca="1">IF($B9&lt;2,($B9/3)^BC9*'Profile Data'!AQ9/X4,TREND(X9:X10,$C9:$C10,'PLW Factors'!$B9))</f>
        <v>#VALUE!</v>
      </c>
      <c r="BD10" s="1011" t="e">
        <f ca="1">IF($B9&lt;2,($B9/3)^BD9*'Profile Data'!AR9,TREND(Y9:Y10,$C9:$C10,'PLW Factors'!$B9))</f>
        <v>#VALUE!</v>
      </c>
      <c r="BE10" s="1011" t="e">
        <f ca="1">IF($B9&lt;2,($B9/3)^BE9*'Profile Data'!AS9/Z4,TREND(Z9:Z10,$C9:$C10,'PLW Factors'!$B9))</f>
        <v>#VALUE!</v>
      </c>
      <c r="BF10" s="1011" t="e">
        <f ca="1">IF($B9&lt;2,($B9/3)^BF9*'Profile Data'!AT9,TREND(AA9:AA10,$C9:$C10,'PLW Factors'!$B9))</f>
        <v>#VALUE!</v>
      </c>
      <c r="BG10" s="1011" t="e">
        <f ca="1">IF($B9&lt;2,($B9/3)^BG9*'Profile Data'!AU9/AB4,TREND(AB9:AB10,$C9:$C10,'PLW Factors'!$B9))</f>
        <v>#VALUE!</v>
      </c>
      <c r="BH10" s="1011" t="e">
        <f ca="1">IF($B9&lt;2,($B9/3)^BH9*'Profile Data'!AV9,TREND(AC9:AC10,$C9:$C10,'PLW Factors'!$B9))</f>
        <v>#VALUE!</v>
      </c>
      <c r="BI10" s="1011" t="e">
        <f ca="1">IF($B9&lt;2,($B9/3)^BI9*'Profile Data'!AW9/AD4,TREND(AD9:AD10,$C9:$C10,'PLW Factors'!$B9))</f>
        <v>#VALUE!</v>
      </c>
      <c r="BJ10" s="1011" t="e">
        <f ca="1">IF($B9&lt;2,($B9/3)^BJ9*'Profile Data'!AX9,TREND(AE9:AE10,$C9:$C10,'PLW Factors'!$B9))</f>
        <v>#VALUE!</v>
      </c>
      <c r="BK10" s="1011" t="e">
        <f ca="1">IF($B9&lt;2,($B9/3)^BK9*'Profile Data'!AY9/AF4,TREND(AF9:AF10,$C9:$C10,'PLW Factors'!$B9))</f>
        <v>#VALUE!</v>
      </c>
      <c r="BL10" s="1011" t="e">
        <f ca="1">IF($B9&lt;2,($B9/3)^BL9*'Profile Data'!AZ9,TREND(AG9:AG10,$C9:$C10,'PLW Factors'!$B9))</f>
        <v>#VALUE!</v>
      </c>
    </row>
    <row r="11" spans="1:64" x14ac:dyDescent="0.2">
      <c r="A11" s="1003" t="str">
        <f>'Target Site'!A24</f>
        <v>90.5</v>
      </c>
      <c r="B11" s="1009">
        <f>A11/RWDI_FACTORS!$D$7*39.37</f>
        <v>8.9074624999999994</v>
      </c>
      <c r="C11" s="1009">
        <f>INDEX('Profile Data'!V$8:V$27,MATCH($B11,'Profile Data'!$V$8:$V$27,1),0)</f>
        <v>8</v>
      </c>
      <c r="D11" s="1010">
        <f ca="1">INDEX('Profile Data'!W$8:W$27,MATCH($B11,'Profile Data'!$V$8:$V$27,1),0)/D4</f>
        <v>0.81767873006152181</v>
      </c>
      <c r="E11" s="1010">
        <f ca="1">INDEX('Profile Data'!X$8:X$27,MATCH($B11,'Profile Data'!$V$8:$V$27,1),0)</f>
        <v>0.10833333333333334</v>
      </c>
      <c r="F11" s="1010">
        <f ca="1">INDEX('Profile Data'!Y$8:Y$27,MATCH($B11,'Profile Data'!$V$8:$V$27,1),0)/F4</f>
        <v>0.7496520146520147</v>
      </c>
      <c r="G11" s="1010">
        <f ca="1">INDEX('Profile Data'!Z$8:Z$27,MATCH($B11,'Profile Data'!$V$8:$V$27,1),0)</f>
        <v>0.13100000000000001</v>
      </c>
      <c r="H11" s="1010">
        <f ca="1">INDEX('Profile Data'!AA$8:AA$27,MATCH($B11,'Profile Data'!$V$8:$V$27,1),0)/H4</f>
        <v>0.69641358794970554</v>
      </c>
      <c r="I11" s="1010">
        <f ca="1">INDEX('Profile Data'!AB$8:AB$27,MATCH($B11,'Profile Data'!$V$8:$V$27,1),0)</f>
        <v>0.16766666666666666</v>
      </c>
      <c r="J11" s="1010">
        <f ca="1">INDEX('Profile Data'!AC$8:AC$27,MATCH($B11,'Profile Data'!$V$8:$V$27,1),0)/J4</f>
        <v>0.63649658678073362</v>
      </c>
      <c r="K11" s="1010">
        <f ca="1">INDEX('Profile Data'!AD$8:AD$27,MATCH($B11,'Profile Data'!$V$8:$V$27,1),0)</f>
        <v>0.19816666666666669</v>
      </c>
      <c r="L11" s="1010">
        <f ca="1">INDEX('Profile Data'!AE$8:AE$27,MATCH($B11,'Profile Data'!$V$8:$V$27,1),0)/L4</f>
        <v>0.61395438245681055</v>
      </c>
      <c r="M11" s="1010">
        <f ca="1">INDEX('Profile Data'!AF$8:AF$27,MATCH($B11,'Profile Data'!$V$8:$V$27,1),0)</f>
        <v>0.22550000000000001</v>
      </c>
      <c r="N11" s="1010">
        <f ca="1">INDEX('Profile Data'!AG$8:AG$27,MATCH($B11,'Profile Data'!$V$8:$V$27,1),0)/N4</f>
        <v>0.56954732510288064</v>
      </c>
      <c r="O11" s="1010">
        <f ca="1">INDEX('Profile Data'!AH$8:AH$27,MATCH($B11,'Profile Data'!$V$8:$V$27,1),0)</f>
        <v>0.247</v>
      </c>
      <c r="P11" s="1010" t="e">
        <f ca="1">INDEX('Profile Data'!AI$8:AI$27,MATCH($B11,'Profile Data'!$V$8:$V$27,1),0)/P4</f>
        <v>#REF!</v>
      </c>
      <c r="Q11" s="1010" t="e">
        <f ca="1">INDEX('Profile Data'!AJ$8:AJ$27,MATCH($B11,'Profile Data'!$V$8:$V$27,1),0)</f>
        <v>#REF!</v>
      </c>
      <c r="R11" s="1010" t="e">
        <f ca="1">INDEX('Profile Data'!AK$8:AK$27,MATCH($B11,'Profile Data'!$V$8:$V$27,1),0)/R4</f>
        <v>#REF!</v>
      </c>
      <c r="S11" s="1010" t="e">
        <f ca="1">INDEX('Profile Data'!AL$8:AL$27,MATCH($B11,'Profile Data'!$V$8:$V$27,1),0)</f>
        <v>#REF!</v>
      </c>
      <c r="T11" s="1010" t="e">
        <f ca="1">INDEX('Profile Data'!AM$8:AM$27,MATCH($B11,'Profile Data'!$V$8:$V$27,1),0)/T4</f>
        <v>#REF!</v>
      </c>
      <c r="U11" s="1010" t="e">
        <f ca="1">INDEX('Profile Data'!AN$8:AN$27,MATCH($B11,'Profile Data'!$V$8:$V$27,1),0)</f>
        <v>#REF!</v>
      </c>
      <c r="V11" s="1010" t="e">
        <f ca="1">INDEX('Profile Data'!AO$8:AO$27,MATCH($B11,'Profile Data'!$V$8:$V$27,1),0)/V4</f>
        <v>#REF!</v>
      </c>
      <c r="W11" s="1010" t="e">
        <f ca="1">INDEX('Profile Data'!AP$8:AP$27,MATCH($B11,'Profile Data'!$V$8:$V$27,1),0)</f>
        <v>#REF!</v>
      </c>
      <c r="X11" s="1010" t="e">
        <f ca="1">INDEX('Profile Data'!AQ$8:AQ$27,MATCH($B11,'Profile Data'!$V$8:$V$27,1),0)/X4</f>
        <v>#REF!</v>
      </c>
      <c r="Y11" s="1010" t="e">
        <f ca="1">INDEX('Profile Data'!AR$8:AR$27,MATCH($B11,'Profile Data'!$V$8:$V$27,1),0)</f>
        <v>#REF!</v>
      </c>
      <c r="Z11" s="1010" t="e">
        <f ca="1">INDEX('Profile Data'!AS$8:AS$27,MATCH($B11,'Profile Data'!$V$8:$V$27,1),0)/Z4</f>
        <v>#REF!</v>
      </c>
      <c r="AA11" s="1010" t="e">
        <f ca="1">INDEX('Profile Data'!AT$8:AT$27,MATCH($B11,'Profile Data'!$V$8:$V$27,1),0)</f>
        <v>#REF!</v>
      </c>
      <c r="AB11" s="1010" t="e">
        <f ca="1">INDEX('Profile Data'!AU$8:AU$27,MATCH($B11,'Profile Data'!$V$8:$V$27,1),0)/AB4</f>
        <v>#REF!</v>
      </c>
      <c r="AC11" s="1010" t="e">
        <f ca="1">INDEX('Profile Data'!AV$8:AV$27,MATCH($B11,'Profile Data'!$V$8:$V$27,1),0)</f>
        <v>#REF!</v>
      </c>
      <c r="AD11" s="1010" t="e">
        <f ca="1">INDEX('Profile Data'!AW$8:AW$27,MATCH($B11,'Profile Data'!$V$8:$V$27,1),0)/AD4</f>
        <v>#REF!</v>
      </c>
      <c r="AE11" s="1010" t="e">
        <f ca="1">INDEX('Profile Data'!AX$8:AX$27,MATCH($B11,'Profile Data'!$V$8:$V$27,1),0)</f>
        <v>#REF!</v>
      </c>
      <c r="AF11" s="1010" t="e">
        <f ca="1">INDEX('Profile Data'!AY$8:AY$27,MATCH($B11,'Profile Data'!$V$8:$V$27,1),0)/AF4</f>
        <v>#REF!</v>
      </c>
      <c r="AG11" s="1010" t="e">
        <f ca="1">INDEX('Profile Data'!AZ$8:AZ$27,MATCH($B11,'Profile Data'!$V$8:$V$27,1),0)</f>
        <v>#REF!</v>
      </c>
      <c r="AH11" s="1014">
        <f>B11</f>
        <v>8.9074624999999994</v>
      </c>
      <c r="AI11" s="1011">
        <f ca="1">IF($B11&lt;2,($B11/3)^AI9*'Profile Data'!W9/D4,TREND(D11:D12,$C11:$C12,'PLW Factors'!$B11))</f>
        <v>0.82760184452838015</v>
      </c>
      <c r="AJ11" s="1011">
        <f ca="1">IF($B11&lt;2,($B11/3)^AJ9*'Profile Data'!X9,TREND(E11:E12,$C11:$C12,'PLW Factors'!$B11))</f>
        <v>0.10496059770833333</v>
      </c>
      <c r="AK11" s="1011">
        <f ca="1">IF($B11&lt;2,($B11/3)^AK9*'Profile Data'!Y9/F4,TREND(F11:F12,$C11:$C12,'PLW Factors'!$B11))</f>
        <v>0.76526647219220623</v>
      </c>
      <c r="AL11" s="1011">
        <f ca="1">IF($B11&lt;2,($B11/3)^AL9*'Profile Data'!Z9,TREND(G11:G12,$C11:$C12,'PLW Factors'!$B11))</f>
        <v>0.12782388124999999</v>
      </c>
      <c r="AM11" s="1011">
        <f ca="1">IF($B11&lt;2,($B11/3)^AM9*'Profile Data'!AA9/H4,TREND(H11:H12,$C11:$C12,'PLW Factors'!$B11))</f>
        <v>0.70789331837038327</v>
      </c>
      <c r="AN11" s="1011">
        <f ca="1">IF($B11&lt;2,($B11/3)^AN9*'Profile Data'!AB9,TREND(I11:I12,$C11:$C12,'PLW Factors'!$B11))</f>
        <v>0.16411243854166668</v>
      </c>
      <c r="AO11" s="1011">
        <f ca="1">IF($B11&lt;2,($B11/3)^AO9*'Profile Data'!AC9/J4,TREND(J11:J12,$C11:$C12,'PLW Factors'!$B11))</f>
        <v>0.64846045172959021</v>
      </c>
      <c r="AP11" s="1011">
        <f ca="1">IF($B11&lt;2,($B11/3)^AP9*'Profile Data'!AD9,TREND(K11:K12,$C11:$C12,'PLW Factors'!$B11))</f>
        <v>0.19294875729166669</v>
      </c>
      <c r="AQ11" s="1011">
        <f ca="1">IF($B11&lt;2,($B11/3)^AQ9*'Profile Data'!AE9/L4,TREND(L11:L12,$C11:$C12,'PLW Factors'!$B11))</f>
        <v>0.62481664414190097</v>
      </c>
      <c r="AR11" s="1011">
        <f ca="1">IF($B11&lt;2,($B11/3)^AR9*'Profile Data'!AF9,TREND(M11:M12,$C11:$C12,'PLW Factors'!$B11))</f>
        <v>0.22028209062499998</v>
      </c>
      <c r="AS11" s="1011">
        <f ca="1">IF($B11&lt;2,($B11/3)^AS9*'Profile Data'!AG9/N4,TREND(N11:N12,$C11:$C12,'PLW Factors'!$B11))</f>
        <v>0.5874725102880658</v>
      </c>
      <c r="AT11" s="1011">
        <f ca="1">IF($B11&lt;2,($B11/3)^AT9*'Profile Data'!AH9,TREND(O11:O12,$C11:$C12,'PLW Factors'!$B11))</f>
        <v>0.24155522499999996</v>
      </c>
      <c r="AU11" s="1011" t="e">
        <f ca="1">IF($B11&lt;2,($B11/3)^AU9*'Profile Data'!AI9/P4,TREND(P11:P12,$C11:$C12,'PLW Factors'!$B11))</f>
        <v>#VALUE!</v>
      </c>
      <c r="AV11" s="1011" t="e">
        <f ca="1">IF($B11&lt;2,($B11/3)^AV9*'Profile Data'!AJ9,TREND(Q11:Q12,$C11:$C12,'PLW Factors'!$B11))</f>
        <v>#VALUE!</v>
      </c>
      <c r="AW11" s="1011" t="e">
        <f ca="1">IF($B11&lt;2,($B11/3)^AW9*'Profile Data'!AK9/R4,TREND(R11:R12,$C11:$C12,'PLW Factors'!$B11))</f>
        <v>#VALUE!</v>
      </c>
      <c r="AX11" s="1011" t="e">
        <f ca="1">IF($B11&lt;2,($B11/3)^AX9*'Profile Data'!AL9,TREND(S11:S12,$C11:$C12,'PLW Factors'!$B11))</f>
        <v>#VALUE!</v>
      </c>
      <c r="AY11" s="1011" t="e">
        <f ca="1">IF($B11&lt;2,($B11/3)^AY9*'Profile Data'!AM9/T4,TREND(T11:T12,$C11:$C12,'PLW Factors'!$B11))</f>
        <v>#VALUE!</v>
      </c>
      <c r="AZ11" s="1011" t="e">
        <f ca="1">IF($B11&lt;2,($B11/3)^AZ9*'Profile Data'!AN9,TREND(U11:U12,$C11:$C12,'PLW Factors'!$B11))</f>
        <v>#VALUE!</v>
      </c>
      <c r="BA11" s="1011" t="e">
        <f ca="1">IF($B11&lt;2,($B11/3)^BA9*'Profile Data'!AO9/V4,TREND(V11:V12,$C11:$C12,'PLW Factors'!$B11))</f>
        <v>#VALUE!</v>
      </c>
      <c r="BB11" s="1011" t="e">
        <f ca="1">IF($B11&lt;2,($B11/3)^BB9*'Profile Data'!AP9,TREND(W11:W12,$C11:$C12,'PLW Factors'!$B11))</f>
        <v>#VALUE!</v>
      </c>
      <c r="BC11" s="1011" t="e">
        <f ca="1">IF($B11&lt;2,($B11/3)^BC9*'Profile Data'!AQ9/X4,TREND(X11:X12,$C11:$C12,'PLW Factors'!$B11))</f>
        <v>#VALUE!</v>
      </c>
      <c r="BD11" s="1011" t="e">
        <f ca="1">IF($B11&lt;2,($B11/3)^BD9*'Profile Data'!AR9,TREND(Y11:Y12,$C11:$C12,'PLW Factors'!$B11))</f>
        <v>#VALUE!</v>
      </c>
      <c r="BE11" s="1011" t="e">
        <f ca="1">IF($B11&lt;2,($B11/3)^BE9*'Profile Data'!AS9/Z4,TREND(Z11:Z12,$C11:$C12,'PLW Factors'!$B11))</f>
        <v>#VALUE!</v>
      </c>
      <c r="BF11" s="1011" t="e">
        <f ca="1">IF($B11&lt;2,($B11/3)^BF9*'Profile Data'!AT9,TREND(AA11:AA12,$C11:$C12,'PLW Factors'!$B11))</f>
        <v>#VALUE!</v>
      </c>
      <c r="BG11" s="1011" t="e">
        <f ca="1">IF($B11&lt;2,($B11/3)^BG9*'Profile Data'!AU9/AB4,TREND(AB11:AB12,$C11:$C12,'PLW Factors'!$B11))</f>
        <v>#VALUE!</v>
      </c>
      <c r="BH11" s="1011" t="e">
        <f ca="1">IF($B11&lt;2,($B11/3)^BH9*'Profile Data'!AV9,TREND(AC11:AC12,$C11:$C12,'PLW Factors'!$B11))</f>
        <v>#VALUE!</v>
      </c>
      <c r="BI11" s="1011" t="e">
        <f ca="1">IF($B11&lt;2,($B11/3)^BI9*'Profile Data'!AW9/AD4,TREND(AD11:AD12,$C11:$C12,'PLW Factors'!$B11))</f>
        <v>#VALUE!</v>
      </c>
      <c r="BJ11" s="1011" t="e">
        <f ca="1">IF($B11&lt;2,($B11/3)^BJ9*'Profile Data'!AX9,TREND(AE11:AE12,$C11:$C12,'PLW Factors'!$B11))</f>
        <v>#VALUE!</v>
      </c>
      <c r="BK11" s="1011" t="e">
        <f ca="1">IF($B11&lt;2,($B11/3)^BK9*'Profile Data'!AY9/AF4,TREND(AF11:AF12,$C11:$C12,'PLW Factors'!$B11))</f>
        <v>#VALUE!</v>
      </c>
      <c r="BL11" s="1011" t="e">
        <f ca="1">IF($B11&lt;2,($B11/3)^BL9*'Profile Data'!AZ9,TREND(AG11:AG12,$C11:$C12,'PLW Factors'!$B11))</f>
        <v>#VALUE!</v>
      </c>
    </row>
    <row r="12" spans="1:64" x14ac:dyDescent="0.2">
      <c r="A12" s="1003"/>
      <c r="B12" s="1009"/>
      <c r="C12" s="1009">
        <f>INDEX('Profile Data'!V$8:V$27,MATCH($B11,'Profile Data'!$V$8:$V$27,1)+1,0)</f>
        <v>10</v>
      </c>
      <c r="D12" s="1010">
        <f ca="1">INDEX('Profile Data'!W$8:W$27,MATCH($B11,'Profile Data'!$V$8:$V$27,1)+1,0)/D4</f>
        <v>0.83954875657359995</v>
      </c>
      <c r="E12" s="1010">
        <f ca="1">INDEX('Profile Data'!X$8:X$27,MATCH($B11,'Profile Data'!$V$8:$V$27,1)+1,0)</f>
        <v>0.1009</v>
      </c>
      <c r="F12" s="1010">
        <f ca="1">INDEX('Profile Data'!Y$8:Y$27,MATCH($B11,'Profile Data'!$V$8:$V$27,1)+1,0)/F4</f>
        <v>0.7840654643321755</v>
      </c>
      <c r="G12" s="1010">
        <f ca="1">INDEX('Profile Data'!Z$8:Z$27,MATCH($B11,'Profile Data'!$V$8:$V$27,1)+1,0)</f>
        <v>0.124</v>
      </c>
      <c r="H12" s="1010">
        <f ca="1">INDEX('Profile Data'!AA$8:AA$27,MATCH($B11,'Profile Data'!$V$8:$V$27,1)+1,0)/H4</f>
        <v>0.72171431480217096</v>
      </c>
      <c r="I12" s="1010">
        <f ca="1">INDEX('Profile Data'!AB$8:AB$27,MATCH($B11,'Profile Data'!$V$8:$V$27,1)+1,0)</f>
        <v>0.15983333333333336</v>
      </c>
      <c r="J12" s="1010">
        <f ca="1">INDEX('Profile Data'!AC$8:AC$27,MATCH($B11,'Profile Data'!$V$8:$V$27,1)+1,0)/J4</f>
        <v>0.66286432087190905</v>
      </c>
      <c r="K12" s="1010">
        <f ca="1">INDEX('Profile Data'!AD$8:AD$27,MATCH($B11,'Profile Data'!$V$8:$V$27,1)+1,0)</f>
        <v>0.18666666666666668</v>
      </c>
      <c r="L12" s="1010">
        <f ca="1">INDEX('Profile Data'!AE$8:AE$27,MATCH($B11,'Profile Data'!$V$8:$V$27,1)+1,0)/L4</f>
        <v>0.63789424043461218</v>
      </c>
      <c r="M12" s="1010">
        <f ca="1">INDEX('Profile Data'!AF$8:AF$27,MATCH($B11,'Profile Data'!$V$8:$V$27,1)+1,0)</f>
        <v>0.214</v>
      </c>
      <c r="N12" s="1010">
        <f ca="1">INDEX('Profile Data'!AG$8:AG$27,MATCH($B11,'Profile Data'!$V$8:$V$27,1)+1,0)/N4</f>
        <v>0.60905349794238683</v>
      </c>
      <c r="O12" s="1010">
        <f ca="1">INDEX('Profile Data'!AH$8:AH$27,MATCH($B11,'Profile Data'!$V$8:$V$27,1)+1,0)</f>
        <v>0.23499999999999999</v>
      </c>
      <c r="P12" s="1010" t="e">
        <f ca="1">INDEX('Profile Data'!AI$8:AI$27,MATCH($B11,'Profile Data'!$V$8:$V$27,1)+1,0)/P4</f>
        <v>#REF!</v>
      </c>
      <c r="Q12" s="1010" t="e">
        <f ca="1">INDEX('Profile Data'!AJ$8:AJ$27,MATCH($B11,'Profile Data'!$V$8:$V$27,1)+1,0)</f>
        <v>#REF!</v>
      </c>
      <c r="R12" s="1010" t="e">
        <f ca="1">INDEX('Profile Data'!AK$8:AK$27,MATCH($B11,'Profile Data'!$V$8:$V$27,1)+1,0)/R4</f>
        <v>#REF!</v>
      </c>
      <c r="S12" s="1010" t="e">
        <f ca="1">INDEX('Profile Data'!AL$8:AL$27,MATCH($B11,'Profile Data'!$V$8:$V$27,1)+1,0)</f>
        <v>#REF!</v>
      </c>
      <c r="T12" s="1010" t="e">
        <f ca="1">INDEX('Profile Data'!AM$8:AM$27,MATCH($B11,'Profile Data'!$V$8:$V$27,1)+1,0)/T4</f>
        <v>#REF!</v>
      </c>
      <c r="U12" s="1010" t="e">
        <f ca="1">INDEX('Profile Data'!AN$8:AN$27,MATCH($B11,'Profile Data'!$V$8:$V$27,1)+1,0)</f>
        <v>#REF!</v>
      </c>
      <c r="V12" s="1010" t="e">
        <f ca="1">INDEX('Profile Data'!AO$8:AO$27,MATCH($B11,'Profile Data'!$V$8:$V$27,1)+1,0)/V4</f>
        <v>#REF!</v>
      </c>
      <c r="W12" s="1010" t="e">
        <f ca="1">INDEX('Profile Data'!AP$8:AP$27,MATCH($B11,'Profile Data'!$V$8:$V$27,1)+1,0)</f>
        <v>#REF!</v>
      </c>
      <c r="X12" s="1010" t="e">
        <f ca="1">INDEX('Profile Data'!AQ$8:AQ$27,MATCH($B11,'Profile Data'!$V$8:$V$27,1)+1,0)/X4</f>
        <v>#REF!</v>
      </c>
      <c r="Y12" s="1010" t="e">
        <f ca="1">INDEX('Profile Data'!AR$8:AR$27,MATCH($B11,'Profile Data'!$V$8:$V$27,1)+1,0)</f>
        <v>#REF!</v>
      </c>
      <c r="Z12" s="1010" t="e">
        <f ca="1">INDEX('Profile Data'!AS$8:AS$27,MATCH($B11,'Profile Data'!$V$8:$V$27,1)+1,0)/Z4</f>
        <v>#REF!</v>
      </c>
      <c r="AA12" s="1010" t="e">
        <f ca="1">INDEX('Profile Data'!AT$8:AT$27,MATCH($B11,'Profile Data'!$V$8:$V$27,1)+1,0)</f>
        <v>#REF!</v>
      </c>
      <c r="AB12" s="1010" t="e">
        <f ca="1">INDEX('Profile Data'!AU$8:AU$27,MATCH($B11,'Profile Data'!$V$8:$V$27,1)+1,0)/AB4</f>
        <v>#REF!</v>
      </c>
      <c r="AC12" s="1010" t="e">
        <f ca="1">INDEX('Profile Data'!AV$8:AV$27,MATCH($B11,'Profile Data'!$V$8:$V$27,1)+1,0)</f>
        <v>#REF!</v>
      </c>
      <c r="AD12" s="1010" t="e">
        <f ca="1">INDEX('Profile Data'!AW$8:AW$27,MATCH($B11,'Profile Data'!$V$8:$V$27,1)+1,0)/AD4</f>
        <v>#REF!</v>
      </c>
      <c r="AE12" s="1010" t="e">
        <f ca="1">INDEX('Profile Data'!AX$8:AX$27,MATCH($B11,'Profile Data'!$V$8:$V$27,1)+1,0)</f>
        <v>#REF!</v>
      </c>
      <c r="AF12" s="1010" t="e">
        <f ca="1">INDEX('Profile Data'!AY$8:AY$27,MATCH($B11,'Profile Data'!$V$8:$V$27,1)+1,0)/AF4</f>
        <v>#REF!</v>
      </c>
      <c r="AG12" s="1010" t="e">
        <f ca="1">INDEX('Profile Data'!AZ$8:AZ$27,MATCH($B11,'Profile Data'!$V$8:$V$27,1)+1,0)</f>
        <v>#REF!</v>
      </c>
      <c r="AH12" s="1014">
        <f>B13</f>
        <v>11.8798975</v>
      </c>
      <c r="AI12" s="1011">
        <f ca="1">TREND(D13:D14,$C13:$C14,'PLW Factors'!$B13)</f>
        <v>0.85535618304252159</v>
      </c>
      <c r="AJ12" s="1011">
        <f ca="1">TREND(E13:E14,$C13:$C14,'PLW Factors'!$B13)</f>
        <v>9.573028187499999E-2</v>
      </c>
      <c r="AK12" s="1011">
        <f ca="1">TREND(F13:F14,$C13:$C14,'PLW Factors'!$B13)</f>
        <v>0.79891819236726136</v>
      </c>
      <c r="AL12" s="1011">
        <f ca="1">TREND(G13:G14,$C13:$C14,'PLW Factors'!$B13)</f>
        <v>0.119770230625</v>
      </c>
      <c r="AM12" s="1011">
        <f ca="1">TREND(H13:H14,$C13:$C14,'PLW Factors'!$B13)</f>
        <v>0.74549570138123722</v>
      </c>
      <c r="AN12" s="1011">
        <f ca="1">TREND(I13:I14,$C13:$C14,'PLW Factors'!$B13)</f>
        <v>0.15247040145833335</v>
      </c>
      <c r="AO12" s="1011">
        <f ca="1">TREND(J13:J14,$C13:$C14,'PLW Factors'!$B13)</f>
        <v>0.68290005604894222</v>
      </c>
      <c r="AP12" s="1011">
        <f ca="1">TREND(K13:K14,$C13:$C14,'PLW Factors'!$B13)</f>
        <v>0.18029590291666664</v>
      </c>
      <c r="AQ12" s="1011">
        <f ca="1">TREND(L13:L14,$C13:$C14,'PLW Factors'!$B13)</f>
        <v>0.66213540665125914</v>
      </c>
      <c r="AR12" s="1011">
        <f ca="1">TREND(M13:M14,$C13:$C14,'PLW Factors'!$B13)</f>
        <v>0.20671539718749998</v>
      </c>
      <c r="AS12" s="1011">
        <f ca="1">TREND(N13:N14,$C13:$C14,'PLW Factors'!$B13)</f>
        <v>0.63277785596707825</v>
      </c>
      <c r="AT12" s="1011">
        <f ca="1">TREND(O13:O14,$C13:$C14,'PLW Factors'!$B13)</f>
        <v>0.22748040999999997</v>
      </c>
      <c r="AU12" s="1011" t="e">
        <f ca="1">TREND(P13:P14,$C13:$C14,'PLW Factors'!$B13)</f>
        <v>#VALUE!</v>
      </c>
      <c r="AV12" s="1011" t="e">
        <f ca="1">TREND(Q13:Q14,$C13:$C14,'PLW Factors'!$B13)</f>
        <v>#VALUE!</v>
      </c>
      <c r="AW12" s="1011" t="e">
        <f ca="1">TREND(R13:R14,$C13:$C14,'PLW Factors'!$B13)</f>
        <v>#VALUE!</v>
      </c>
      <c r="AX12" s="1011" t="e">
        <f ca="1">TREND(S13:S14,$C13:$C14,'PLW Factors'!$B13)</f>
        <v>#VALUE!</v>
      </c>
      <c r="AY12" s="1011" t="e">
        <f ca="1">TREND(T13:T14,$C13:$C14,'PLW Factors'!$B13)</f>
        <v>#VALUE!</v>
      </c>
      <c r="AZ12" s="1011" t="e">
        <f ca="1">TREND(U13:U14,$C13:$C14,'PLW Factors'!$B13)</f>
        <v>#VALUE!</v>
      </c>
      <c r="BA12" s="1011" t="e">
        <f ca="1">TREND(V13:V14,$C13:$C14,'PLW Factors'!$B13)</f>
        <v>#VALUE!</v>
      </c>
      <c r="BB12" s="1011" t="e">
        <f ca="1">TREND(W13:W14,$C13:$C14,'PLW Factors'!$B13)</f>
        <v>#VALUE!</v>
      </c>
      <c r="BC12" s="1011" t="e">
        <f ca="1">TREND(X13:X14,$C13:$C14,'PLW Factors'!$B13)</f>
        <v>#VALUE!</v>
      </c>
      <c r="BD12" s="1011" t="e">
        <f ca="1">TREND(Y13:Y14,$C13:$C14,'PLW Factors'!$B13)</f>
        <v>#VALUE!</v>
      </c>
      <c r="BE12" s="1011" t="e">
        <f ca="1">TREND(Z13:Z14,$C13:$C14,'PLW Factors'!$B13)</f>
        <v>#VALUE!</v>
      </c>
      <c r="BF12" s="1011" t="e">
        <f ca="1">TREND(AA13:AA14,$C13:$C14,'PLW Factors'!$B13)</f>
        <v>#VALUE!</v>
      </c>
      <c r="BG12" s="1011" t="e">
        <f ca="1">TREND(AB13:AB14,$C13:$C14,'PLW Factors'!$B13)</f>
        <v>#VALUE!</v>
      </c>
      <c r="BH12" s="1011" t="e">
        <f ca="1">TREND(AC13:AC14,$C13:$C14,'PLW Factors'!$B13)</f>
        <v>#VALUE!</v>
      </c>
      <c r="BI12" s="1011" t="e">
        <f ca="1">TREND(AD13:AD14,$C13:$C14,'PLW Factors'!$B13)</f>
        <v>#VALUE!</v>
      </c>
      <c r="BJ12" s="1011" t="e">
        <f ca="1">TREND(AE13:AE14,$C13:$C14,'PLW Factors'!$B13)</f>
        <v>#VALUE!</v>
      </c>
      <c r="BK12" s="1011" t="e">
        <f ca="1">TREND(AF13:AF14,$C13:$C14,'PLW Factors'!$B13)</f>
        <v>#VALUE!</v>
      </c>
      <c r="BL12" s="1011" t="e">
        <f ca="1">TREND(AG13:AG14,$C13:$C14,'PLW Factors'!$B13)</f>
        <v>#VALUE!</v>
      </c>
    </row>
    <row r="13" spans="1:64" x14ac:dyDescent="0.2">
      <c r="A13" s="1003" t="str">
        <f>'Target Site'!A25</f>
        <v>120.7</v>
      </c>
      <c r="B13" s="1009">
        <f>A13/RWDI_FACTORS!$D$7*39.37</f>
        <v>11.8798975</v>
      </c>
      <c r="C13" s="1009">
        <f>INDEX('Profile Data'!V$8:V$27,MATCH($B13,'Profile Data'!$V$8:$V$27,1),0)</f>
        <v>10</v>
      </c>
      <c r="D13" s="1010">
        <f ca="1">INDEX('Profile Data'!W$8:W$27,MATCH($B13,'Profile Data'!$V$8:$V$27,1),0)/D4</f>
        <v>0.83954875657359995</v>
      </c>
      <c r="E13" s="1010">
        <f ca="1">INDEX('Profile Data'!X$8:X$27,MATCH($B13,'Profile Data'!$V$8:$V$27,1),0)</f>
        <v>0.1009</v>
      </c>
      <c r="F13" s="1010">
        <f ca="1">INDEX('Profile Data'!Y$8:Y$27,MATCH($B13,'Profile Data'!$V$8:$V$27,1),0)/F4</f>
        <v>0.7840654643321755</v>
      </c>
      <c r="G13" s="1010">
        <f ca="1">INDEX('Profile Data'!Z$8:Z$27,MATCH($B13,'Profile Data'!$V$8:$V$27,1),0)</f>
        <v>0.124</v>
      </c>
      <c r="H13" s="1010">
        <f ca="1">INDEX('Profile Data'!AA$8:AA$27,MATCH($B13,'Profile Data'!$V$8:$V$27,1),0)/H4</f>
        <v>0.72171431480217096</v>
      </c>
      <c r="I13" s="1010">
        <f ca="1">INDEX('Profile Data'!AB$8:AB$27,MATCH($B13,'Profile Data'!$V$8:$V$27,1),0)</f>
        <v>0.15983333333333336</v>
      </c>
      <c r="J13" s="1010">
        <f ca="1">INDEX('Profile Data'!AC$8:AC$27,MATCH($B13,'Profile Data'!$V$8:$V$27,1),0)/J4</f>
        <v>0.66286432087190905</v>
      </c>
      <c r="K13" s="1010">
        <f ca="1">INDEX('Profile Data'!AD$8:AD$27,MATCH($B13,'Profile Data'!$V$8:$V$27,1),0)</f>
        <v>0.18666666666666668</v>
      </c>
      <c r="L13" s="1010">
        <f ca="1">INDEX('Profile Data'!AE$8:AE$27,MATCH($B13,'Profile Data'!$V$8:$V$27,1),0)/L4</f>
        <v>0.63789424043461218</v>
      </c>
      <c r="M13" s="1010">
        <f ca="1">INDEX('Profile Data'!AF$8:AF$27,MATCH($B13,'Profile Data'!$V$8:$V$27,1),0)</f>
        <v>0.214</v>
      </c>
      <c r="N13" s="1010">
        <f ca="1">INDEX('Profile Data'!AG$8:AG$27,MATCH($B13,'Profile Data'!$V$8:$V$27,1),0)/N4</f>
        <v>0.60905349794238683</v>
      </c>
      <c r="O13" s="1010">
        <f ca="1">INDEX('Profile Data'!AH$8:AH$27,MATCH($B13,'Profile Data'!$V$8:$V$27,1),0)</f>
        <v>0.23499999999999999</v>
      </c>
      <c r="P13" s="1010" t="e">
        <f ca="1">INDEX('Profile Data'!AI$8:AI$27,MATCH($B13,'Profile Data'!$V$8:$V$27,1),0)/P4</f>
        <v>#REF!</v>
      </c>
      <c r="Q13" s="1010" t="e">
        <f ca="1">INDEX('Profile Data'!AJ$8:AJ$27,MATCH($B13,'Profile Data'!$V$8:$V$27,1),0)</f>
        <v>#REF!</v>
      </c>
      <c r="R13" s="1010" t="e">
        <f ca="1">INDEX('Profile Data'!AK$8:AK$27,MATCH($B13,'Profile Data'!$V$8:$V$27,1),0)/R4</f>
        <v>#REF!</v>
      </c>
      <c r="S13" s="1010" t="e">
        <f ca="1">INDEX('Profile Data'!AL$8:AL$27,MATCH($B13,'Profile Data'!$V$8:$V$27,1),0)</f>
        <v>#REF!</v>
      </c>
      <c r="T13" s="1010" t="e">
        <f ca="1">INDEX('Profile Data'!AM$8:AM$27,MATCH($B13,'Profile Data'!$V$8:$V$27,1),0)/T4</f>
        <v>#REF!</v>
      </c>
      <c r="U13" s="1010" t="e">
        <f ca="1">INDEX('Profile Data'!AN$8:AN$27,MATCH($B13,'Profile Data'!$V$8:$V$27,1),0)</f>
        <v>#REF!</v>
      </c>
      <c r="V13" s="1010" t="e">
        <f ca="1">INDEX('Profile Data'!AO$8:AO$27,MATCH($B13,'Profile Data'!$V$8:$V$27,1),0)/V4</f>
        <v>#REF!</v>
      </c>
      <c r="W13" s="1010" t="e">
        <f ca="1">INDEX('Profile Data'!AP$8:AP$27,MATCH($B13,'Profile Data'!$V$8:$V$27,1),0)</f>
        <v>#REF!</v>
      </c>
      <c r="X13" s="1010" t="e">
        <f ca="1">INDEX('Profile Data'!AQ$8:AQ$27,MATCH($B13,'Profile Data'!$V$8:$V$27,1),0)/X4</f>
        <v>#REF!</v>
      </c>
      <c r="Y13" s="1010" t="e">
        <f ca="1">INDEX('Profile Data'!AR$8:AR$27,MATCH($B13,'Profile Data'!$V$8:$V$27,1),0)</f>
        <v>#REF!</v>
      </c>
      <c r="Z13" s="1010" t="e">
        <f ca="1">INDEX('Profile Data'!AS$8:AS$27,MATCH($B13,'Profile Data'!$V$8:$V$27,1),0)/Z4</f>
        <v>#REF!</v>
      </c>
      <c r="AA13" s="1010" t="e">
        <f ca="1">INDEX('Profile Data'!AT$8:AT$27,MATCH($B13,'Profile Data'!$V$8:$V$27,1),0)</f>
        <v>#REF!</v>
      </c>
      <c r="AB13" s="1010" t="e">
        <f ca="1">INDEX('Profile Data'!AU$8:AU$27,MATCH($B13,'Profile Data'!$V$8:$V$27,1),0)/AB4</f>
        <v>#REF!</v>
      </c>
      <c r="AC13" s="1010" t="e">
        <f ca="1">INDEX('Profile Data'!AV$8:AV$27,MATCH($B13,'Profile Data'!$V$8:$V$27,1),0)</f>
        <v>#REF!</v>
      </c>
      <c r="AD13" s="1010" t="e">
        <f ca="1">INDEX('Profile Data'!AW$8:AW$27,MATCH($B13,'Profile Data'!$V$8:$V$27,1),0)/AD4</f>
        <v>#REF!</v>
      </c>
      <c r="AE13" s="1010" t="e">
        <f ca="1">INDEX('Profile Data'!AX$8:AX$27,MATCH($B13,'Profile Data'!$V$8:$V$27,1),0)</f>
        <v>#REF!</v>
      </c>
      <c r="AF13" s="1010" t="e">
        <f ca="1">INDEX('Profile Data'!AY$8:AY$27,MATCH($B13,'Profile Data'!$V$8:$V$27,1),0)/AF4</f>
        <v>#REF!</v>
      </c>
      <c r="AG13" s="1010" t="e">
        <f ca="1">INDEX('Profile Data'!AZ$8:AZ$27,MATCH($B13,'Profile Data'!$V$8:$V$27,1),0)</f>
        <v>#REF!</v>
      </c>
      <c r="AH13" s="1014">
        <f>B15</f>
        <v>14.251940000000001</v>
      </c>
      <c r="AI13" s="1011">
        <f ca="1">TREND(D15:D16,$C15:$C16,'PLW Factors'!$B15)</f>
        <v>0.87466540303879425</v>
      </c>
      <c r="AJ13" s="1011">
        <f ca="1">TREND(E15:E16,$C15:$C16,'PLW Factors'!$B15)</f>
        <v>8.9450706999999977E-2</v>
      </c>
      <c r="AK13" s="1011">
        <f ca="1">TREND(F15:F16,$C15:$C16,'PLW Factors'!$B15)</f>
        <v>0.8186038741892292</v>
      </c>
      <c r="AL13" s="1011">
        <f ca="1">TREND(G15:G16,$C15:$C16,'PLW Factors'!$B15)</f>
        <v>0.11440479175</v>
      </c>
      <c r="AM13" s="1011">
        <f ca="1">TREND(H15:H16,$C15:$C16,'PLW Factors'!$B15)</f>
        <v>0.76309068007662695</v>
      </c>
      <c r="AN13" s="1011">
        <f ca="1">TREND(I15:I16,$C15:$C16,'PLW Factors'!$B15)</f>
        <v>0.14512037201666667</v>
      </c>
      <c r="AO13" s="1011">
        <f ca="1">TREND(J15:J16,$C15:$C16,'PLW Factors'!$B15)</f>
        <v>0.70818101703679837</v>
      </c>
      <c r="AP13" s="1011">
        <f ca="1">TREND(K15:K16,$C15:$C16,'PLW Factors'!$B15)</f>
        <v>0.17255124444444447</v>
      </c>
      <c r="AQ13" s="1011">
        <f ca="1">TREND(L15:L16,$C15:$C16,'PLW Factors'!$B15)</f>
        <v>0.69324133434030288</v>
      </c>
      <c r="AR13" s="1011">
        <f ca="1">TREND(M15:M16,$C15:$C16,'PLW Factors'!$B15)</f>
        <v>0.19893119499999998</v>
      </c>
      <c r="AS13" s="1011">
        <f ca="1">TREND(N15:N16,$C15:$C16,'PLW Factors'!$B15)</f>
        <v>0.6606279677640603</v>
      </c>
      <c r="AT13" s="1011">
        <f ca="1">TREND(O15:O16,$C15:$C16,'PLW Factors'!$B15)</f>
        <v>0.22137014999999999</v>
      </c>
      <c r="AU13" s="1011" t="e">
        <f ca="1">TREND(P15:P16,$C15:$C16,'PLW Factors'!$B15)</f>
        <v>#VALUE!</v>
      </c>
      <c r="AV13" s="1011" t="e">
        <f ca="1">TREND(Q15:Q16,$C15:$C16,'PLW Factors'!$B15)</f>
        <v>#VALUE!</v>
      </c>
      <c r="AW13" s="1011" t="e">
        <f ca="1">TREND(R15:R16,$C15:$C16,'PLW Factors'!$B15)</f>
        <v>#VALUE!</v>
      </c>
      <c r="AX13" s="1011" t="e">
        <f ca="1">TREND(S15:S16,$C15:$C16,'PLW Factors'!$B15)</f>
        <v>#VALUE!</v>
      </c>
      <c r="AY13" s="1011" t="e">
        <f ca="1">TREND(T15:T16,$C15:$C16,'PLW Factors'!$B15)</f>
        <v>#VALUE!</v>
      </c>
      <c r="AZ13" s="1011" t="e">
        <f ca="1">TREND(U15:U16,$C15:$C16,'PLW Factors'!$B15)</f>
        <v>#VALUE!</v>
      </c>
      <c r="BA13" s="1011" t="e">
        <f ca="1">TREND(V15:V16,$C15:$C16,'PLW Factors'!$B15)</f>
        <v>#VALUE!</v>
      </c>
      <c r="BB13" s="1011" t="e">
        <f ca="1">TREND(W15:W16,$C15:$C16,'PLW Factors'!$B15)</f>
        <v>#VALUE!</v>
      </c>
      <c r="BC13" s="1011" t="e">
        <f ca="1">TREND(X15:X16,$C15:$C16,'PLW Factors'!$B15)</f>
        <v>#VALUE!</v>
      </c>
      <c r="BD13" s="1011" t="e">
        <f ca="1">TREND(Y15:Y16,$C15:$C16,'PLW Factors'!$B15)</f>
        <v>#VALUE!</v>
      </c>
      <c r="BE13" s="1011" t="e">
        <f ca="1">TREND(Z15:Z16,$C15:$C16,'PLW Factors'!$B15)</f>
        <v>#VALUE!</v>
      </c>
      <c r="BF13" s="1011" t="e">
        <f ca="1">TREND(AA15:AA16,$C15:$C16,'PLW Factors'!$B15)</f>
        <v>#VALUE!</v>
      </c>
      <c r="BG13" s="1011" t="e">
        <f ca="1">TREND(AB15:AB16,$C15:$C16,'PLW Factors'!$B15)</f>
        <v>#VALUE!</v>
      </c>
      <c r="BH13" s="1011" t="e">
        <f ca="1">TREND(AC15:AC16,$C15:$C16,'PLW Factors'!$B15)</f>
        <v>#VALUE!</v>
      </c>
      <c r="BI13" s="1011" t="e">
        <f ca="1">TREND(AD15:AD16,$C15:$C16,'PLW Factors'!$B15)</f>
        <v>#VALUE!</v>
      </c>
      <c r="BJ13" s="1011" t="e">
        <f ca="1">TREND(AE15:AE16,$C15:$C16,'PLW Factors'!$B15)</f>
        <v>#VALUE!</v>
      </c>
      <c r="BK13" s="1011" t="e">
        <f ca="1">TREND(AF15:AF16,$C15:$C16,'PLW Factors'!$B15)</f>
        <v>#VALUE!</v>
      </c>
      <c r="BL13" s="1011" t="e">
        <f ca="1">TREND(AG15:AG16,$C15:$C16,'PLW Factors'!$B15)</f>
        <v>#VALUE!</v>
      </c>
    </row>
    <row r="14" spans="1:64" x14ac:dyDescent="0.2">
      <c r="A14" s="1003"/>
      <c r="B14" s="1009"/>
      <c r="C14" s="1009">
        <f>INDEX('Profile Data'!V$8:V$27,MATCH($B13,'Profile Data'!$V$8:$V$27,1)+1,0)</f>
        <v>12</v>
      </c>
      <c r="D14" s="1010">
        <f ca="1">INDEX('Profile Data'!W$8:W$27,MATCH($B13,'Profile Data'!$V$8:$V$27,1)+1,0)/D4</f>
        <v>0.85636608461294417</v>
      </c>
      <c r="E14" s="1010">
        <f ca="1">INDEX('Profile Data'!X$8:X$27,MATCH($B13,'Profile Data'!$V$8:$V$27,1)+1,0)</f>
        <v>9.5399999999999985E-2</v>
      </c>
      <c r="F14" s="1010">
        <f ca="1">INDEX('Profile Data'!Y$8:Y$27,MATCH($B13,'Profile Data'!$V$8:$V$27,1)+1,0)/F4</f>
        <v>0.79986710036295472</v>
      </c>
      <c r="G14" s="1010">
        <f ca="1">INDEX('Profile Data'!Z$8:Z$27,MATCH($B13,'Profile Data'!$V$8:$V$27,1)+1,0)</f>
        <v>0.1195</v>
      </c>
      <c r="H14" s="1010">
        <f ca="1">INDEX('Profile Data'!AA$8:AA$27,MATCH($B13,'Profile Data'!$V$8:$V$27,1)+1,0)/H4</f>
        <v>0.74701504165463628</v>
      </c>
      <c r="I14" s="1010">
        <f ca="1">INDEX('Profile Data'!AB$8:AB$27,MATCH($B13,'Profile Data'!$V$8:$V$27,1)+1,0)</f>
        <v>0.15200000000000002</v>
      </c>
      <c r="J14" s="1010">
        <f ca="1">INDEX('Profile Data'!AC$8:AC$27,MATCH($B13,'Profile Data'!$V$8:$V$27,1)+1,0)/J4</f>
        <v>0.68418009492558296</v>
      </c>
      <c r="K14" s="1010">
        <f ca="1">INDEX('Profile Data'!AD$8:AD$27,MATCH($B13,'Profile Data'!$V$8:$V$27,1)+1,0)</f>
        <v>0.17988888888888888</v>
      </c>
      <c r="L14" s="1010">
        <f ca="1">INDEX('Profile Data'!AE$8:AE$27,MATCH($B13,'Profile Data'!$V$8:$V$27,1)+1,0)/L4</f>
        <v>0.66368412123039711</v>
      </c>
      <c r="M14" s="1010">
        <f ca="1">INDEX('Profile Data'!AF$8:AF$27,MATCH($B13,'Profile Data'!$V$8:$V$27,1)+1,0)</f>
        <v>0.20624999999999999</v>
      </c>
      <c r="N14" s="1010">
        <f ca="1">INDEX('Profile Data'!AG$8:AG$27,MATCH($B13,'Profile Data'!$V$8:$V$27,1)+1,0)/N4</f>
        <v>0.63429355281207134</v>
      </c>
      <c r="O14" s="1010">
        <f ca="1">INDEX('Profile Data'!AH$8:AH$27,MATCH($B13,'Profile Data'!$V$8:$V$27,1)+1,0)</f>
        <v>0.22699999999999998</v>
      </c>
      <c r="P14" s="1010" t="e">
        <f ca="1">INDEX('Profile Data'!AI$8:AI$27,MATCH($B13,'Profile Data'!$V$8:$V$27,1)+1,0)/P4</f>
        <v>#REF!</v>
      </c>
      <c r="Q14" s="1010" t="e">
        <f ca="1">INDEX('Profile Data'!AJ$8:AJ$27,MATCH($B13,'Profile Data'!$V$8:$V$27,1)+1,0)</f>
        <v>#REF!</v>
      </c>
      <c r="R14" s="1010" t="e">
        <f ca="1">INDEX('Profile Data'!AK$8:AK$27,MATCH($B13,'Profile Data'!$V$8:$V$27,1)+1,0)/R4</f>
        <v>#REF!</v>
      </c>
      <c r="S14" s="1010" t="e">
        <f ca="1">INDEX('Profile Data'!AL$8:AL$27,MATCH($B13,'Profile Data'!$V$8:$V$27,1)+1,0)</f>
        <v>#REF!</v>
      </c>
      <c r="T14" s="1010" t="e">
        <f ca="1">INDEX('Profile Data'!AM$8:AM$27,MATCH($B13,'Profile Data'!$V$8:$V$27,1)+1,0)/T4</f>
        <v>#REF!</v>
      </c>
      <c r="U14" s="1010" t="e">
        <f ca="1">INDEX('Profile Data'!AN$8:AN$27,MATCH($B13,'Profile Data'!$V$8:$V$27,1)+1,0)</f>
        <v>#REF!</v>
      </c>
      <c r="V14" s="1010" t="e">
        <f ca="1">INDEX('Profile Data'!AO$8:AO$27,MATCH($B13,'Profile Data'!$V$8:$V$27,1)+1,0)/V4</f>
        <v>#REF!</v>
      </c>
      <c r="W14" s="1010" t="e">
        <f ca="1">INDEX('Profile Data'!AP$8:AP$27,MATCH($B13,'Profile Data'!$V$8:$V$27,1)+1,0)</f>
        <v>#REF!</v>
      </c>
      <c r="X14" s="1010" t="e">
        <f ca="1">INDEX('Profile Data'!AQ$8:AQ$27,MATCH($B13,'Profile Data'!$V$8:$V$27,1)+1,0)/X4</f>
        <v>#REF!</v>
      </c>
      <c r="Y14" s="1010" t="e">
        <f ca="1">INDEX('Profile Data'!AR$8:AR$27,MATCH($B13,'Profile Data'!$V$8:$V$27,1)+1,0)</f>
        <v>#REF!</v>
      </c>
      <c r="Z14" s="1010" t="e">
        <f ca="1">INDEX('Profile Data'!AS$8:AS$27,MATCH($B13,'Profile Data'!$V$8:$V$27,1)+1,0)/Z4</f>
        <v>#REF!</v>
      </c>
      <c r="AA14" s="1010" t="e">
        <f ca="1">INDEX('Profile Data'!AT$8:AT$27,MATCH($B13,'Profile Data'!$V$8:$V$27,1)+1,0)</f>
        <v>#REF!</v>
      </c>
      <c r="AB14" s="1010" t="e">
        <f ca="1">INDEX('Profile Data'!AU$8:AU$27,MATCH($B13,'Profile Data'!$V$8:$V$27,1)+1,0)/AB4</f>
        <v>#REF!</v>
      </c>
      <c r="AC14" s="1010" t="e">
        <f ca="1">INDEX('Profile Data'!AV$8:AV$27,MATCH($B13,'Profile Data'!$V$8:$V$27,1)+1,0)</f>
        <v>#REF!</v>
      </c>
      <c r="AD14" s="1010" t="e">
        <f ca="1">INDEX('Profile Data'!AW$8:AW$27,MATCH($B13,'Profile Data'!$V$8:$V$27,1)+1,0)/AD4</f>
        <v>#REF!</v>
      </c>
      <c r="AE14" s="1010" t="e">
        <f ca="1">INDEX('Profile Data'!AX$8:AX$27,MATCH($B13,'Profile Data'!$V$8:$V$27,1)+1,0)</f>
        <v>#REF!</v>
      </c>
      <c r="AF14" s="1010" t="e">
        <f ca="1">INDEX('Profile Data'!AY$8:AY$27,MATCH($B13,'Profile Data'!$V$8:$V$27,1)+1,0)/AF4</f>
        <v>#REF!</v>
      </c>
      <c r="AG14" s="1010" t="e">
        <f ca="1">INDEX('Profile Data'!AZ$8:AZ$27,MATCH($B13,'Profile Data'!$V$8:$V$27,1)+1,0)</f>
        <v>#REF!</v>
      </c>
      <c r="AH14" s="1014">
        <f>B17</f>
        <v>17.814924999999999</v>
      </c>
      <c r="AI14" s="1011">
        <f ca="1">TREND(D17:D18,$C17:$C18,'PLW Factors'!$B17)</f>
        <v>0.89212182956835417</v>
      </c>
      <c r="AJ14" s="1011">
        <f ca="1">TREND(E17:E18,$C17:$C18,'PLW Factors'!$B17)</f>
        <v>8.3966368645833317E-2</v>
      </c>
      <c r="AK14" s="1011">
        <f ca="1">TREND(F17:F18,$C17:$C18,'PLW Factors'!$B17)</f>
        <v>0.8431239121906472</v>
      </c>
      <c r="AL14" s="1011">
        <f ca="1">TREND(G17:G18,$C17:$C18,'PLW Factors'!$B17)</f>
        <v>0.10813111984375</v>
      </c>
      <c r="AM14" s="1011">
        <f ca="1">TREND(H17:H18,$C17:$C18,'PLW Factors'!$B17)</f>
        <v>0.7946608423984256</v>
      </c>
      <c r="AN14" s="1011">
        <f ca="1">TREND(I17:I18,$C17:$C18,'PLW Factors'!$B17)</f>
        <v>0.13735960751041665</v>
      </c>
      <c r="AO14" s="1011">
        <f ca="1">TREND(J17:J18,$C17:$C18,'PLW Factors'!$B17)</f>
        <v>0.74245348683420231</v>
      </c>
      <c r="AP14" s="1011">
        <f ca="1">TREND(K17:K18,$C17:$C18,'PLW Factors'!$B17)</f>
        <v>0.16360000104166667</v>
      </c>
      <c r="AQ14" s="1011">
        <f ca="1">TREND(L17:L18,$C17:$C18,'PLW Factors'!$B17)</f>
        <v>0.73759419078226152</v>
      </c>
      <c r="AR14" s="1011">
        <f ca="1">TREND(M17:M18,$C17:$C18,'PLW Factors'!$B17)</f>
        <v>0.18621716562500001</v>
      </c>
      <c r="AS14" s="1011">
        <f ca="1">TREND(N17:N18,$C17:$C18,'PLW Factors'!$B17)</f>
        <v>0.70160923353909466</v>
      </c>
      <c r="AT14" s="1011">
        <f ca="1">TREND(O17:O18,$C17:$C18,'PLW Factors'!$B17)</f>
        <v>0.21155522499999999</v>
      </c>
      <c r="AU14" s="1011" t="e">
        <f ca="1">TREND(P17:P18,$C17:$C18,'PLW Factors'!$B17)</f>
        <v>#VALUE!</v>
      </c>
      <c r="AV14" s="1011" t="e">
        <f ca="1">TREND(Q17:Q18,$C17:$C18,'PLW Factors'!$B17)</f>
        <v>#VALUE!</v>
      </c>
      <c r="AW14" s="1011" t="e">
        <f ca="1">TREND(R17:R18,$C17:$C18,'PLW Factors'!$B17)</f>
        <v>#VALUE!</v>
      </c>
      <c r="AX14" s="1011" t="e">
        <f ca="1">TREND(S17:S18,$C17:$C18,'PLW Factors'!$B17)</f>
        <v>#VALUE!</v>
      </c>
      <c r="AY14" s="1011" t="e">
        <f ca="1">TREND(T17:T18,$C17:$C18,'PLW Factors'!$B17)</f>
        <v>#VALUE!</v>
      </c>
      <c r="AZ14" s="1011" t="e">
        <f ca="1">TREND(U17:U18,$C17:$C18,'PLW Factors'!$B17)</f>
        <v>#VALUE!</v>
      </c>
      <c r="BA14" s="1011" t="e">
        <f ca="1">TREND(V17:V18,$C17:$C18,'PLW Factors'!$B17)</f>
        <v>#VALUE!</v>
      </c>
      <c r="BB14" s="1011" t="e">
        <f ca="1">TREND(W17:W18,$C17:$C18,'PLW Factors'!$B17)</f>
        <v>#VALUE!</v>
      </c>
      <c r="BC14" s="1011" t="e">
        <f ca="1">TREND(X17:X18,$C17:$C18,'PLW Factors'!$B17)</f>
        <v>#VALUE!</v>
      </c>
      <c r="BD14" s="1011" t="e">
        <f ca="1">TREND(Y17:Y18,$C17:$C18,'PLW Factors'!$B17)</f>
        <v>#VALUE!</v>
      </c>
      <c r="BE14" s="1011" t="e">
        <f ca="1">TREND(Z17:Z18,$C17:$C18,'PLW Factors'!$B17)</f>
        <v>#VALUE!</v>
      </c>
      <c r="BF14" s="1011" t="e">
        <f ca="1">TREND(AA17:AA18,$C17:$C18,'PLW Factors'!$B17)</f>
        <v>#VALUE!</v>
      </c>
      <c r="BG14" s="1011" t="e">
        <f ca="1">TREND(AB17:AB18,$C17:$C18,'PLW Factors'!$B17)</f>
        <v>#VALUE!</v>
      </c>
      <c r="BH14" s="1011" t="e">
        <f ca="1">TREND(AC17:AC18,$C17:$C18,'PLW Factors'!$B17)</f>
        <v>#VALUE!</v>
      </c>
      <c r="BI14" s="1011" t="e">
        <f ca="1">TREND(AD17:AD18,$C17:$C18,'PLW Factors'!$B17)</f>
        <v>#VALUE!</v>
      </c>
      <c r="BJ14" s="1011" t="e">
        <f ca="1">TREND(AE17:AE18,$C17:$C18,'PLW Factors'!$B17)</f>
        <v>#VALUE!</v>
      </c>
      <c r="BK14" s="1011" t="e">
        <f ca="1">TREND(AF17:AF18,$C17:$C18,'PLW Factors'!$B17)</f>
        <v>#VALUE!</v>
      </c>
      <c r="BL14" s="1011" t="e">
        <f ca="1">TREND(AG17:AG18,$C17:$C18,'PLW Factors'!$B17)</f>
        <v>#VALUE!</v>
      </c>
    </row>
    <row r="15" spans="1:64" x14ac:dyDescent="0.2">
      <c r="A15" s="1003" t="str">
        <f>'Target Site'!A26</f>
        <v>144.8</v>
      </c>
      <c r="B15" s="1009">
        <f>A15/RWDI_FACTORS!$D$7*39.37</f>
        <v>14.251940000000001</v>
      </c>
      <c r="C15" s="1009">
        <f>INDEX('Profile Data'!V$8:V$27,MATCH($B15,'Profile Data'!$V$8:$V$27,1),0)</f>
        <v>14</v>
      </c>
      <c r="D15" s="1010">
        <f ca="1">INDEX('Profile Data'!W$8:W$27,MATCH($B15,'Profile Data'!$V$8:$V$27,1),0)/D4</f>
        <v>0.87318341265228838</v>
      </c>
      <c r="E15" s="1010">
        <f ca="1">INDEX('Profile Data'!X$8:X$27,MATCH($B15,'Profile Data'!$V$8:$V$27,1),0)</f>
        <v>8.989999999999998E-2</v>
      </c>
      <c r="F15" s="1010">
        <f ca="1">INDEX('Profile Data'!Y$8:Y$27,MATCH($B15,'Profile Data'!$V$8:$V$27,1),0)/F4</f>
        <v>0.8165076625682306</v>
      </c>
      <c r="G15" s="1010">
        <f ca="1">INDEX('Profile Data'!Z$8:Z$27,MATCH($B15,'Profile Data'!$V$8:$V$27,1),0)</f>
        <v>0.115</v>
      </c>
      <c r="H15" s="1010">
        <f ca="1">INDEX('Profile Data'!AA$8:AA$27,MATCH($B15,'Profile Data'!$V$8:$V$27,1),0)/H4</f>
        <v>0.76009549299184276</v>
      </c>
      <c r="I15" s="1010">
        <f ca="1">INDEX('Profile Data'!AB$8:AB$27,MATCH($B15,'Profile Data'!$V$8:$V$27,1),0)</f>
        <v>0.14585666666666666</v>
      </c>
      <c r="J15" s="1010">
        <f ca="1">INDEX('Profile Data'!AC$8:AC$27,MATCH($B15,'Profile Data'!$V$8:$V$27,1),0)/J4</f>
        <v>0.70549586897925698</v>
      </c>
      <c r="K15" s="1010">
        <f ca="1">INDEX('Profile Data'!AD$8:AD$27,MATCH($B15,'Profile Data'!$V$8:$V$27,1),0)</f>
        <v>0.17311111111111113</v>
      </c>
      <c r="L15" s="1010">
        <f ca="1">INDEX('Profile Data'!AE$8:AE$27,MATCH($B15,'Profile Data'!$V$8:$V$27,1),0)/L4</f>
        <v>0.68947400202618181</v>
      </c>
      <c r="M15" s="1010">
        <f ca="1">INDEX('Profile Data'!AF$8:AF$27,MATCH($B15,'Profile Data'!$V$8:$V$27,1),0)</f>
        <v>0.19975000000000001</v>
      </c>
      <c r="N15" s="1010">
        <f ca="1">INDEX('Profile Data'!AG$8:AG$27,MATCH($B15,'Profile Data'!$V$8:$V$27,1),0)/N4</f>
        <v>0.65768175582990396</v>
      </c>
      <c r="O15" s="1010">
        <f ca="1">INDEX('Profile Data'!AH$8:AH$27,MATCH($B15,'Profile Data'!$V$8:$V$27,1),0)</f>
        <v>0.222</v>
      </c>
      <c r="P15" s="1010" t="e">
        <f ca="1">INDEX('Profile Data'!AI$8:AI$27,MATCH($B15,'Profile Data'!$V$8:$V$27,1),0)/P4</f>
        <v>#REF!</v>
      </c>
      <c r="Q15" s="1010" t="e">
        <f ca="1">INDEX('Profile Data'!AJ$8:AJ$27,MATCH($B15,'Profile Data'!$V$8:$V$27,1),0)</f>
        <v>#REF!</v>
      </c>
      <c r="R15" s="1010" t="e">
        <f ca="1">INDEX('Profile Data'!AK$8:AK$27,MATCH($B15,'Profile Data'!$V$8:$V$27,1),0)/R4</f>
        <v>#REF!</v>
      </c>
      <c r="S15" s="1010" t="e">
        <f ca="1">INDEX('Profile Data'!AL$8:AL$27,MATCH($B15,'Profile Data'!$V$8:$V$27,1),0)</f>
        <v>#REF!</v>
      </c>
      <c r="T15" s="1010" t="e">
        <f ca="1">INDEX('Profile Data'!AM$8:AM$27,MATCH($B15,'Profile Data'!$V$8:$V$27,1),0)/T4</f>
        <v>#REF!</v>
      </c>
      <c r="U15" s="1010" t="e">
        <f ca="1">INDEX('Profile Data'!AN$8:AN$27,MATCH($B15,'Profile Data'!$V$8:$V$27,1),0)</f>
        <v>#REF!</v>
      </c>
      <c r="V15" s="1010" t="e">
        <f ca="1">INDEX('Profile Data'!AO$8:AO$27,MATCH($B15,'Profile Data'!$V$8:$V$27,1),0)/V4</f>
        <v>#REF!</v>
      </c>
      <c r="W15" s="1010" t="e">
        <f ca="1">INDEX('Profile Data'!AP$8:AP$27,MATCH($B15,'Profile Data'!$V$8:$V$27,1),0)</f>
        <v>#REF!</v>
      </c>
      <c r="X15" s="1010" t="e">
        <f ca="1">INDEX('Profile Data'!AQ$8:AQ$27,MATCH($B15,'Profile Data'!$V$8:$V$27,1),0)/X4</f>
        <v>#REF!</v>
      </c>
      <c r="Y15" s="1010" t="e">
        <f ca="1">INDEX('Profile Data'!AR$8:AR$27,MATCH($B15,'Profile Data'!$V$8:$V$27,1),0)</f>
        <v>#REF!</v>
      </c>
      <c r="Z15" s="1010" t="e">
        <f ca="1">INDEX('Profile Data'!AS$8:AS$27,MATCH($B15,'Profile Data'!$V$8:$V$27,1),0)/Z4</f>
        <v>#REF!</v>
      </c>
      <c r="AA15" s="1010" t="e">
        <f ca="1">INDEX('Profile Data'!AT$8:AT$27,MATCH($B15,'Profile Data'!$V$8:$V$27,1),0)</f>
        <v>#REF!</v>
      </c>
      <c r="AB15" s="1010" t="e">
        <f ca="1">INDEX('Profile Data'!AU$8:AU$27,MATCH($B15,'Profile Data'!$V$8:$V$27,1),0)/AB4</f>
        <v>#REF!</v>
      </c>
      <c r="AC15" s="1010" t="e">
        <f ca="1">INDEX('Profile Data'!AV$8:AV$27,MATCH($B15,'Profile Data'!$V$8:$V$27,1),0)</f>
        <v>#REF!</v>
      </c>
      <c r="AD15" s="1010" t="e">
        <f ca="1">INDEX('Profile Data'!AW$8:AW$27,MATCH($B15,'Profile Data'!$V$8:$V$27,1),0)/AD4</f>
        <v>#REF!</v>
      </c>
      <c r="AE15" s="1010" t="e">
        <f ca="1">INDEX('Profile Data'!AX$8:AX$27,MATCH($B15,'Profile Data'!$V$8:$V$27,1),0)</f>
        <v>#REF!</v>
      </c>
      <c r="AF15" s="1010" t="e">
        <f ca="1">INDEX('Profile Data'!AY$8:AY$27,MATCH($B15,'Profile Data'!$V$8:$V$27,1),0)/AF4</f>
        <v>#REF!</v>
      </c>
      <c r="AG15" s="1010" t="e">
        <f ca="1">INDEX('Profile Data'!AZ$8:AZ$27,MATCH($B15,'Profile Data'!$V$8:$V$27,1),0)</f>
        <v>#REF!</v>
      </c>
      <c r="AI15" s="569"/>
      <c r="AJ15" s="569"/>
      <c r="AK15" s="569"/>
      <c r="AL15" s="569"/>
      <c r="AM15" s="569"/>
      <c r="AN15" s="569"/>
      <c r="AO15" s="569"/>
      <c r="AP15" s="569"/>
      <c r="AQ15" s="569"/>
      <c r="AR15" s="569"/>
      <c r="AS15" s="569"/>
      <c r="AT15" s="569"/>
      <c r="AU15" s="569"/>
      <c r="AV15" s="569"/>
      <c r="AW15" s="569"/>
      <c r="AX15" s="569"/>
      <c r="AY15" s="569"/>
      <c r="AZ15" s="569"/>
      <c r="BA15" s="569"/>
      <c r="BB15" s="569"/>
      <c r="BC15" s="569"/>
      <c r="BD15" s="569"/>
      <c r="BE15" s="569"/>
      <c r="BF15" s="569"/>
      <c r="BG15" s="569"/>
      <c r="BH15" s="569"/>
      <c r="BI15" s="569"/>
      <c r="BJ15" s="569"/>
      <c r="BK15" s="569"/>
      <c r="BL15" s="569"/>
    </row>
    <row r="16" spans="1:64" x14ac:dyDescent="0.2">
      <c r="A16" s="1003"/>
      <c r="B16" s="1009"/>
      <c r="C16" s="1009">
        <f>INDEX('Profile Data'!V$8:V$27,MATCH($B15,'Profile Data'!$V$8:$V$27,1)+1,0)</f>
        <v>16</v>
      </c>
      <c r="D16" s="1010">
        <f ca="1">INDEX('Profile Data'!W$8:W$27,MATCH($B15,'Profile Data'!$V$8:$V$27,1)+1,0)/D4</f>
        <v>0.88494804221889867</v>
      </c>
      <c r="E16" s="1010">
        <f ca="1">INDEX('Profile Data'!X$8:X$27,MATCH($B15,'Profile Data'!$V$8:$V$27,1)+1,0)</f>
        <v>8.6333333333333331E-2</v>
      </c>
      <c r="F16" s="1010">
        <f ca="1">INDEX('Profile Data'!Y$8:Y$27,MATCH($B15,'Profile Data'!$V$8:$V$27,1)+1,0)/F4</f>
        <v>0.83314822477350647</v>
      </c>
      <c r="G16" s="1010">
        <f ca="1">INDEX('Profile Data'!Z$8:Z$27,MATCH($B15,'Profile Data'!$V$8:$V$27,1)+1,0)</f>
        <v>0.11027500000000001</v>
      </c>
      <c r="H16" s="1010">
        <f ca="1">INDEX('Profile Data'!AA$8:AA$27,MATCH($B15,'Profile Data'!$V$8:$V$27,1)+1,0)/H4</f>
        <v>0.78387248024900114</v>
      </c>
      <c r="I16" s="1010">
        <f ca="1">INDEX('Profile Data'!AB$8:AB$27,MATCH($B15,'Profile Data'!$V$8:$V$27,1)+1,0)</f>
        <v>0.14001166666666665</v>
      </c>
      <c r="J16" s="1010">
        <f ca="1">INDEX('Profile Data'!AC$8:AC$27,MATCH($B15,'Profile Data'!$V$8:$V$27,1)+1,0)/J4</f>
        <v>0.72681164303293089</v>
      </c>
      <c r="K16" s="1010">
        <f ca="1">INDEX('Profile Data'!AD$8:AD$27,MATCH($B15,'Profile Data'!$V$8:$V$27,1)+1,0)</f>
        <v>0.16866666666666666</v>
      </c>
      <c r="L16" s="1010">
        <f ca="1">INDEX('Profile Data'!AE$8:AE$27,MATCH($B15,'Profile Data'!$V$8:$V$27,1)+1,0)/L4</f>
        <v>0.71938058545176764</v>
      </c>
      <c r="M16" s="1010">
        <f ca="1">INDEX('Profile Data'!AF$8:AF$27,MATCH($B15,'Profile Data'!$V$8:$V$27,1)+1,0)</f>
        <v>0.19325000000000003</v>
      </c>
      <c r="N16" s="1010">
        <f ca="1">INDEX('Profile Data'!AG$8:AG$27,MATCH($B15,'Profile Data'!$V$8:$V$27,1)+1,0)/N4</f>
        <v>0.68106995884773669</v>
      </c>
      <c r="O16" s="1010">
        <f ca="1">INDEX('Profile Data'!AH$8:AH$27,MATCH($B15,'Profile Data'!$V$8:$V$27,1)+1,0)</f>
        <v>0.217</v>
      </c>
      <c r="P16" s="1010" t="e">
        <f ca="1">INDEX('Profile Data'!AI$8:AI$27,MATCH($B15,'Profile Data'!$V$8:$V$27,1)+1,0)/P4</f>
        <v>#REF!</v>
      </c>
      <c r="Q16" s="1010" t="e">
        <f ca="1">INDEX('Profile Data'!AJ$8:AJ$27,MATCH($B15,'Profile Data'!$V$8:$V$27,1)+1,0)</f>
        <v>#REF!</v>
      </c>
      <c r="R16" s="1010" t="e">
        <f ca="1">INDEX('Profile Data'!AK$8:AK$27,MATCH($B15,'Profile Data'!$V$8:$V$27,1)+1,0)/R4</f>
        <v>#REF!</v>
      </c>
      <c r="S16" s="1010" t="e">
        <f ca="1">INDEX('Profile Data'!AL$8:AL$27,MATCH($B15,'Profile Data'!$V$8:$V$27,1)+1,0)</f>
        <v>#REF!</v>
      </c>
      <c r="T16" s="1010" t="e">
        <f ca="1">INDEX('Profile Data'!AM$8:AM$27,MATCH($B15,'Profile Data'!$V$8:$V$27,1)+1,0)/T4</f>
        <v>#REF!</v>
      </c>
      <c r="U16" s="1010" t="e">
        <f ca="1">INDEX('Profile Data'!AN$8:AN$27,MATCH($B15,'Profile Data'!$V$8:$V$27,1)+1,0)</f>
        <v>#REF!</v>
      </c>
      <c r="V16" s="1010" t="e">
        <f ca="1">INDEX('Profile Data'!AO$8:AO$27,MATCH($B15,'Profile Data'!$V$8:$V$27,1)+1,0)/V4</f>
        <v>#REF!</v>
      </c>
      <c r="W16" s="1010" t="e">
        <f ca="1">INDEX('Profile Data'!AP$8:AP$27,MATCH($B15,'Profile Data'!$V$8:$V$27,1)+1,0)</f>
        <v>#REF!</v>
      </c>
      <c r="X16" s="1010" t="e">
        <f ca="1">INDEX('Profile Data'!AQ$8:AQ$27,MATCH($B15,'Profile Data'!$V$8:$V$27,1)+1,0)/X4</f>
        <v>#REF!</v>
      </c>
      <c r="Y16" s="1010" t="e">
        <f ca="1">INDEX('Profile Data'!AR$8:AR$27,MATCH($B15,'Profile Data'!$V$8:$V$27,1)+1,0)</f>
        <v>#REF!</v>
      </c>
      <c r="Z16" s="1010" t="e">
        <f ca="1">INDEX('Profile Data'!AS$8:AS$27,MATCH($B15,'Profile Data'!$V$8:$V$27,1)+1,0)/Z4</f>
        <v>#REF!</v>
      </c>
      <c r="AA16" s="1010" t="e">
        <f ca="1">INDEX('Profile Data'!AT$8:AT$27,MATCH($B15,'Profile Data'!$V$8:$V$27,1)+1,0)</f>
        <v>#REF!</v>
      </c>
      <c r="AB16" s="1010" t="e">
        <f ca="1">INDEX('Profile Data'!AU$8:AU$27,MATCH($B15,'Profile Data'!$V$8:$V$27,1)+1,0)/AB4</f>
        <v>#REF!</v>
      </c>
      <c r="AC16" s="1010" t="e">
        <f ca="1">INDEX('Profile Data'!AV$8:AV$27,MATCH($B15,'Profile Data'!$V$8:$V$27,1)+1,0)</f>
        <v>#REF!</v>
      </c>
      <c r="AD16" s="1010" t="e">
        <f ca="1">INDEX('Profile Data'!AW$8:AW$27,MATCH($B15,'Profile Data'!$V$8:$V$27,1)+1,0)/AD4</f>
        <v>#REF!</v>
      </c>
      <c r="AE16" s="1010" t="e">
        <f ca="1">INDEX('Profile Data'!AX$8:AX$27,MATCH($B15,'Profile Data'!$V$8:$V$27,1)+1,0)</f>
        <v>#REF!</v>
      </c>
      <c r="AF16" s="1010" t="e">
        <f ca="1">INDEX('Profile Data'!AY$8:AY$27,MATCH($B15,'Profile Data'!$V$8:$V$27,1)+1,0)/AF4</f>
        <v>#REF!</v>
      </c>
      <c r="AG16" s="1010" t="e">
        <f ca="1">INDEX('Profile Data'!AZ$8:AZ$27,MATCH($B15,'Profile Data'!$V$8:$V$27,1)+1,0)</f>
        <v>#REF!</v>
      </c>
    </row>
    <row r="17" spans="1:33" x14ac:dyDescent="0.2">
      <c r="A17" s="1003" t="str">
        <f>'Target Site'!A27</f>
        <v>181.0</v>
      </c>
      <c r="B17" s="1009">
        <f>A17/RWDI_FACTORS!$D$7*39.37</f>
        <v>17.814924999999999</v>
      </c>
      <c r="C17" s="1009">
        <f>INDEX('Profile Data'!V$8:V$27,MATCH($B17,'Profile Data'!$V$8:$V$27,1),0)</f>
        <v>16</v>
      </c>
      <c r="D17" s="1010">
        <f ca="1">INDEX('Profile Data'!W$8:W$27,MATCH($B17,'Profile Data'!$V$8:$V$27,1),0)/D4</f>
        <v>0.88494804221889867</v>
      </c>
      <c r="E17" s="1010">
        <f ca="1">INDEX('Profile Data'!X$8:X$27,MATCH($B17,'Profile Data'!$V$8:$V$27,1),0)</f>
        <v>8.6333333333333331E-2</v>
      </c>
      <c r="F17" s="1010">
        <f ca="1">INDEX('Profile Data'!Y$8:Y$27,MATCH($B17,'Profile Data'!$V$8:$V$27,1),0)/F4</f>
        <v>0.83314822477350647</v>
      </c>
      <c r="G17" s="1010">
        <f ca="1">INDEX('Profile Data'!Z$8:Z$27,MATCH($B17,'Profile Data'!$V$8:$V$27,1),0)</f>
        <v>0.11027500000000001</v>
      </c>
      <c r="H17" s="1010">
        <f ca="1">INDEX('Profile Data'!AA$8:AA$27,MATCH($B17,'Profile Data'!$V$8:$V$27,1),0)/H4</f>
        <v>0.78387248024900114</v>
      </c>
      <c r="I17" s="1010">
        <f ca="1">INDEX('Profile Data'!AB$8:AB$27,MATCH($B17,'Profile Data'!$V$8:$V$27,1),0)</f>
        <v>0.14001166666666665</v>
      </c>
      <c r="J17" s="1010">
        <f ca="1">INDEX('Profile Data'!AC$8:AC$27,MATCH($B17,'Profile Data'!$V$8:$V$27,1),0)/J4</f>
        <v>0.72681164303293089</v>
      </c>
      <c r="K17" s="1010">
        <f ca="1">INDEX('Profile Data'!AD$8:AD$27,MATCH($B17,'Profile Data'!$V$8:$V$27,1),0)</f>
        <v>0.16866666666666666</v>
      </c>
      <c r="L17" s="1010">
        <f ca="1">INDEX('Profile Data'!AE$8:AE$27,MATCH($B17,'Profile Data'!$V$8:$V$27,1),0)/L4</f>
        <v>0.71938058545176764</v>
      </c>
      <c r="M17" s="1010">
        <f ca="1">INDEX('Profile Data'!AF$8:AF$27,MATCH($B17,'Profile Data'!$V$8:$V$27,1),0)</f>
        <v>0.19325000000000003</v>
      </c>
      <c r="N17" s="1010">
        <f ca="1">INDEX('Profile Data'!AG$8:AG$27,MATCH($B17,'Profile Data'!$V$8:$V$27,1),0)/N4</f>
        <v>0.68106995884773669</v>
      </c>
      <c r="O17" s="1010">
        <f ca="1">INDEX('Profile Data'!AH$8:AH$27,MATCH($B17,'Profile Data'!$V$8:$V$27,1),0)</f>
        <v>0.217</v>
      </c>
      <c r="P17" s="1010" t="e">
        <f ca="1">INDEX('Profile Data'!AI$8:AI$27,MATCH($B17,'Profile Data'!$V$8:$V$27,1),0)/P4</f>
        <v>#REF!</v>
      </c>
      <c r="Q17" s="1010" t="e">
        <f ca="1">INDEX('Profile Data'!AJ$8:AJ$27,MATCH($B17,'Profile Data'!$V$8:$V$27,1),0)</f>
        <v>#REF!</v>
      </c>
      <c r="R17" s="1010" t="e">
        <f ca="1">INDEX('Profile Data'!AK$8:AK$27,MATCH($B17,'Profile Data'!$V$8:$V$27,1),0)/R4</f>
        <v>#REF!</v>
      </c>
      <c r="S17" s="1010" t="e">
        <f ca="1">INDEX('Profile Data'!AL$8:AL$27,MATCH($B17,'Profile Data'!$V$8:$V$27,1),0)</f>
        <v>#REF!</v>
      </c>
      <c r="T17" s="1010" t="e">
        <f ca="1">INDEX('Profile Data'!AM$8:AM$27,MATCH($B17,'Profile Data'!$V$8:$V$27,1),0)/T4</f>
        <v>#REF!</v>
      </c>
      <c r="U17" s="1010" t="e">
        <f ca="1">INDEX('Profile Data'!AN$8:AN$27,MATCH($B17,'Profile Data'!$V$8:$V$27,1),0)</f>
        <v>#REF!</v>
      </c>
      <c r="V17" s="1010" t="e">
        <f ca="1">INDEX('Profile Data'!AO$8:AO$27,MATCH($B17,'Profile Data'!$V$8:$V$27,1),0)/V4</f>
        <v>#REF!</v>
      </c>
      <c r="W17" s="1010" t="e">
        <f ca="1">INDEX('Profile Data'!AP$8:AP$27,MATCH($B17,'Profile Data'!$V$8:$V$27,1),0)</f>
        <v>#REF!</v>
      </c>
      <c r="X17" s="1010" t="e">
        <f ca="1">INDEX('Profile Data'!AQ$8:AQ$27,MATCH($B17,'Profile Data'!$V$8:$V$27,1),0)/X4</f>
        <v>#REF!</v>
      </c>
      <c r="Y17" s="1010" t="e">
        <f ca="1">INDEX('Profile Data'!AR$8:AR$27,MATCH($B17,'Profile Data'!$V$8:$V$27,1),0)</f>
        <v>#REF!</v>
      </c>
      <c r="Z17" s="1010" t="e">
        <f ca="1">INDEX('Profile Data'!AS$8:AS$27,MATCH($B17,'Profile Data'!$V$8:$V$27,1),0)/Z4</f>
        <v>#REF!</v>
      </c>
      <c r="AA17" s="1010" t="e">
        <f ca="1">INDEX('Profile Data'!AT$8:AT$27,MATCH($B17,'Profile Data'!$V$8:$V$27,1),0)</f>
        <v>#REF!</v>
      </c>
      <c r="AB17" s="1010" t="e">
        <f ca="1">INDEX('Profile Data'!AU$8:AU$27,MATCH($B17,'Profile Data'!$V$8:$V$27,1),0)/AB4</f>
        <v>#REF!</v>
      </c>
      <c r="AC17" s="1010" t="e">
        <f ca="1">INDEX('Profile Data'!AV$8:AV$27,MATCH($B17,'Profile Data'!$V$8:$V$27,1),0)</f>
        <v>#REF!</v>
      </c>
      <c r="AD17" s="1010" t="e">
        <f ca="1">INDEX('Profile Data'!AW$8:AW$27,MATCH($B17,'Profile Data'!$V$8:$V$27,1),0)/AD4</f>
        <v>#REF!</v>
      </c>
      <c r="AE17" s="1010" t="e">
        <f ca="1">INDEX('Profile Data'!AX$8:AX$27,MATCH($B17,'Profile Data'!$V$8:$V$27,1),0)</f>
        <v>#REF!</v>
      </c>
      <c r="AF17" s="1010" t="e">
        <f ca="1">INDEX('Profile Data'!AY$8:AY$27,MATCH($B17,'Profile Data'!$V$8:$V$27,1),0)/AF4</f>
        <v>#REF!</v>
      </c>
      <c r="AG17" s="1010" t="e">
        <f ca="1">INDEX('Profile Data'!AZ$8:AZ$27,MATCH($B17,'Profile Data'!$V$8:$V$27,1),0)</f>
        <v>#REF!</v>
      </c>
    </row>
    <row r="18" spans="1:33" x14ac:dyDescent="0.2">
      <c r="C18" s="1009">
        <f>INDEX('Profile Data'!V$8:V$27,MATCH($B17,'Profile Data'!$V$8:$V$27,1)+1,0)</f>
        <v>20</v>
      </c>
      <c r="D18" s="1010">
        <f ca="1">INDEX('Profile Data'!W$8:W$27,MATCH($B17,'Profile Data'!$V$8:$V$27,1)+1,0)/D4</f>
        <v>0.90075869521988872</v>
      </c>
      <c r="E18" s="1010">
        <f ca="1">INDEX('Profile Data'!X$8:X$27,MATCH($B17,'Profile Data'!$V$8:$V$27,1)+1,0)</f>
        <v>8.111666666666667E-2</v>
      </c>
      <c r="F18" s="1010">
        <f ca="1">INDEX('Profile Data'!Y$8:Y$27,MATCH($B17,'Profile Data'!$V$8:$V$27,1)+1,0)/F4</f>
        <v>0.85513411932483108</v>
      </c>
      <c r="G18" s="1010">
        <f ca="1">INDEX('Profile Data'!Z$8:Z$27,MATCH($B17,'Profile Data'!$V$8:$V$27,1)+1,0)</f>
        <v>0.10555</v>
      </c>
      <c r="H18" s="1010">
        <f ca="1">INDEX('Profile Data'!AA$8:AA$27,MATCH($B17,'Profile Data'!$V$8:$V$27,1)+1,0)/H4</f>
        <v>0.8076494675061594</v>
      </c>
      <c r="I18" s="1010">
        <f ca="1">INDEX('Profile Data'!AB$8:AB$27,MATCH($B17,'Profile Data'!$V$8:$V$27,1)+1,0)</f>
        <v>0.13416666666666666</v>
      </c>
      <c r="J18" s="1010">
        <f ca="1">INDEX('Profile Data'!AC$8:AC$27,MATCH($B17,'Profile Data'!$V$8:$V$27,1)+1,0)/J4</f>
        <v>0.76128545060353914</v>
      </c>
      <c r="K18" s="1010">
        <f ca="1">INDEX('Profile Data'!AD$8:AD$27,MATCH($B17,'Profile Data'!$V$8:$V$27,1)+1,0)</f>
        <v>0.1575</v>
      </c>
      <c r="L18" s="1010">
        <f ca="1">INDEX('Profile Data'!AE$8:AE$27,MATCH($B17,'Profile Data'!$V$8:$V$27,1)+1,0)/L4</f>
        <v>0.75952242124221381</v>
      </c>
      <c r="M18" s="1010">
        <f ca="1">INDEX('Profile Data'!AF$8:AF$27,MATCH($B17,'Profile Data'!$V$8:$V$27,1)+1,0)</f>
        <v>0.17774999999999999</v>
      </c>
      <c r="N18" s="1010">
        <f ca="1">INDEX('Profile Data'!AG$8:AG$27,MATCH($B17,'Profile Data'!$V$8:$V$27,1)+1,0)/N4</f>
        <v>0.72633744855967064</v>
      </c>
      <c r="O18" s="1010">
        <f ca="1">INDEX('Profile Data'!AH$8:AH$27,MATCH($B17,'Profile Data'!$V$8:$V$27,1)+1,0)</f>
        <v>0.20499999999999999</v>
      </c>
      <c r="P18" s="1010" t="e">
        <f ca="1">INDEX('Profile Data'!AI$8:AI$27,MATCH($B17,'Profile Data'!$V$8:$V$27,1)+1,0)/P4</f>
        <v>#REF!</v>
      </c>
      <c r="Q18" s="1010" t="e">
        <f ca="1">INDEX('Profile Data'!AJ$8:AJ$27,MATCH($B17,'Profile Data'!$V$8:$V$27,1)+1,0)</f>
        <v>#REF!</v>
      </c>
      <c r="R18" s="1010" t="e">
        <f ca="1">INDEX('Profile Data'!AK$8:AK$27,MATCH($B17,'Profile Data'!$V$8:$V$27,1)+1,0)/R4</f>
        <v>#REF!</v>
      </c>
      <c r="S18" s="1010" t="e">
        <f ca="1">INDEX('Profile Data'!AL$8:AL$27,MATCH($B17,'Profile Data'!$V$8:$V$27,1)+1,0)</f>
        <v>#REF!</v>
      </c>
      <c r="T18" s="1010" t="e">
        <f ca="1">INDEX('Profile Data'!AM$8:AM$27,MATCH($B17,'Profile Data'!$V$8:$V$27,1)+1,0)/T4</f>
        <v>#REF!</v>
      </c>
      <c r="U18" s="1010" t="e">
        <f ca="1">INDEX('Profile Data'!AN$8:AN$27,MATCH($B17,'Profile Data'!$V$8:$V$27,1)+1,0)</f>
        <v>#REF!</v>
      </c>
      <c r="V18" s="1010" t="e">
        <f ca="1">INDEX('Profile Data'!AO$8:AO$27,MATCH($B17,'Profile Data'!$V$8:$V$27,1)+1,0)/V4</f>
        <v>#REF!</v>
      </c>
      <c r="W18" s="1010" t="e">
        <f ca="1">INDEX('Profile Data'!AP$8:AP$27,MATCH($B17,'Profile Data'!$V$8:$V$27,1)+1,0)</f>
        <v>#REF!</v>
      </c>
      <c r="X18" s="1010" t="e">
        <f ca="1">INDEX('Profile Data'!AQ$8:AQ$27,MATCH($B17,'Profile Data'!$V$8:$V$27,1)+1,0)/X4</f>
        <v>#REF!</v>
      </c>
      <c r="Y18" s="1010" t="e">
        <f ca="1">INDEX('Profile Data'!AR$8:AR$27,MATCH($B17,'Profile Data'!$V$8:$V$27,1)+1,0)</f>
        <v>#REF!</v>
      </c>
      <c r="Z18" s="1010" t="e">
        <f ca="1">INDEX('Profile Data'!AS$8:AS$27,MATCH($B17,'Profile Data'!$V$8:$V$27,1)+1,0)/Z4</f>
        <v>#REF!</v>
      </c>
      <c r="AA18" s="1010" t="e">
        <f ca="1">INDEX('Profile Data'!AT$8:AT$27,MATCH($B17,'Profile Data'!$V$8:$V$27,1)+1,0)</f>
        <v>#REF!</v>
      </c>
      <c r="AB18" s="1010" t="e">
        <f ca="1">INDEX('Profile Data'!AU$8:AU$27,MATCH($B17,'Profile Data'!$V$8:$V$27,1)+1,0)/AB4</f>
        <v>#REF!</v>
      </c>
      <c r="AC18" s="1010" t="e">
        <f ca="1">INDEX('Profile Data'!AV$8:AV$27,MATCH($B17,'Profile Data'!$V$8:$V$27,1)+1,0)</f>
        <v>#REF!</v>
      </c>
      <c r="AD18" s="1010" t="e">
        <f ca="1">INDEX('Profile Data'!AW$8:AW$27,MATCH($B17,'Profile Data'!$V$8:$V$27,1)+1,0)/AD4</f>
        <v>#REF!</v>
      </c>
      <c r="AE18" s="1010" t="e">
        <f ca="1">INDEX('Profile Data'!AX$8:AX$27,MATCH($B17,'Profile Data'!$V$8:$V$27,1)+1,0)</f>
        <v>#REF!</v>
      </c>
      <c r="AF18" s="1010" t="e">
        <f ca="1">INDEX('Profile Data'!AY$8:AY$27,MATCH($B17,'Profile Data'!$V$8:$V$27,1)+1,0)/AF4</f>
        <v>#REF!</v>
      </c>
      <c r="AG18" s="1010" t="e">
        <f ca="1">INDEX('Profile Data'!AZ$8:AZ$27,MATCH($B17,'Profile Data'!$V$8:$V$27,1)+1,0)</f>
        <v>#REF!</v>
      </c>
    </row>
    <row r="21" spans="1:33" x14ac:dyDescent="0.2">
      <c r="A21" s="578" t="s">
        <v>607</v>
      </c>
    </row>
    <row r="22" spans="1:33" x14ac:dyDescent="0.2">
      <c r="A22" s="1012" t="s">
        <v>608</v>
      </c>
    </row>
    <row r="23" spans="1:33" ht="51" x14ac:dyDescent="0.2">
      <c r="A23" s="1008" t="s">
        <v>604</v>
      </c>
      <c r="B23" s="1008" t="s">
        <v>605</v>
      </c>
      <c r="C23" s="577" t="str">
        <f>RWDI_FACTORS!H12</f>
        <v>Water</v>
      </c>
      <c r="D23" s="577" t="str">
        <f>RWDI_FACTORS!I12</f>
        <v>OPEN</v>
      </c>
      <c r="E23" s="577" t="str">
        <f>RWDI_FACTORS!J12</f>
        <v>open/sub</v>
      </c>
      <c r="F23" s="577" t="str">
        <f>RWDI_FACTORS!K12</f>
        <v>suburban</v>
      </c>
      <c r="G23" s="577" t="str">
        <f>RWDI_FACTORS!L12</f>
        <v>urban</v>
      </c>
      <c r="H23" s="1013" t="str">
        <f>RWDI_FACTORS!M12</f>
        <v>10-30</v>
      </c>
      <c r="I23" s="1013" t="str">
        <f>RWDI_FACTORS!N12</f>
        <v>40-60</v>
      </c>
      <c r="J23" s="1013" t="str">
        <f>RWDI_FACTORS!O12</f>
        <v>70-90</v>
      </c>
      <c r="K23" s="1013" t="str">
        <f>RWDI_FACTORS!P12</f>
        <v>100-120</v>
      </c>
      <c r="L23" s="1013" t="str">
        <f>RWDI_FACTORS!Q12</f>
        <v>130-150</v>
      </c>
      <c r="M23" s="577" t="str">
        <f>RWDI_FACTORS!R12</f>
        <v>160-180.</v>
      </c>
      <c r="N23" s="577" t="str">
        <f>RWDI_FACTORS!S12</f>
        <v>190-210</v>
      </c>
      <c r="O23" s="577" t="str">
        <f>RWDI_FACTORS!T12</f>
        <v>220-240</v>
      </c>
      <c r="P23" s="577" t="str">
        <f>RWDI_FACTORS!U12</f>
        <v>250-270</v>
      </c>
      <c r="Q23" s="577" t="str">
        <f>RWDI_FACTORS!V12</f>
        <v>280-300</v>
      </c>
      <c r="R23" s="577" t="str">
        <f>RWDI_FACTORS!W12</f>
        <v>310-330</v>
      </c>
      <c r="S23" s="577" t="str">
        <f>RWDI_FACTORS!X12</f>
        <v>340-360</v>
      </c>
      <c r="T23" s="1013">
        <f>RWDI_FACTORS!Y12</f>
        <v>0</v>
      </c>
      <c r="U23" s="577">
        <f>RWDI_FACTORS!Z12</f>
        <v>0</v>
      </c>
      <c r="V23" s="577">
        <f>RWDI_FACTORS!AA12</f>
        <v>0</v>
      </c>
      <c r="W23" s="577">
        <f>RWDI_FACTORS!AB12</f>
        <v>0</v>
      </c>
    </row>
    <row r="25" spans="1:33" x14ac:dyDescent="0.2">
      <c r="A25" s="577">
        <f>'Wind speed'!B21</f>
        <v>54.3</v>
      </c>
      <c r="B25" s="1014">
        <f>A25/RWDI_FACTORS!$D$7*39.37</f>
        <v>5.3444774999999991</v>
      </c>
      <c r="C25" s="1015">
        <f>'Wind speed'!C21</f>
        <v>41.566640249491748</v>
      </c>
      <c r="D25" s="1015">
        <f>'Wind speed'!D21</f>
        <v>38.501896644419361</v>
      </c>
      <c r="E25" s="1015">
        <f>'Wind speed'!E21</f>
        <v>34.169803620318504</v>
      </c>
      <c r="F25" s="1015">
        <f>'Wind speed'!F21</f>
        <v>30.559445064631046</v>
      </c>
      <c r="G25" s="1015">
        <f>'Wind speed'!G21</f>
        <v>24.306230706658486</v>
      </c>
      <c r="H25" s="1015">
        <f>'Wind speed'!H21</f>
        <v>41.566640249491748</v>
      </c>
      <c r="I25" s="1015">
        <f>'Wind speed'!I21</f>
        <v>38.501896644419361</v>
      </c>
      <c r="J25" s="1015">
        <f>'Wind speed'!J21</f>
        <v>34.169803620318504</v>
      </c>
      <c r="K25" s="1015">
        <f>'Wind speed'!K21</f>
        <v>30.559445064631046</v>
      </c>
      <c r="L25" s="1015">
        <f>'Wind speed'!L21</f>
        <v>24.306230706658486</v>
      </c>
      <c r="M25" s="1015">
        <f>'Wind speed'!M21</f>
        <v>41.566640249491748</v>
      </c>
      <c r="N25" s="1015">
        <f>'Wind speed'!N21</f>
        <v>38.501896644419361</v>
      </c>
      <c r="O25" s="1015">
        <f>'Wind speed'!O21</f>
        <v>34.169803620318504</v>
      </c>
      <c r="P25" s="1015">
        <f>'Wind speed'!P21</f>
        <v>30.559445064631046</v>
      </c>
      <c r="Q25" s="1015">
        <f>'Wind speed'!Q21</f>
        <v>24.306230706658486</v>
      </c>
      <c r="R25" s="1015">
        <f>'Wind speed'!R21</f>
        <v>27.024770856791434</v>
      </c>
      <c r="S25" s="1015">
        <f>'Wind speed'!S21</f>
        <v>29.537207123338892</v>
      </c>
      <c r="T25" s="1015">
        <f>'Wind speed'!T21</f>
        <v>0</v>
      </c>
      <c r="U25" s="1015">
        <f>'Wind speed'!U21</f>
        <v>0</v>
      </c>
      <c r="V25" s="1015">
        <f>'Wind speed'!V21</f>
        <v>0</v>
      </c>
      <c r="W25" s="1015">
        <f>'Wind speed'!W21</f>
        <v>0</v>
      </c>
    </row>
    <row r="26" spans="1:33" x14ac:dyDescent="0.2">
      <c r="A26" s="577">
        <f>'Wind speed'!B22</f>
        <v>90.5</v>
      </c>
      <c r="B26" s="1014">
        <f>A26/RWDI_FACTORS!$D$7*39.37</f>
        <v>8.9074624999999994</v>
      </c>
      <c r="C26" s="1015">
        <f>'Wind speed'!C22</f>
        <v>44.116031069408265</v>
      </c>
      <c r="D26" s="1015">
        <f>'Wind speed'!D22</f>
        <v>41.250052076697934</v>
      </c>
      <c r="E26" s="1015">
        <f>'Wind speed'!E22</f>
        <v>37.195496825184314</v>
      </c>
      <c r="F26" s="1015">
        <f>'Wind speed'!F22</f>
        <v>33.869490129256633</v>
      </c>
      <c r="G26" s="1015">
        <f>'Wind speed'!G22</f>
        <v>28.714822307271515</v>
      </c>
      <c r="H26" s="1015">
        <f>'Wind speed'!H22</f>
        <v>44.116031069408265</v>
      </c>
      <c r="I26" s="1015">
        <f>'Wind speed'!I22</f>
        <v>41.250052076697934</v>
      </c>
      <c r="J26" s="1015">
        <f>'Wind speed'!J22</f>
        <v>37.195496825184314</v>
      </c>
      <c r="K26" s="1015">
        <f>'Wind speed'!K22</f>
        <v>33.869490129256633</v>
      </c>
      <c r="L26" s="1015">
        <f>'Wind speed'!L22</f>
        <v>28.714822307271515</v>
      </c>
      <c r="M26" s="1015">
        <f>'Wind speed'!M22</f>
        <v>44.116031069408265</v>
      </c>
      <c r="N26" s="1015">
        <f>'Wind speed'!N22</f>
        <v>41.250052076697934</v>
      </c>
      <c r="O26" s="1015">
        <f>'Wind speed'!O22</f>
        <v>37.195496825184314</v>
      </c>
      <c r="P26" s="1015">
        <f>'Wind speed'!P22</f>
        <v>33.869490129256633</v>
      </c>
      <c r="Q26" s="1015">
        <f>'Wind speed'!Q22</f>
        <v>28.714822307271515</v>
      </c>
      <c r="R26" s="1015">
        <f>'Wind speed'!R22</f>
        <v>30.895939475982747</v>
      </c>
      <c r="S26" s="1015">
        <f>'Wind speed'!S22</f>
        <v>33.026963502084648</v>
      </c>
      <c r="T26" s="1015">
        <f>'Wind speed'!T22</f>
        <v>0</v>
      </c>
      <c r="U26" s="1015">
        <f>'Wind speed'!U22</f>
        <v>0</v>
      </c>
      <c r="V26" s="1015">
        <f>'Wind speed'!V22</f>
        <v>0</v>
      </c>
      <c r="W26" s="1015">
        <f>'Wind speed'!W22</f>
        <v>0</v>
      </c>
    </row>
    <row r="27" spans="1:33" x14ac:dyDescent="0.2">
      <c r="A27" s="577">
        <f>'Wind speed'!B23</f>
        <v>120.7</v>
      </c>
      <c r="B27" s="1014">
        <f>A27/RWDI_FACTORS!$D$7*39.37</f>
        <v>11.8798975</v>
      </c>
      <c r="C27" s="1015">
        <f>'Wind speed'!C23</f>
        <v>45.629421130453608</v>
      </c>
      <c r="D27" s="1015">
        <f>'Wind speed'!D23</f>
        <v>42.87573986311363</v>
      </c>
      <c r="E27" s="1015">
        <f>'Wind speed'!E23</f>
        <v>38.97792440805425</v>
      </c>
      <c r="F27" s="1015">
        <f>'Wind speed'!F23</f>
        <v>35.841406981413463</v>
      </c>
      <c r="G27" s="1015">
        <f>'Wind speed'!G23</f>
        <v>31.082880495667457</v>
      </c>
      <c r="H27" s="1015">
        <f>'Wind speed'!H23</f>
        <v>45.629421130453608</v>
      </c>
      <c r="I27" s="1015">
        <f>'Wind speed'!I23</f>
        <v>42.87573986311363</v>
      </c>
      <c r="J27" s="1015">
        <f>'Wind speed'!J23</f>
        <v>38.97792440805425</v>
      </c>
      <c r="K27" s="1015">
        <f>'Wind speed'!K23</f>
        <v>35.841406981413463</v>
      </c>
      <c r="L27" s="1015">
        <f>'Wind speed'!L23</f>
        <v>31.082880495667457</v>
      </c>
      <c r="M27" s="1015">
        <f>'Wind speed'!M23</f>
        <v>45.629421130453608</v>
      </c>
      <c r="N27" s="1015">
        <f>'Wind speed'!N23</f>
        <v>42.87573986311363</v>
      </c>
      <c r="O27" s="1015">
        <f>'Wind speed'!O23</f>
        <v>38.97792440805425</v>
      </c>
      <c r="P27" s="1015">
        <f>'Wind speed'!P23</f>
        <v>35.841406981413463</v>
      </c>
      <c r="Q27" s="1015">
        <f>'Wind speed'!Q23</f>
        <v>31.082880495667457</v>
      </c>
      <c r="R27" s="1015">
        <f>'Wind speed'!R23</f>
        <v>33.137918865482156</v>
      </c>
      <c r="S27" s="1015">
        <f>'Wind speed'!S23</f>
        <v>35.006829680083314</v>
      </c>
      <c r="T27" s="1015">
        <f>'Wind speed'!T23</f>
        <v>0</v>
      </c>
      <c r="U27" s="1015">
        <f>'Wind speed'!U23</f>
        <v>0</v>
      </c>
      <c r="V27" s="1015">
        <f>'Wind speed'!V23</f>
        <v>0</v>
      </c>
      <c r="W27" s="1015">
        <f>'Wind speed'!W23</f>
        <v>0</v>
      </c>
    </row>
    <row r="28" spans="1:33" x14ac:dyDescent="0.2">
      <c r="A28" s="577">
        <f>'Wind speed'!B24</f>
        <v>144.80000000000001</v>
      </c>
      <c r="B28" s="1014">
        <f>A28/RWDI_FACTORS!$D$7*39.37</f>
        <v>14.251940000000001</v>
      </c>
      <c r="C28" s="1015">
        <f>'Wind speed'!C24</f>
        <v>46.624605395550837</v>
      </c>
      <c r="D28" s="1015">
        <f>'Wind speed'!D24</f>
        <v>43.942096578803124</v>
      </c>
      <c r="E28" s="1015">
        <f>'Wind speed'!E24</f>
        <v>40.143575190895561</v>
      </c>
      <c r="F28" s="1015">
        <f>'Wind speed'!F24</f>
        <v>37.166605381189498</v>
      </c>
      <c r="G28" s="1015">
        <f>'Wind speed'!G24</f>
        <v>32.656371988175614</v>
      </c>
      <c r="H28" s="1015">
        <f>'Wind speed'!H24</f>
        <v>46.624605395550837</v>
      </c>
      <c r="I28" s="1015">
        <f>'Wind speed'!I24</f>
        <v>43.942096578803124</v>
      </c>
      <c r="J28" s="1015">
        <f>'Wind speed'!J24</f>
        <v>40.143575190895561</v>
      </c>
      <c r="K28" s="1015">
        <f>'Wind speed'!K24</f>
        <v>37.166605381189498</v>
      </c>
      <c r="L28" s="1015">
        <f>'Wind speed'!L24</f>
        <v>32.656371988175614</v>
      </c>
      <c r="M28" s="1015">
        <f>'Wind speed'!M24</f>
        <v>46.624605395550837</v>
      </c>
      <c r="N28" s="1015">
        <f>'Wind speed'!N24</f>
        <v>43.942096578803124</v>
      </c>
      <c r="O28" s="1015">
        <f>'Wind speed'!O24</f>
        <v>40.143575190895561</v>
      </c>
      <c r="P28" s="1015">
        <f>'Wind speed'!P24</f>
        <v>37.166605381189498</v>
      </c>
      <c r="Q28" s="1015">
        <f>'Wind speed'!Q24</f>
        <v>32.656371988175614</v>
      </c>
      <c r="R28" s="1015">
        <f>'Wind speed'!R24</f>
        <v>34.605429120621274</v>
      </c>
      <c r="S28" s="1015">
        <f>'Wind speed'!S24</f>
        <v>36.358433028502283</v>
      </c>
      <c r="T28" s="1015">
        <f>'Wind speed'!T24</f>
        <v>0</v>
      </c>
      <c r="U28" s="1015">
        <f>'Wind speed'!U24</f>
        <v>0</v>
      </c>
      <c r="V28" s="1015">
        <f>'Wind speed'!V24</f>
        <v>0</v>
      </c>
      <c r="W28" s="1015">
        <f>'Wind speed'!W24</f>
        <v>0</v>
      </c>
    </row>
    <row r="29" spans="1:33" x14ac:dyDescent="0.2">
      <c r="A29" s="577">
        <f>'Wind speed'!B25</f>
        <v>181</v>
      </c>
      <c r="B29" s="1014">
        <f>A29/RWDI_FACTORS!$D$7*39.37</f>
        <v>17.814924999999999</v>
      </c>
      <c r="C29" s="1015">
        <f>'Wind speed'!C25</f>
        <v>47.894797570686677</v>
      </c>
      <c r="D29" s="1015">
        <f>'Wind speed'!D25</f>
        <v>45.299834647911005</v>
      </c>
      <c r="E29" s="1015">
        <f>'Wind speed'!E25</f>
        <v>41.62337264691012</v>
      </c>
      <c r="F29" s="1015">
        <f>'Wind speed'!F25</f>
        <v>38.871104292161135</v>
      </c>
      <c r="G29" s="1015">
        <f>'Wind speed'!G25</f>
        <v>34.688931234696618</v>
      </c>
      <c r="H29" s="1015">
        <f>'Wind speed'!H25</f>
        <v>47.894797570686677</v>
      </c>
      <c r="I29" s="1015">
        <f>'Wind speed'!I25</f>
        <v>45.299834647911005</v>
      </c>
      <c r="J29" s="1015">
        <f>'Wind speed'!J25</f>
        <v>41.62337264691012</v>
      </c>
      <c r="K29" s="1015">
        <f>'Wind speed'!K25</f>
        <v>38.871104292161135</v>
      </c>
      <c r="L29" s="1015">
        <f>'Wind speed'!L25</f>
        <v>34.688931234696618</v>
      </c>
      <c r="M29" s="1015">
        <f>'Wind speed'!M25</f>
        <v>47.894797570686677</v>
      </c>
      <c r="N29" s="1015">
        <f>'Wind speed'!N25</f>
        <v>45.299834647911005</v>
      </c>
      <c r="O29" s="1015">
        <f>'Wind speed'!O25</f>
        <v>41.62337264691012</v>
      </c>
      <c r="P29" s="1015">
        <f>'Wind speed'!P25</f>
        <v>38.871104292161135</v>
      </c>
      <c r="Q29" s="1015">
        <f>'Wind speed'!Q25</f>
        <v>34.688931234696618</v>
      </c>
      <c r="R29" s="1015">
        <f>'Wind speed'!R25</f>
        <v>36.458893000737724</v>
      </c>
      <c r="S29" s="1015">
        <f>'Wind speed'!S25</f>
        <v>38.114118020519186</v>
      </c>
      <c r="T29" s="1015">
        <f>'Wind speed'!T25</f>
        <v>0</v>
      </c>
      <c r="U29" s="1015">
        <f>'Wind speed'!U25</f>
        <v>0</v>
      </c>
      <c r="V29" s="1015">
        <f>'Wind speed'!V25</f>
        <v>0</v>
      </c>
      <c r="W29" s="1015">
        <f>'Wind speed'!W25</f>
        <v>0</v>
      </c>
    </row>
    <row r="32" spans="1:33" x14ac:dyDescent="0.2">
      <c r="A32" s="579" t="s">
        <v>198</v>
      </c>
    </row>
    <row r="33" spans="1:23" ht="51" x14ac:dyDescent="0.2">
      <c r="A33" s="1008" t="s">
        <v>604</v>
      </c>
      <c r="B33" s="1008" t="s">
        <v>605</v>
      </c>
      <c r="C33" s="577" t="str">
        <f>RWDI_FACTORS!H12</f>
        <v>Water</v>
      </c>
      <c r="D33" s="577" t="str">
        <f>RWDI_FACTORS!I12</f>
        <v>OPEN</v>
      </c>
      <c r="E33" s="577" t="str">
        <f>RWDI_FACTORS!J12</f>
        <v>open/sub</v>
      </c>
      <c r="F33" s="577" t="str">
        <f>RWDI_FACTORS!K12</f>
        <v>suburban</v>
      </c>
      <c r="G33" s="577" t="str">
        <f>RWDI_FACTORS!L12</f>
        <v>urban</v>
      </c>
      <c r="H33" s="1013" t="str">
        <f>RWDI_FACTORS!M12</f>
        <v>10-30</v>
      </c>
      <c r="I33" s="1013" t="str">
        <f>RWDI_FACTORS!N12</f>
        <v>40-60</v>
      </c>
      <c r="J33" s="1013" t="str">
        <f>RWDI_FACTORS!O12</f>
        <v>70-90</v>
      </c>
      <c r="K33" s="1013" t="str">
        <f>RWDI_FACTORS!P12</f>
        <v>100-120</v>
      </c>
      <c r="L33" s="1013" t="str">
        <f>RWDI_FACTORS!Q12</f>
        <v>130-150</v>
      </c>
      <c r="M33" s="577" t="str">
        <f>RWDI_FACTORS!R12</f>
        <v>160-180.</v>
      </c>
      <c r="N33" s="577" t="str">
        <f>RWDI_FACTORS!S12</f>
        <v>190-210</v>
      </c>
      <c r="O33" s="577" t="str">
        <f>RWDI_FACTORS!T12</f>
        <v>220-240</v>
      </c>
      <c r="P33" s="577" t="str">
        <f>RWDI_FACTORS!U12</f>
        <v>250-270</v>
      </c>
      <c r="Q33" s="577" t="str">
        <f>RWDI_FACTORS!V12</f>
        <v>280-300</v>
      </c>
      <c r="R33" s="577" t="str">
        <f>RWDI_FACTORS!W12</f>
        <v>310-330</v>
      </c>
      <c r="S33" s="577" t="str">
        <f>RWDI_FACTORS!X12</f>
        <v>340-360</v>
      </c>
      <c r="T33" s="1013">
        <f>RWDI_FACTORS!Y12</f>
        <v>0</v>
      </c>
      <c r="U33" s="577">
        <f>RWDI_FACTORS!Z12</f>
        <v>0</v>
      </c>
      <c r="V33" s="577">
        <f>RWDI_FACTORS!AA12</f>
        <v>0</v>
      </c>
      <c r="W33" s="577">
        <f>RWDI_FACTORS!AB12</f>
        <v>0</v>
      </c>
    </row>
    <row r="35" spans="1:23" x14ac:dyDescent="0.2">
      <c r="A35" s="577">
        <f>'u-component turbulence'!B21</f>
        <v>54.3</v>
      </c>
      <c r="B35" s="1014">
        <f>A35/RWDI_FACTORS!$D$7*39.37</f>
        <v>5.3444774999999991</v>
      </c>
      <c r="C35" s="1016">
        <f>'u-component turbulence'!C21</f>
        <v>0.11876168260726419</v>
      </c>
      <c r="D35" s="1016">
        <f>'u-component turbulence'!D21</f>
        <v>0.13885112574490491</v>
      </c>
      <c r="E35" s="1016">
        <f>'u-component turbulence'!E21</f>
        <v>0.17156086620290423</v>
      </c>
      <c r="F35" s="1016">
        <f>'u-component turbulence'!F21</f>
        <v>0.20915595286716224</v>
      </c>
      <c r="G35" s="1016">
        <f>'u-component turbulence'!G21</f>
        <v>0.28780788720106526</v>
      </c>
      <c r="H35" s="1016">
        <f>'u-component turbulence'!H21</f>
        <v>0.11876168260726419</v>
      </c>
      <c r="I35" s="1016">
        <f>'u-component turbulence'!I21</f>
        <v>0.13885112574490491</v>
      </c>
      <c r="J35" s="1016">
        <f>'u-component turbulence'!J21</f>
        <v>0.17156086620290423</v>
      </c>
      <c r="K35" s="1016">
        <f>'u-component turbulence'!K21</f>
        <v>0.20915595286716224</v>
      </c>
      <c r="L35" s="1016">
        <f>'u-component turbulence'!L21</f>
        <v>0.28780788720106526</v>
      </c>
      <c r="M35" s="1016">
        <f>'u-component turbulence'!M21</f>
        <v>0.11876168260726419</v>
      </c>
      <c r="N35" s="1016">
        <f>'u-component turbulence'!N21</f>
        <v>0.13885112574490491</v>
      </c>
      <c r="O35" s="1016">
        <f>'u-component turbulence'!O21</f>
        <v>0.17156086620290423</v>
      </c>
      <c r="P35" s="1016">
        <f>'u-component turbulence'!P21</f>
        <v>0.20915595286716224</v>
      </c>
      <c r="Q35" s="1016">
        <f>'u-component turbulence'!Q21</f>
        <v>0.28780788720106526</v>
      </c>
      <c r="R35" s="1016">
        <f>'u-component turbulence'!R21</f>
        <v>0.25027839599239898</v>
      </c>
      <c r="S35" s="1016">
        <f>'u-component turbulence'!S21</f>
        <v>0.2203684352481885</v>
      </c>
      <c r="T35" s="1016">
        <f>'u-component turbulence'!T21</f>
        <v>0</v>
      </c>
      <c r="U35" s="1016">
        <f>'u-component turbulence'!U21</f>
        <v>0</v>
      </c>
      <c r="V35" s="1016">
        <f>'u-component turbulence'!V21</f>
        <v>0</v>
      </c>
      <c r="W35" s="1016">
        <f>'u-component turbulence'!W21</f>
        <v>0</v>
      </c>
    </row>
    <row r="36" spans="1:23" x14ac:dyDescent="0.2">
      <c r="A36" s="577">
        <f>'u-component turbulence'!B22</f>
        <v>90.5</v>
      </c>
      <c r="B36" s="1014">
        <f>A36/RWDI_FACTORS!$D$7*39.37</f>
        <v>8.9074624999999994</v>
      </c>
      <c r="C36" s="1016">
        <f>'u-component turbulence'!C22</f>
        <v>0.10831853440350793</v>
      </c>
      <c r="D36" s="1016">
        <f>'u-component turbulence'!D22</f>
        <v>0.12771035885288606</v>
      </c>
      <c r="E36" s="1016">
        <f>'u-component turbulence'!E22</f>
        <v>0.15865955979843302</v>
      </c>
      <c r="F36" s="1016">
        <f>'u-component turbulence'!F22</f>
        <v>0.19219132769084138</v>
      </c>
      <c r="G36" s="1016">
        <f>'u-component turbulence'!G22</f>
        <v>0.25349746759784308</v>
      </c>
      <c r="H36" s="1016">
        <f>'u-component turbulence'!H22</f>
        <v>0.10831853440350793</v>
      </c>
      <c r="I36" s="1016">
        <f>'u-component turbulence'!I22</f>
        <v>0.12771035885288606</v>
      </c>
      <c r="J36" s="1016">
        <f>'u-component turbulence'!J22</f>
        <v>0.15865955979843302</v>
      </c>
      <c r="K36" s="1016">
        <f>'u-component turbulence'!K22</f>
        <v>0.19219132769084138</v>
      </c>
      <c r="L36" s="1016">
        <f>'u-component turbulence'!L22</f>
        <v>0.25349746759784308</v>
      </c>
      <c r="M36" s="1016">
        <f>'u-component turbulence'!M22</f>
        <v>0.10831853440350793</v>
      </c>
      <c r="N36" s="1016">
        <f>'u-component turbulence'!N22</f>
        <v>0.12771035885288606</v>
      </c>
      <c r="O36" s="1016">
        <f>'u-component turbulence'!O22</f>
        <v>0.15865955979843302</v>
      </c>
      <c r="P36" s="1016">
        <f>'u-component turbulence'!P22</f>
        <v>0.19219132769084138</v>
      </c>
      <c r="Q36" s="1016">
        <f>'u-component turbulence'!Q22</f>
        <v>0.25349746759784308</v>
      </c>
      <c r="R36" s="1016">
        <f>'u-component turbulence'!R22</f>
        <v>0.22628156778788744</v>
      </c>
      <c r="S36" s="1016">
        <f>'u-component turbulence'!S22</f>
        <v>0.20145727326186952</v>
      </c>
      <c r="T36" s="1016">
        <f>'u-component turbulence'!T22</f>
        <v>0</v>
      </c>
      <c r="U36" s="1016">
        <f>'u-component turbulence'!U22</f>
        <v>0</v>
      </c>
      <c r="V36" s="1016">
        <f>'u-component turbulence'!V22</f>
        <v>0</v>
      </c>
      <c r="W36" s="1016">
        <f>'u-component turbulence'!W22</f>
        <v>0</v>
      </c>
    </row>
    <row r="37" spans="1:23" x14ac:dyDescent="0.2">
      <c r="A37" s="577">
        <f>'u-component turbulence'!B23</f>
        <v>120.7</v>
      </c>
      <c r="B37" s="1014">
        <f>A37/RWDI_FACTORS!$D$7*39.37</f>
        <v>11.8798975</v>
      </c>
      <c r="C37" s="1016">
        <f>'u-component turbulence'!C23</f>
        <v>0.10136646185266636</v>
      </c>
      <c r="D37" s="1016">
        <f>'u-component turbulence'!D23</f>
        <v>0.12033426426237992</v>
      </c>
      <c r="E37" s="1016">
        <f>'u-component turbulence'!E23</f>
        <v>0.15041439697904124</v>
      </c>
      <c r="F37" s="1016">
        <f>'u-component turbulence'!F23</f>
        <v>0.1811554897459601</v>
      </c>
      <c r="G37" s="1016">
        <f>'u-component turbulence'!G23</f>
        <v>0.23667254275369529</v>
      </c>
      <c r="H37" s="1016">
        <f>'u-component turbulence'!H23</f>
        <v>0.10136646185266636</v>
      </c>
      <c r="I37" s="1016">
        <f>'u-component turbulence'!I23</f>
        <v>0.12033426426237992</v>
      </c>
      <c r="J37" s="1016">
        <f>'u-component turbulence'!J23</f>
        <v>0.15041439697904124</v>
      </c>
      <c r="K37" s="1016">
        <f>'u-component turbulence'!K23</f>
        <v>0.1811554897459601</v>
      </c>
      <c r="L37" s="1016">
        <f>'u-component turbulence'!L23</f>
        <v>0.23667254275369529</v>
      </c>
      <c r="M37" s="1016">
        <f>'u-component turbulence'!M23</f>
        <v>0.10136646185266636</v>
      </c>
      <c r="N37" s="1016">
        <f>'u-component turbulence'!N23</f>
        <v>0.12033426426237992</v>
      </c>
      <c r="O37" s="1016">
        <f>'u-component turbulence'!O23</f>
        <v>0.15041439697904124</v>
      </c>
      <c r="P37" s="1016">
        <f>'u-component turbulence'!P23</f>
        <v>0.1811554897459601</v>
      </c>
      <c r="Q37" s="1016">
        <f>'u-component turbulence'!Q23</f>
        <v>0.23667254275369529</v>
      </c>
      <c r="R37" s="1016">
        <f>'u-component turbulence'!R23</f>
        <v>0.21244327899944421</v>
      </c>
      <c r="S37" s="1016">
        <f>'u-component turbulence'!S23</f>
        <v>0.18996455122229031</v>
      </c>
      <c r="T37" s="1016">
        <f>'u-component turbulence'!T23</f>
        <v>0</v>
      </c>
      <c r="U37" s="1016">
        <f>'u-component turbulence'!U23</f>
        <v>0</v>
      </c>
      <c r="V37" s="1016">
        <f>'u-component turbulence'!V23</f>
        <v>0</v>
      </c>
      <c r="W37" s="1016">
        <f>'u-component turbulence'!W23</f>
        <v>0</v>
      </c>
    </row>
    <row r="38" spans="1:23" x14ac:dyDescent="0.2">
      <c r="A38" s="577">
        <f>'u-component turbulence'!B24</f>
        <v>144.80000000000001</v>
      </c>
      <c r="B38" s="1014">
        <f>A38/RWDI_FACTORS!$D$7*39.37</f>
        <v>14.251940000000001</v>
      </c>
      <c r="C38" s="1016">
        <f>'u-component turbulence'!C24</f>
        <v>9.6617106154629318E-2</v>
      </c>
      <c r="D38" s="1016">
        <f>'u-component turbulence'!D24</f>
        <v>0.115258672294374</v>
      </c>
      <c r="E38" s="1016">
        <f>'u-component turbulence'!E24</f>
        <v>0.14476606087004473</v>
      </c>
      <c r="F38" s="1016">
        <f>'u-component turbulence'!F24</f>
        <v>0.17333019251166634</v>
      </c>
      <c r="G38" s="1016">
        <f>'u-component turbulence'!G24</f>
        <v>0.22534371949097329</v>
      </c>
      <c r="H38" s="1016">
        <f>'u-component turbulence'!H24</f>
        <v>9.6617106154629318E-2</v>
      </c>
      <c r="I38" s="1016">
        <f>'u-component turbulence'!I24</f>
        <v>0.115258672294374</v>
      </c>
      <c r="J38" s="1016">
        <f>'u-component turbulence'!J24</f>
        <v>0.14476606087004473</v>
      </c>
      <c r="K38" s="1016">
        <f>'u-component turbulence'!K24</f>
        <v>0.17333019251166634</v>
      </c>
      <c r="L38" s="1016">
        <f>'u-component turbulence'!L24</f>
        <v>0.22534371949097329</v>
      </c>
      <c r="M38" s="1016">
        <f>'u-component turbulence'!M24</f>
        <v>9.6617106154629318E-2</v>
      </c>
      <c r="N38" s="1016">
        <f>'u-component turbulence'!N24</f>
        <v>0.115258672294374</v>
      </c>
      <c r="O38" s="1016">
        <f>'u-component turbulence'!O24</f>
        <v>0.14476606087004473</v>
      </c>
      <c r="P38" s="1016">
        <f>'u-component turbulence'!P24</f>
        <v>0.17333019251166634</v>
      </c>
      <c r="Q38" s="1016">
        <f>'u-component turbulence'!Q24</f>
        <v>0.22534371949097329</v>
      </c>
      <c r="R38" s="1016">
        <f>'u-component turbulence'!R24</f>
        <v>0.20305576040963857</v>
      </c>
      <c r="S38" s="1016">
        <f>'u-component turbulence'!S24</f>
        <v>0.18168534700504313</v>
      </c>
      <c r="T38" s="1016">
        <f>'u-component turbulence'!T24</f>
        <v>0</v>
      </c>
      <c r="U38" s="1016">
        <f>'u-component turbulence'!U24</f>
        <v>0</v>
      </c>
      <c r="V38" s="1016">
        <f>'u-component turbulence'!V24</f>
        <v>0</v>
      </c>
      <c r="W38" s="1016">
        <f>'u-component turbulence'!W24</f>
        <v>0</v>
      </c>
    </row>
    <row r="39" spans="1:23" x14ac:dyDescent="0.2">
      <c r="A39" s="577">
        <f>'u-component turbulence'!B25</f>
        <v>181</v>
      </c>
      <c r="B39" s="1014">
        <f>A39/RWDI_FACTORS!$D$7*39.37</f>
        <v>17.814924999999999</v>
      </c>
      <c r="C39" s="1016">
        <f>'u-component turbulence'!C25</f>
        <v>9.0508042085054211E-2</v>
      </c>
      <c r="D39" s="1016">
        <f>'u-component turbulence'!D25</f>
        <v>0.10865124495504516</v>
      </c>
      <c r="E39" s="1016">
        <f>'u-component turbulence'!E25</f>
        <v>0.13737139117112485</v>
      </c>
      <c r="F39" s="1016">
        <f>'u-component turbulence'!F25</f>
        <v>0.16288386144561609</v>
      </c>
      <c r="G39" s="1016">
        <f>'u-component turbulence'!G25</f>
        <v>0.21042092516257763</v>
      </c>
      <c r="H39" s="1016">
        <f>'u-component turbulence'!H25</f>
        <v>9.0508042085054211E-2</v>
      </c>
      <c r="I39" s="1016">
        <f>'u-component turbulence'!I25</f>
        <v>0.10865124495504516</v>
      </c>
      <c r="J39" s="1016">
        <f>'u-component turbulence'!J25</f>
        <v>0.13737139117112485</v>
      </c>
      <c r="K39" s="1016">
        <f>'u-component turbulence'!K25</f>
        <v>0.16288386144561609</v>
      </c>
      <c r="L39" s="1016">
        <f>'u-component turbulence'!L25</f>
        <v>0.21042092516257763</v>
      </c>
      <c r="M39" s="1016">
        <f>'u-component turbulence'!M25</f>
        <v>9.0508042085054211E-2</v>
      </c>
      <c r="N39" s="1016">
        <f>'u-component turbulence'!N25</f>
        <v>0.10865124495504516</v>
      </c>
      <c r="O39" s="1016">
        <f>'u-component turbulence'!O25</f>
        <v>0.13737139117112485</v>
      </c>
      <c r="P39" s="1016">
        <f>'u-component turbulence'!P25</f>
        <v>0.16288386144561609</v>
      </c>
      <c r="Q39" s="1016">
        <f>'u-component turbulence'!Q25</f>
        <v>0.21042092516257763</v>
      </c>
      <c r="R39" s="1016">
        <f>'u-component turbulence'!R25</f>
        <v>0.1906907498405612</v>
      </c>
      <c r="S39" s="1016">
        <f>'u-component turbulence'!S25</f>
        <v>0.17054669802623937</v>
      </c>
      <c r="T39" s="1016">
        <f>'u-component turbulence'!T25</f>
        <v>0</v>
      </c>
      <c r="U39" s="1016">
        <f>'u-component turbulence'!U25</f>
        <v>0</v>
      </c>
      <c r="V39" s="1016">
        <f>'u-component turbulence'!V25</f>
        <v>0</v>
      </c>
      <c r="W39" s="1016">
        <f>'u-component turbulence'!W25</f>
        <v>0</v>
      </c>
    </row>
    <row r="40" spans="1:23" x14ac:dyDescent="0.2">
      <c r="B40" s="1014"/>
      <c r="C40" s="1016"/>
      <c r="D40" s="1016"/>
      <c r="E40" s="1016"/>
      <c r="F40" s="1016"/>
      <c r="G40" s="1016"/>
      <c r="H40" s="1016"/>
      <c r="I40" s="1016"/>
      <c r="J40" s="1016"/>
      <c r="K40" s="1016"/>
      <c r="L40" s="1016"/>
      <c r="M40" s="1016"/>
      <c r="N40" s="1016"/>
      <c r="O40" s="1016"/>
      <c r="P40" s="1016"/>
      <c r="Q40" s="1016"/>
      <c r="R40" s="1016"/>
      <c r="S40" s="1016"/>
      <c r="T40" s="1016"/>
      <c r="U40" s="1016"/>
      <c r="V40" s="1016"/>
      <c r="W40" s="1016"/>
    </row>
    <row r="41" spans="1:23" x14ac:dyDescent="0.2">
      <c r="B41" s="1014"/>
      <c r="D41" s="1016"/>
      <c r="E41" s="1016"/>
      <c r="F41" s="1016"/>
      <c r="G41" s="1016"/>
      <c r="H41" s="1016"/>
      <c r="I41" s="1016"/>
      <c r="J41" s="1016"/>
      <c r="K41" s="1016"/>
      <c r="L41" s="1016"/>
      <c r="M41" s="1016"/>
      <c r="N41" s="1016"/>
      <c r="O41" s="1016"/>
      <c r="P41" s="1016"/>
      <c r="Q41" s="1016"/>
      <c r="R41" s="1016"/>
      <c r="S41" s="1016"/>
      <c r="T41" s="1016"/>
      <c r="U41" s="1016"/>
      <c r="V41" s="1016"/>
      <c r="W41" s="1016"/>
    </row>
    <row r="42" spans="1:23" x14ac:dyDescent="0.2">
      <c r="A42" s="579" t="s">
        <v>718</v>
      </c>
    </row>
    <row r="43" spans="1:23" ht="51" x14ac:dyDescent="0.2">
      <c r="A43" s="1008" t="s">
        <v>604</v>
      </c>
      <c r="B43" s="1008" t="s">
        <v>605</v>
      </c>
      <c r="C43" s="577" t="str">
        <f>RWDI_FACTORS!H12</f>
        <v>Water</v>
      </c>
      <c r="D43" s="577" t="str">
        <f>RWDI_FACTORS!I12</f>
        <v>OPEN</v>
      </c>
      <c r="E43" s="577" t="str">
        <f>RWDI_FACTORS!J12</f>
        <v>open/sub</v>
      </c>
      <c r="F43" s="577" t="str">
        <f>RWDI_FACTORS!K12</f>
        <v>suburban</v>
      </c>
      <c r="G43" s="577" t="str">
        <f>RWDI_FACTORS!L12</f>
        <v>urban</v>
      </c>
      <c r="H43" s="577" t="str">
        <f>RWDI_FACTORS!M12</f>
        <v>10-30</v>
      </c>
      <c r="I43" s="577" t="str">
        <f>RWDI_FACTORS!N12</f>
        <v>40-60</v>
      </c>
      <c r="J43" s="577" t="str">
        <f>RWDI_FACTORS!O12</f>
        <v>70-90</v>
      </c>
      <c r="K43" s="577" t="str">
        <f>RWDI_FACTORS!P12</f>
        <v>100-120</v>
      </c>
      <c r="L43" s="577" t="str">
        <f>RWDI_FACTORS!Q12</f>
        <v>130-150</v>
      </c>
      <c r="M43" s="577" t="str">
        <f>RWDI_FACTORS!R12</f>
        <v>160-180.</v>
      </c>
      <c r="N43" s="577" t="str">
        <f>RWDI_FACTORS!S12</f>
        <v>190-210</v>
      </c>
      <c r="O43" s="577" t="str">
        <f>RWDI_FACTORS!T12</f>
        <v>220-240</v>
      </c>
      <c r="P43" s="577" t="str">
        <f>RWDI_FACTORS!U12</f>
        <v>250-270</v>
      </c>
      <c r="Q43" s="577" t="str">
        <f>RWDI_FACTORS!V12</f>
        <v>280-300</v>
      </c>
      <c r="R43" s="577" t="str">
        <f>RWDI_FACTORS!W12</f>
        <v>310-330</v>
      </c>
      <c r="S43" s="577" t="str">
        <f>RWDI_FACTORS!X12</f>
        <v>340-360</v>
      </c>
      <c r="T43" s="577">
        <f>RWDI_FACTORS!Y12</f>
        <v>0</v>
      </c>
      <c r="U43" s="577">
        <f>RWDI_FACTORS!Z12</f>
        <v>0</v>
      </c>
      <c r="V43" s="577">
        <f>RWDI_FACTORS!AA12</f>
        <v>0</v>
      </c>
      <c r="W43" s="577">
        <f>RWDI_FACTORS!AB12</f>
        <v>0</v>
      </c>
    </row>
    <row r="44" spans="1:23" x14ac:dyDescent="0.2">
      <c r="A44" s="577">
        <f>A35</f>
        <v>54.3</v>
      </c>
      <c r="B44" s="577">
        <f>B35</f>
        <v>5.3444774999999991</v>
      </c>
      <c r="C44" s="1016">
        <f>(C25*(1+$B$1*C35))</f>
        <v>48.971426454032454</v>
      </c>
      <c r="D44" s="1016">
        <f t="shared" ref="D44:W44" si="0">(D25*(1+$B$1*D35))</f>
        <v>46.520944183006776</v>
      </c>
      <c r="E44" s="1016">
        <f t="shared" si="0"/>
        <v>42.96310528094596</v>
      </c>
      <c r="F44" s="1016">
        <f t="shared" si="0"/>
        <v>40.146979842007951</v>
      </c>
      <c r="G44" s="1016">
        <f t="shared" si="0"/>
        <v>34.799518064916036</v>
      </c>
      <c r="H44" s="1016">
        <f t="shared" si="0"/>
        <v>48.971426454032454</v>
      </c>
      <c r="I44" s="1016">
        <f t="shared" si="0"/>
        <v>46.520944183006776</v>
      </c>
      <c r="J44" s="1016">
        <f t="shared" si="0"/>
        <v>42.96310528094596</v>
      </c>
      <c r="K44" s="1016">
        <f t="shared" si="0"/>
        <v>40.146979842007951</v>
      </c>
      <c r="L44" s="1016">
        <f t="shared" si="0"/>
        <v>34.799518064916036</v>
      </c>
      <c r="M44" s="1016">
        <f t="shared" si="0"/>
        <v>48.971426454032454</v>
      </c>
      <c r="N44" s="1016">
        <f t="shared" si="0"/>
        <v>46.520944183006776</v>
      </c>
      <c r="O44" s="1016">
        <f t="shared" si="0"/>
        <v>42.96310528094596</v>
      </c>
      <c r="P44" s="1016">
        <f t="shared" si="0"/>
        <v>40.146979842007951</v>
      </c>
      <c r="Q44" s="1016">
        <f t="shared" si="0"/>
        <v>34.799518064916036</v>
      </c>
      <c r="R44" s="1016">
        <f t="shared" si="0"/>
        <v>37.170345309941268</v>
      </c>
      <c r="S44" s="1016">
        <f t="shared" si="0"/>
        <v>39.30080929639665</v>
      </c>
      <c r="T44" s="1016">
        <f t="shared" si="0"/>
        <v>0</v>
      </c>
      <c r="U44" s="1016">
        <f t="shared" si="0"/>
        <v>0</v>
      </c>
      <c r="V44" s="1016">
        <f t="shared" si="0"/>
        <v>0</v>
      </c>
      <c r="W44" s="1016">
        <f t="shared" si="0"/>
        <v>0</v>
      </c>
    </row>
    <row r="45" spans="1:23" x14ac:dyDescent="0.2">
      <c r="A45" s="577">
        <f t="shared" ref="A45:B45" si="1">A36</f>
        <v>90.5</v>
      </c>
      <c r="B45" s="577">
        <f t="shared" si="1"/>
        <v>8.9074624999999994</v>
      </c>
      <c r="C45" s="1016">
        <f t="shared" ref="C45:W45" si="2">(C26*(1+$B$1*C36))</f>
        <v>51.283906813115152</v>
      </c>
      <c r="D45" s="1016">
        <f t="shared" si="2"/>
        <v>49.152140506820928</v>
      </c>
      <c r="E45" s="1016">
        <f t="shared" si="2"/>
        <v>46.047628554335951</v>
      </c>
      <c r="F45" s="1016">
        <f t="shared" si="2"/>
        <v>43.633623543487147</v>
      </c>
      <c r="G45" s="1016">
        <f t="shared" si="2"/>
        <v>39.633524413394589</v>
      </c>
      <c r="H45" s="1016">
        <f t="shared" si="2"/>
        <v>51.283906813115152</v>
      </c>
      <c r="I45" s="1016">
        <f t="shared" si="2"/>
        <v>49.152140506820928</v>
      </c>
      <c r="J45" s="1016">
        <f t="shared" si="2"/>
        <v>46.047628554335951</v>
      </c>
      <c r="K45" s="1016">
        <f t="shared" si="2"/>
        <v>43.633623543487147</v>
      </c>
      <c r="L45" s="1016">
        <f t="shared" si="2"/>
        <v>39.633524413394589</v>
      </c>
      <c r="M45" s="1016">
        <f t="shared" si="2"/>
        <v>51.283906813115152</v>
      </c>
      <c r="N45" s="1016">
        <f t="shared" si="2"/>
        <v>49.152140506820928</v>
      </c>
      <c r="O45" s="1016">
        <f t="shared" si="2"/>
        <v>46.047628554335951</v>
      </c>
      <c r="P45" s="1016">
        <f t="shared" si="2"/>
        <v>43.633623543487147</v>
      </c>
      <c r="Q45" s="1016">
        <f t="shared" si="2"/>
        <v>39.633524413394589</v>
      </c>
      <c r="R45" s="1016">
        <f t="shared" si="2"/>
        <v>41.382711910340333</v>
      </c>
      <c r="S45" s="1016">
        <f t="shared" si="2"/>
        <v>43.007246518958539</v>
      </c>
      <c r="T45" s="1016">
        <f t="shared" si="2"/>
        <v>0</v>
      </c>
      <c r="U45" s="1016">
        <f t="shared" si="2"/>
        <v>0</v>
      </c>
      <c r="V45" s="1016">
        <f t="shared" si="2"/>
        <v>0</v>
      </c>
      <c r="W45" s="1016">
        <f t="shared" si="2"/>
        <v>0</v>
      </c>
    </row>
    <row r="46" spans="1:23" x14ac:dyDescent="0.2">
      <c r="A46" s="577">
        <f t="shared" ref="A46:B46" si="3">A37</f>
        <v>120.7</v>
      </c>
      <c r="B46" s="577">
        <f t="shared" si="3"/>
        <v>11.8798975</v>
      </c>
      <c r="C46" s="1016">
        <f t="shared" ref="C46:W46" si="4">(C27*(1+$B$1*C37))</f>
        <v>52.56736059502267</v>
      </c>
      <c r="D46" s="1016">
        <f t="shared" si="4"/>
        <v>50.614870779813096</v>
      </c>
      <c r="E46" s="1016">
        <f t="shared" si="4"/>
        <v>47.772185901052453</v>
      </c>
      <c r="F46" s="1016">
        <f t="shared" si="4"/>
        <v>45.580708433766802</v>
      </c>
      <c r="G46" s="1016">
        <f t="shared" si="4"/>
        <v>42.117577040195741</v>
      </c>
      <c r="H46" s="1016">
        <f t="shared" si="4"/>
        <v>52.56736059502267</v>
      </c>
      <c r="I46" s="1016">
        <f t="shared" si="4"/>
        <v>50.614870779813096</v>
      </c>
      <c r="J46" s="1016">
        <f t="shared" si="4"/>
        <v>47.772185901052453</v>
      </c>
      <c r="K46" s="1016">
        <f t="shared" si="4"/>
        <v>45.580708433766802</v>
      </c>
      <c r="L46" s="1016">
        <f t="shared" si="4"/>
        <v>42.117577040195741</v>
      </c>
      <c r="M46" s="1016">
        <f t="shared" si="4"/>
        <v>52.56736059502267</v>
      </c>
      <c r="N46" s="1016">
        <f t="shared" si="4"/>
        <v>50.614870779813096</v>
      </c>
      <c r="O46" s="1016">
        <f t="shared" si="4"/>
        <v>47.772185901052453</v>
      </c>
      <c r="P46" s="1016">
        <f t="shared" si="4"/>
        <v>45.580708433766802</v>
      </c>
      <c r="Q46" s="1016">
        <f t="shared" si="4"/>
        <v>42.117577040195741</v>
      </c>
      <c r="R46" s="1016">
        <f t="shared" si="4"/>
        <v>43.697811079983012</v>
      </c>
      <c r="S46" s="1016">
        <f t="shared" si="4"/>
        <v>44.981914714921579</v>
      </c>
      <c r="T46" s="1016">
        <f t="shared" si="4"/>
        <v>0</v>
      </c>
      <c r="U46" s="1016">
        <f t="shared" si="4"/>
        <v>0</v>
      </c>
      <c r="V46" s="1016">
        <f t="shared" si="4"/>
        <v>0</v>
      </c>
      <c r="W46" s="1016">
        <f t="shared" si="4"/>
        <v>0</v>
      </c>
    </row>
    <row r="47" spans="1:23" x14ac:dyDescent="0.2">
      <c r="A47" s="577">
        <f t="shared" ref="A47:B47" si="5">A38</f>
        <v>144.80000000000001</v>
      </c>
      <c r="B47" s="577">
        <f t="shared" si="5"/>
        <v>14.251940000000001</v>
      </c>
      <c r="C47" s="1016">
        <f t="shared" ref="C47:W47" si="6">(C28*(1+$B$1*C38))</f>
        <v>53.381707068930289</v>
      </c>
      <c r="D47" s="1016">
        <f t="shared" si="6"/>
        <v>51.539158143059126</v>
      </c>
      <c r="E47" s="1016">
        <f t="shared" si="6"/>
        <v>48.860716065335168</v>
      </c>
      <c r="F47" s="1016">
        <f t="shared" si="6"/>
        <v>46.829747679779558</v>
      </c>
      <c r="G47" s="1016">
        <f t="shared" si="6"/>
        <v>43.694734481520094</v>
      </c>
      <c r="H47" s="1016">
        <f t="shared" si="6"/>
        <v>53.381707068930289</v>
      </c>
      <c r="I47" s="1016">
        <f t="shared" si="6"/>
        <v>51.539158143059126</v>
      </c>
      <c r="J47" s="1016">
        <f t="shared" si="6"/>
        <v>48.860716065335168</v>
      </c>
      <c r="K47" s="1016">
        <f t="shared" si="6"/>
        <v>46.829747679779558</v>
      </c>
      <c r="L47" s="1016">
        <f t="shared" si="6"/>
        <v>43.694734481520094</v>
      </c>
      <c r="M47" s="1016">
        <f t="shared" si="6"/>
        <v>53.381707068930289</v>
      </c>
      <c r="N47" s="1016">
        <f t="shared" si="6"/>
        <v>51.539158143059126</v>
      </c>
      <c r="O47" s="1016">
        <f t="shared" si="6"/>
        <v>48.860716065335168</v>
      </c>
      <c r="P47" s="1016">
        <f t="shared" si="6"/>
        <v>46.829747679779558</v>
      </c>
      <c r="Q47" s="1016">
        <f t="shared" si="6"/>
        <v>43.694734481520094</v>
      </c>
      <c r="R47" s="1016">
        <f t="shared" si="6"/>
        <v>45.145676707205681</v>
      </c>
      <c r="S47" s="1016">
        <f t="shared" si="6"/>
        <v>46.267124810516869</v>
      </c>
      <c r="T47" s="1016">
        <f t="shared" si="6"/>
        <v>0</v>
      </c>
      <c r="U47" s="1016">
        <f t="shared" si="6"/>
        <v>0</v>
      </c>
      <c r="V47" s="1016">
        <f t="shared" si="6"/>
        <v>0</v>
      </c>
      <c r="W47" s="1016">
        <f t="shared" si="6"/>
        <v>0</v>
      </c>
    </row>
    <row r="48" spans="1:23" x14ac:dyDescent="0.2">
      <c r="A48" s="577">
        <f t="shared" ref="A48:B48" si="7">A39</f>
        <v>181</v>
      </c>
      <c r="B48" s="577">
        <f t="shared" si="7"/>
        <v>17.814924999999999</v>
      </c>
      <c r="C48" s="1016">
        <f t="shared" ref="C48:W48" si="8">(C29*(1+$B$1*C39))</f>
        <v>54.397094101960967</v>
      </c>
      <c r="D48" s="1016">
        <f t="shared" si="8"/>
        <v>52.682659794040838</v>
      </c>
      <c r="E48" s="1016">
        <f t="shared" si="8"/>
        <v>50.200163555520405</v>
      </c>
      <c r="F48" s="1016">
        <f t="shared" si="8"/>
        <v>48.368317640804833</v>
      </c>
      <c r="G48" s="1016">
        <f t="shared" si="8"/>
        <v>45.637846739655473</v>
      </c>
      <c r="H48" s="1016">
        <f t="shared" si="8"/>
        <v>54.397094101960967</v>
      </c>
      <c r="I48" s="1016">
        <f t="shared" si="8"/>
        <v>52.682659794040838</v>
      </c>
      <c r="J48" s="1016">
        <f t="shared" si="8"/>
        <v>50.200163555520405</v>
      </c>
      <c r="K48" s="1016">
        <f t="shared" si="8"/>
        <v>48.368317640804833</v>
      </c>
      <c r="L48" s="1016">
        <f t="shared" si="8"/>
        <v>45.637846739655473</v>
      </c>
      <c r="M48" s="1016">
        <f t="shared" si="8"/>
        <v>54.397094101960967</v>
      </c>
      <c r="N48" s="1016">
        <f t="shared" si="8"/>
        <v>52.682659794040838</v>
      </c>
      <c r="O48" s="1016">
        <f t="shared" si="8"/>
        <v>50.200163555520405</v>
      </c>
      <c r="P48" s="1016">
        <f t="shared" si="8"/>
        <v>48.368317640804833</v>
      </c>
      <c r="Q48" s="1016">
        <f t="shared" si="8"/>
        <v>45.637846739655473</v>
      </c>
      <c r="R48" s="1016">
        <f t="shared" si="8"/>
        <v>46.887453467738922</v>
      </c>
      <c r="S48" s="1016">
        <f t="shared" si="8"/>
        <v>47.864473485392082</v>
      </c>
      <c r="T48" s="1016">
        <f t="shared" si="8"/>
        <v>0</v>
      </c>
      <c r="U48" s="1016">
        <f t="shared" si="8"/>
        <v>0</v>
      </c>
      <c r="V48" s="1016">
        <f t="shared" si="8"/>
        <v>0</v>
      </c>
      <c r="W48" s="1016">
        <f t="shared" si="8"/>
        <v>0</v>
      </c>
    </row>
    <row r="50" spans="1:24" x14ac:dyDescent="0.2">
      <c r="A50" s="1017" t="str">
        <f ca="1">INDEX($AI$7:$BJ$7,1,(C50-1)*2+1)</f>
        <v>Openwater A24LE</v>
      </c>
      <c r="B50" s="1018"/>
      <c r="C50" s="577">
        <v>1</v>
      </c>
    </row>
    <row r="52" spans="1:24" x14ac:dyDescent="0.2">
      <c r="C52" s="1003" t="s">
        <v>203</v>
      </c>
      <c r="D52" s="1003" t="s">
        <v>204</v>
      </c>
      <c r="E52" s="1003" t="s">
        <v>205</v>
      </c>
      <c r="F52" s="1003" t="s">
        <v>206</v>
      </c>
      <c r="G52" s="1003" t="s">
        <v>207</v>
      </c>
      <c r="H52" s="1003" t="s">
        <v>266</v>
      </c>
      <c r="I52" s="1003" t="s">
        <v>267</v>
      </c>
      <c r="J52" s="1003" t="s">
        <v>268</v>
      </c>
      <c r="K52" s="1003" t="s">
        <v>269</v>
      </c>
      <c r="L52" s="1003" t="s">
        <v>270</v>
      </c>
      <c r="M52" s="1003" t="s">
        <v>271</v>
      </c>
      <c r="N52" s="1003" t="s">
        <v>272</v>
      </c>
      <c r="O52" s="1003" t="s">
        <v>273</v>
      </c>
      <c r="P52" s="1003" t="s">
        <v>274</v>
      </c>
      <c r="Q52" s="1003" t="s">
        <v>275</v>
      </c>
      <c r="R52" s="1003" t="s">
        <v>276</v>
      </c>
      <c r="S52" s="1003" t="s">
        <v>277</v>
      </c>
      <c r="T52" s="1003" t="s">
        <v>278</v>
      </c>
      <c r="U52" s="1003" t="s">
        <v>279</v>
      </c>
      <c r="V52" s="1003" t="s">
        <v>280</v>
      </c>
      <c r="W52" s="1003" t="s">
        <v>297</v>
      </c>
    </row>
    <row r="53" spans="1:24" x14ac:dyDescent="0.2">
      <c r="A53" s="577">
        <f>A25</f>
        <v>54.3</v>
      </c>
      <c r="B53" s="577">
        <v>1</v>
      </c>
      <c r="C53" s="1016">
        <f ca="1">C$44/(INDEX($AI$10:$BJ$14,$B53,(C50-1)*2+1)*RWDI_FACTORS!$D$12*(1+$B$1*INDEX($AI$10:$BJ$14,$B53,(C50-1)*2+2)))</f>
        <v>0.98797305074529451</v>
      </c>
      <c r="D53" s="1016">
        <f ca="1">D$44/(INDEX($AI$10:$BJ$14,$B53,(C50-1)*2+1)*RWDI_FACTORS!$D$12*(1+$B$1*INDEX($AI$10:$BJ$14,$B53,(C50-1)*2+2)))</f>
        <v>0.93853584581978544</v>
      </c>
      <c r="E53" s="1016">
        <f ca="1">E$44/(INDEX($AI$10:$BJ$14,$B53,(C50-1)*2+1)*RWDI_FACTORS!$D$12*(1+$B$1*INDEX($AI$10:$BJ$14,$B53,(C50-1)*2+2)))</f>
        <v>0.86675829697854945</v>
      </c>
      <c r="F53" s="1016">
        <f ca="1">F$44/(INDEX($AI$10:$BJ$14,$B53,(C50-1)*2+1)*RWDI_FACTORS!$D$12*(1+$B$1*INDEX($AI$10:$BJ$14,$B53,(C50-1)*2+2)))</f>
        <v>0.80994443137059924</v>
      </c>
      <c r="G53" s="1016">
        <f ca="1">G$44/(INDEX($AI$10:$BJ$14,$B53,(C50-1)*2+1)*RWDI_FACTORS!$D$12*(1+$B$1*INDEX($AI$10:$BJ$14,$B53,(C50-1)*2+2)))</f>
        <v>0.70206217209811439</v>
      </c>
      <c r="H53" s="1016">
        <f ca="1">H$44/(INDEX($AI$10:$BJ$14,$B53,(C50-1)*2+1)*RWDI_FACTORS!$D$12*(1+$B$1*INDEX($AI$10:$BJ$14,$B53,(C50-1)*2+2)))</f>
        <v>0.98797305074529451</v>
      </c>
      <c r="I53" s="1016">
        <f ca="1">I$44/(INDEX($AI$10:$BJ$14,$B53,(C50-1)*2+1)*RWDI_FACTORS!$D$12*(1+$B$1*INDEX($AI$10:$BJ$14,$B53,(C50-1)*2+2)))</f>
        <v>0.93853584581978544</v>
      </c>
      <c r="J53" s="1016">
        <f ca="1">J$44/(INDEX($AI$10:$BJ$14,$B53,(C50-1)*2+1)*RWDI_FACTORS!$D$12*(1+$B$1*INDEX($AI$10:$BJ$14,$B53,(C50-1)*2+2)))</f>
        <v>0.86675829697854945</v>
      </c>
      <c r="K53" s="1016">
        <f ca="1">K$44/(INDEX($AI$10:$BJ$14,$B53,(C50-1)*2+1)*RWDI_FACTORS!$D$12*(1+$B$1*INDEX($AI$10:$BJ$14,$B53,(C50-1)*2+2)))</f>
        <v>0.80994443137059924</v>
      </c>
      <c r="L53" s="1016">
        <f ca="1">L$44/(INDEX($AI$10:$BJ$14,$B53,(C50-1)*2+1)*RWDI_FACTORS!$D$12*(1+$B$1*INDEX($AI$10:$BJ$14,$B53,(C50-1)*2+2)))</f>
        <v>0.70206217209811439</v>
      </c>
      <c r="M53" s="1016">
        <f ca="1">M$44/(INDEX($AI$10:$BJ$14,$B53,(C50-1)*2+1)*RWDI_FACTORS!$D$12*(1+$B$1*INDEX($AI$10:$BJ$14,$B53,(C50-1)*2+2)))</f>
        <v>0.98797305074529451</v>
      </c>
      <c r="N53" s="1016">
        <f ca="1">N$44/(INDEX($AI$10:$BJ$14,$B53,(C50-1)*2+1)*RWDI_FACTORS!$D$12*(1+$B$1*INDEX($AI$10:$BJ$14,$B53,(C50-1)*2+2)))</f>
        <v>0.93853584581978544</v>
      </c>
      <c r="O53" s="1016">
        <f ca="1">O$44/(INDEX($AI$10:$BJ$14,$B53,(C50-1)*2+1)*RWDI_FACTORS!$D$12*(1+$B$1*INDEX($AI$10:$BJ$14,$B53,(C50-1)*2+2)))</f>
        <v>0.86675829697854945</v>
      </c>
      <c r="P53" s="1016">
        <f ca="1">P$44/(INDEX($AI$10:$BJ$14,$B53,(C50-1)*2+1)*RWDI_FACTORS!$D$12*(1+$B$1*INDEX($AI$10:$BJ$14,$B53,(C50-1)*2+2)))</f>
        <v>0.80994443137059924</v>
      </c>
      <c r="Q53" s="1016">
        <f ca="1">Q$44/(INDEX($AI$10:$BJ$14,$B53,(C50-1)*2+1)*RWDI_FACTORS!$D$12*(1+$B$1*INDEX($AI$10:$BJ$14,$B53,(C50-1)*2+2)))</f>
        <v>0.70206217209811439</v>
      </c>
      <c r="R53" s="1016">
        <f ca="1">R$44/(INDEX($AI$10:$BJ$14,$B53,(C50-1)*2+1)*RWDI_FACTORS!$D$12*(1+$B$1*INDEX($AI$10:$BJ$14,$B53,(C50-1)*2+2)))</f>
        <v>0.74989237831553546</v>
      </c>
      <c r="S53" s="1016">
        <f ca="1">S$44/(INDEX($AI$10:$BJ$14,$B53,(C50-1)*2+1)*RWDI_FACTORS!$D$12*(1+$B$1*INDEX($AI$10:$BJ$14,$B53,(C50-1)*2+2)))</f>
        <v>0.79287338084314274</v>
      </c>
      <c r="T53" s="1016">
        <f ca="1">T$44/(INDEX($AI$10:$BJ$14,$B53,(C50-1)*2+1)*RWDI_FACTORS!$D$12*(1+$B$1*INDEX($AI$10:$BJ$14,$B53,(C50-1)*2+2)))</f>
        <v>0</v>
      </c>
      <c r="U53" s="1016">
        <f ca="1">U$44/(INDEX($AI$10:$BJ$14,$B53,(C50-1)*2+1)*RWDI_FACTORS!$D$12*(1+$B$1*INDEX($AI$10:$BJ$14,$B53,(C50-1)*2+2)))</f>
        <v>0</v>
      </c>
      <c r="V53" s="1016">
        <f ca="1">V$44/(INDEX($AI$10:$BJ$14,$B53,(C50-1)*2+1)*RWDI_FACTORS!$D$12*(1+$B$1*INDEX($AI$10:$BJ$14,$B53,(C50-1)*2+2)))</f>
        <v>0</v>
      </c>
      <c r="W53" s="1016">
        <f ca="1">W$44/(INDEX($AI$10:$BJ$14,$B53,(C50-1)*2+1)*RWDI_FACTORS!$D$12*(1+$B$1*INDEX($AI$10:$BJ$14,$B53,(C50-1)*2+2)))</f>
        <v>0</v>
      </c>
      <c r="X53" s="1016"/>
    </row>
    <row r="54" spans="1:24" x14ac:dyDescent="0.2">
      <c r="A54" s="577">
        <f>A26</f>
        <v>90.5</v>
      </c>
      <c r="B54" s="577">
        <v>2</v>
      </c>
      <c r="C54" s="1016">
        <f ca="1">C$45/(INDEX($AI$10:$BJ$14,$B54,(C50-1)*2+1)*RWDI_FACTORS!$D$12*(1+$B$1*INDEX($AI$10:$BJ$14,$B54,(C50-1)*2+2)))</f>
        <v>0.98822305522465648</v>
      </c>
      <c r="D54" s="1016">
        <f ca="1">D$45/(INDEX($AI$10:$BJ$14,$B54,(C50-1)*2+1)*RWDI_FACTORS!$D$12*(1+$B$1*INDEX($AI$10:$BJ$14,$B54,(C50-1)*2+2)))</f>
        <v>0.94714465961981331</v>
      </c>
      <c r="E54" s="1016">
        <f ca="1">E$45/(INDEX($AI$10:$BJ$14,$B54,(C50-1)*2+1)*RWDI_FACTORS!$D$12*(1+$B$1*INDEX($AI$10:$BJ$14,$B54,(C50-1)*2+2)))</f>
        <v>0.88732179359195473</v>
      </c>
      <c r="F54" s="1016">
        <f ca="1">F$45/(INDEX($AI$10:$BJ$14,$B54,(C50-1)*2+1)*RWDI_FACTORS!$D$12*(1+$B$1*INDEX($AI$10:$BJ$14,$B54,(C50-1)*2+2)))</f>
        <v>0.8408047562718074</v>
      </c>
      <c r="G54" s="1016">
        <f ca="1">G$45/(INDEX($AI$10:$BJ$14,$B54,(C50-1)*2+1)*RWDI_FACTORS!$D$12*(1+$B$1*INDEX($AI$10:$BJ$14,$B54,(C50-1)*2+2)))</f>
        <v>0.76372423668606804</v>
      </c>
      <c r="H54" s="1016">
        <f ca="1">H$45/(INDEX($AI$10:$BJ$14,$B54,(C50-1)*2+1)*RWDI_FACTORS!$D$12*(1+$B$1*INDEX($AI$10:$BJ$14,$B54,(C50-1)*2+2)))</f>
        <v>0.98822305522465648</v>
      </c>
      <c r="I54" s="1016">
        <f ca="1">I$45/(INDEX($AI$10:$BJ$14,$B54,(C50-1)*2+1)*RWDI_FACTORS!$D$12*(1+$B$1*INDEX($AI$10:$BJ$14,$B54,(C50-1)*2+2)))</f>
        <v>0.94714465961981331</v>
      </c>
      <c r="J54" s="1016">
        <f ca="1">J$45/(INDEX($AI$10:$BJ$14,$B54,(C50-1)*2+1)*RWDI_FACTORS!$D$12*(1+$B$1*INDEX($AI$10:$BJ$14,$B54,(C50-1)*2+2)))</f>
        <v>0.88732179359195473</v>
      </c>
      <c r="K54" s="1016">
        <f ca="1">K$45/(INDEX($AI$10:$BJ$14,$B54,(C50-1)*2+1)*RWDI_FACTORS!$D$12*(1+$B$1*INDEX($AI$10:$BJ$14,$B54,(C50-1)*2+2)))</f>
        <v>0.8408047562718074</v>
      </c>
      <c r="L54" s="1016">
        <f ca="1">L$45/(INDEX($AI$10:$BJ$14,$B54,(C50-1)*2+1)*RWDI_FACTORS!$D$12*(1+$B$1*INDEX($AI$10:$BJ$14,$B54,(C50-1)*2+2)))</f>
        <v>0.76372423668606804</v>
      </c>
      <c r="M54" s="1016">
        <f ca="1">M$45/(INDEX($AI$10:$BJ$14,$B54,(C50-1)*2+1)*RWDI_FACTORS!$D$12*(1+$B$1*INDEX($AI$10:$BJ$14,$B54,(C50-1)*2+2)))</f>
        <v>0.98822305522465648</v>
      </c>
      <c r="N54" s="1016">
        <f ca="1">N$45/(INDEX($AI$10:$BJ$14,$B54,(C50-1)*2+1)*RWDI_FACTORS!$D$12*(1+$B$1*INDEX($AI$10:$BJ$14,$B54,(C50-1)*2+2)))</f>
        <v>0.94714465961981331</v>
      </c>
      <c r="O54" s="1016">
        <f ca="1">O$45/(INDEX($AI$10:$BJ$14,$B54,(C50-1)*2+1)*RWDI_FACTORS!$D$12*(1+$B$1*INDEX($AI$10:$BJ$14,$B54,(C50-1)*2+2)))</f>
        <v>0.88732179359195473</v>
      </c>
      <c r="P54" s="1016">
        <f ca="1">P$45/(INDEX($AI$10:$BJ$14,$B54,(C50-1)*2+1)*RWDI_FACTORS!$D$12*(1+$B$1*INDEX($AI$10:$BJ$14,$B54,(C50-1)*2+2)))</f>
        <v>0.8408047562718074</v>
      </c>
      <c r="Q54" s="1016">
        <f ca="1">Q$45/(INDEX($AI$10:$BJ$14,$B54,(C50-1)*2+1)*RWDI_FACTORS!$D$12*(1+$B$1*INDEX($AI$10:$BJ$14,$B54,(C50-1)*2+2)))</f>
        <v>0.76372423668606804</v>
      </c>
      <c r="R54" s="1016">
        <f ca="1">R$45/(INDEX($AI$10:$BJ$14,$B54,(C50-1)*2+1)*RWDI_FACTORS!$D$12*(1+$B$1*INDEX($AI$10:$BJ$14,$B54,(C50-1)*2+2)))</f>
        <v>0.79743047163988456</v>
      </c>
      <c r="S54" s="1016">
        <f ca="1">S$45/(INDEX($AI$10:$BJ$14,$B54,(C50-1)*2+1)*RWDI_FACTORS!$D$12*(1+$B$1*INDEX($AI$10:$BJ$14,$B54,(C50-1)*2+2)))</f>
        <v>0.82873468877172596</v>
      </c>
      <c r="T54" s="1016">
        <f ca="1">T$45/(INDEX($AI$10:$BJ$14,$B54,(C50-1)*2+1)*RWDI_FACTORS!$D$12*(1+$B$1*INDEX($AI$10:$BJ$14,$B54,(C50-1)*2+2)))</f>
        <v>0</v>
      </c>
      <c r="U54" s="1016">
        <f ca="1">U$45/(INDEX($AI$10:$BJ$14,$B54,(C50-1)*2+1)*RWDI_FACTORS!$D$12*(1+$B$1*INDEX($AI$10:$BJ$14,$B54,(C50-1)*2+2)))</f>
        <v>0</v>
      </c>
      <c r="V54" s="1016">
        <f ca="1">V$45/(INDEX($AI$10:$BJ$14,$B54,(C50-1)*2+1)*RWDI_FACTORS!$D$12*(1+$B$1*INDEX($AI$10:$BJ$14,$B54,(C50-1)*2+2)))</f>
        <v>0</v>
      </c>
      <c r="W54" s="1016">
        <f ca="1">W$45/(INDEX($AI$10:$BJ$14,$B54,(C50-1)*2+1)*RWDI_FACTORS!$D$12*(1+$B$1*INDEX($AI$10:$BJ$14,$B54,(C50-1)*2+2)))</f>
        <v>0</v>
      </c>
      <c r="X54" s="1016"/>
    </row>
    <row r="55" spans="1:24" x14ac:dyDescent="0.2">
      <c r="A55" s="577">
        <f>A27</f>
        <v>120.7</v>
      </c>
      <c r="B55" s="577">
        <v>3</v>
      </c>
      <c r="C55" s="1016">
        <f ca="1">C$46/(INDEX($AI$10:$BJ$14,$B55,(C50-1)*2+1)*RWDI_FACTORS!$D$12*(1+$B$1*INDEX($AI$10:$BJ$14,$B55,(C50-1)*2+2)))</f>
        <v>0.99195259282152204</v>
      </c>
      <c r="D55" s="1016">
        <f ca="1">D$46/(INDEX($AI$10:$BJ$14,$B55,(C50-1)*2+1)*RWDI_FACTORS!$D$12*(1+$B$1*INDEX($AI$10:$BJ$14,$B55,(C50-1)*2+2)))</f>
        <v>0.95510886864111999</v>
      </c>
      <c r="E55" s="1016">
        <f ca="1">E$46/(INDEX($AI$10:$BJ$14,$B55,(C50-1)*2+1)*RWDI_FACTORS!$D$12*(1+$B$1*INDEX($AI$10:$BJ$14,$B55,(C50-1)*2+2)))</f>
        <v>0.90146705356531898</v>
      </c>
      <c r="F55" s="1016">
        <f ca="1">F$46/(INDEX($AI$10:$BJ$14,$B55,(C50-1)*2+1)*RWDI_FACTORS!$D$12*(1+$B$1*INDEX($AI$10:$BJ$14,$B55,(C50-1)*2+2)))</f>
        <v>0.8601136028465135</v>
      </c>
      <c r="G55" s="1016">
        <f ca="1">G$46/(INDEX($AI$10:$BJ$14,$B55,(C50-1)*2+1)*RWDI_FACTORS!$D$12*(1+$B$1*INDEX($AI$10:$BJ$14,$B55,(C50-1)*2+2)))</f>
        <v>0.79476388533644915</v>
      </c>
      <c r="H55" s="1016">
        <f ca="1">H$46/(INDEX($AI$10:$BJ$14,$B55,(C50-1)*2+1)*RWDI_FACTORS!$D$12*(1+$B$1*INDEX($AI$10:$BJ$14,$B55,(C50-1)*2+2)))</f>
        <v>0.99195259282152204</v>
      </c>
      <c r="I55" s="1016">
        <f ca="1">I$46/(INDEX($AI$10:$BJ$14,$B55,(C50-1)*2+1)*RWDI_FACTORS!$D$12*(1+$B$1*INDEX($AI$10:$BJ$14,$B55,(C50-1)*2+2)))</f>
        <v>0.95510886864111999</v>
      </c>
      <c r="J55" s="1016">
        <f ca="1">J$46/(INDEX($AI$10:$BJ$14,$B55,(C50-1)*2+1)*RWDI_FACTORS!$D$12*(1+$B$1*INDEX($AI$10:$BJ$14,$B55,(C50-1)*2+2)))</f>
        <v>0.90146705356531898</v>
      </c>
      <c r="K55" s="1016">
        <f ca="1">K$46/(INDEX($AI$10:$BJ$14,$B55,(C50-1)*2+1)*RWDI_FACTORS!$D$12*(1+$B$1*INDEX($AI$10:$BJ$14,$B55,(C50-1)*2+2)))</f>
        <v>0.8601136028465135</v>
      </c>
      <c r="L55" s="1016">
        <f ca="1">L$46/(INDEX($AI$10:$BJ$14,$B55,(C50-1)*2+1)*RWDI_FACTORS!$D$12*(1+$B$1*INDEX($AI$10:$BJ$14,$B55,(C50-1)*2+2)))</f>
        <v>0.79476388533644915</v>
      </c>
      <c r="M55" s="1016">
        <f ca="1">M$46/(INDEX($AI$10:$BJ$14,$B55,(C50-1)*2+1)*RWDI_FACTORS!$D$12*(1+$B$1*INDEX($AI$10:$BJ$14,$B55,(C50-1)*2+2)))</f>
        <v>0.99195259282152204</v>
      </c>
      <c r="N55" s="1016">
        <f ca="1">N$46/(INDEX($AI$10:$BJ$14,$B55,(C50-1)*2+1)*RWDI_FACTORS!$D$12*(1+$B$1*INDEX($AI$10:$BJ$14,$B55,(C50-1)*2+2)))</f>
        <v>0.95510886864111999</v>
      </c>
      <c r="O55" s="1016">
        <f ca="1">O$46/(INDEX($AI$10:$BJ$14,$B55,(C50-1)*2+1)*RWDI_FACTORS!$D$12*(1+$B$1*INDEX($AI$10:$BJ$14,$B55,(C50-1)*2+2)))</f>
        <v>0.90146705356531898</v>
      </c>
      <c r="P55" s="1016">
        <f ca="1">P$46/(INDEX($AI$10:$BJ$14,$B55,(C50-1)*2+1)*RWDI_FACTORS!$D$12*(1+$B$1*INDEX($AI$10:$BJ$14,$B55,(C50-1)*2+2)))</f>
        <v>0.8601136028465135</v>
      </c>
      <c r="Q55" s="1016">
        <f ca="1">Q$46/(INDEX($AI$10:$BJ$14,$B55,(C50-1)*2+1)*RWDI_FACTORS!$D$12*(1+$B$1*INDEX($AI$10:$BJ$14,$B55,(C50-1)*2+2)))</f>
        <v>0.79476388533644915</v>
      </c>
      <c r="R55" s="1016">
        <f ca="1">R$46/(INDEX($AI$10:$BJ$14,$B55,(C50-1)*2+1)*RWDI_FACTORS!$D$12*(1+$B$1*INDEX($AI$10:$BJ$14,$B55,(C50-1)*2+2)))</f>
        <v>0.82458309701625776</v>
      </c>
      <c r="S55" s="1016">
        <f ca="1">S$46/(INDEX($AI$10:$BJ$14,$B55,(C50-1)*2+1)*RWDI_FACTORS!$D$12*(1+$B$1*INDEX($AI$10:$BJ$14,$B55,(C50-1)*2+2)))</f>
        <v>0.84881429134883868</v>
      </c>
      <c r="T55" s="1016">
        <f ca="1">T$46/(INDEX($AI$10:$BJ$14,$B55,(C50-1)*2+1)*RWDI_FACTORS!$D$12*(1+$B$1*INDEX($AI$10:$BJ$14,$B55,(C50-1)*2+2)))</f>
        <v>0</v>
      </c>
      <c r="U55" s="1016">
        <f ca="1">U$46/(INDEX($AI$10:$BJ$14,$B55,(C50-1)*2+1)*RWDI_FACTORS!$D$12*(1+$B$1*INDEX($AI$10:$BJ$14,$B55,(C50-1)*2+2)))</f>
        <v>0</v>
      </c>
      <c r="V55" s="1016">
        <f ca="1">V$46/(INDEX($AI$10:$BJ$14,$B55,(C50-1)*2+1)*RWDI_FACTORS!$D$12*(1+$B$1*INDEX($AI$10:$BJ$14,$B55,(C50-1)*2+2)))</f>
        <v>0</v>
      </c>
      <c r="W55" s="1016">
        <f ca="1">W$46/(INDEX($AI$10:$BJ$14,$B55,(C50-1)*2+1)*RWDI_FACTORS!$D$12*(1+$B$1*INDEX($AI$10:$BJ$14,$B55,(C50-1)*2+2)))</f>
        <v>0</v>
      </c>
      <c r="X55" s="1016"/>
    </row>
    <row r="56" spans="1:24" x14ac:dyDescent="0.2">
      <c r="A56" s="577">
        <f>A28</f>
        <v>144.80000000000001</v>
      </c>
      <c r="B56" s="577">
        <v>4</v>
      </c>
      <c r="C56" s="1016">
        <f ca="1">C$47/(INDEX($AI$10:$BJ$14,$B56,(C50-1)*2+1)*RWDI_FACTORS!$D$12*(1+$B$1*INDEX($AI$10:$BJ$14,$B56,(C50-1)*2+2)))</f>
        <v>0.99326283513957103</v>
      </c>
      <c r="D56" s="1016">
        <f ca="1">D$47/(INDEX($AI$10:$BJ$14,$B56,(C50-1)*2+1)*RWDI_FACTORS!$D$12*(1+$B$1*INDEX($AI$10:$BJ$14,$B56,(C50-1)*2+2)))</f>
        <v>0.9589788927465156</v>
      </c>
      <c r="E56" s="1016">
        <f ca="1">E$47/(INDEX($AI$10:$BJ$14,$B56,(C50-1)*2+1)*RWDI_FACTORS!$D$12*(1+$B$1*INDEX($AI$10:$BJ$14,$B56,(C50-1)*2+2)))</f>
        <v>0.90914165227681831</v>
      </c>
      <c r="F56" s="1016">
        <f ca="1">F$47/(INDEX($AI$10:$BJ$14,$B56,(C50-1)*2+1)*RWDI_FACTORS!$D$12*(1+$B$1*INDEX($AI$10:$BJ$14,$B56,(C50-1)*2+2)))</f>
        <v>0.87135182637052166</v>
      </c>
      <c r="G56" s="1016">
        <f ca="1">G$47/(INDEX($AI$10:$BJ$14,$B56,(C50-1)*2+1)*RWDI_FACTORS!$D$12*(1+$B$1*INDEX($AI$10:$BJ$14,$B56,(C50-1)*2+2)))</f>
        <v>0.81301925762216198</v>
      </c>
      <c r="H56" s="1016">
        <f ca="1">H$47/(INDEX($AI$10:$BJ$14,$B56,(C50-1)*2+1)*RWDI_FACTORS!$D$12*(1+$B$1*INDEX($AI$10:$BJ$14,$B56,(C50-1)*2+2)))</f>
        <v>0.99326283513957103</v>
      </c>
      <c r="I56" s="1016">
        <f ca="1">I$47/(INDEX($AI$10:$BJ$14,$B56,(C50-1)*2+1)*RWDI_FACTORS!$D$12*(1+$B$1*INDEX($AI$10:$BJ$14,$B56,(C50-1)*2+2)))</f>
        <v>0.9589788927465156</v>
      </c>
      <c r="J56" s="1016">
        <f ca="1">J$47/(INDEX($AI$10:$BJ$14,$B56,(C50-1)*2+1)*RWDI_FACTORS!$D$12*(1+$B$1*INDEX($AI$10:$BJ$14,$B56,(C50-1)*2+2)))</f>
        <v>0.90914165227681831</v>
      </c>
      <c r="K56" s="1016">
        <f ca="1">K$47/(INDEX($AI$10:$BJ$14,$B56,(C50-1)*2+1)*RWDI_FACTORS!$D$12*(1+$B$1*INDEX($AI$10:$BJ$14,$B56,(C50-1)*2+2)))</f>
        <v>0.87135182637052166</v>
      </c>
      <c r="L56" s="1016">
        <f ca="1">L$47/(INDEX($AI$10:$BJ$14,$B56,(C50-1)*2+1)*RWDI_FACTORS!$D$12*(1+$B$1*INDEX($AI$10:$BJ$14,$B56,(C50-1)*2+2)))</f>
        <v>0.81301925762216198</v>
      </c>
      <c r="M56" s="1016">
        <f ca="1">M$47/(INDEX($AI$10:$BJ$14,$B56,(C50-1)*2+1)*RWDI_FACTORS!$D$12*(1+$B$1*INDEX($AI$10:$BJ$14,$B56,(C50-1)*2+2)))</f>
        <v>0.99326283513957103</v>
      </c>
      <c r="N56" s="1016">
        <f ca="1">N$47/(INDEX($AI$10:$BJ$14,$B56,(C50-1)*2+1)*RWDI_FACTORS!$D$12*(1+$B$1*INDEX($AI$10:$BJ$14,$B56,(C50-1)*2+2)))</f>
        <v>0.9589788927465156</v>
      </c>
      <c r="O56" s="1016">
        <f ca="1">O$47/(INDEX($AI$10:$BJ$14,$B56,(C50-1)*2+1)*RWDI_FACTORS!$D$12*(1+$B$1*INDEX($AI$10:$BJ$14,$B56,(C50-1)*2+2)))</f>
        <v>0.90914165227681831</v>
      </c>
      <c r="P56" s="1016">
        <f ca="1">P$47/(INDEX($AI$10:$BJ$14,$B56,(C50-1)*2+1)*RWDI_FACTORS!$D$12*(1+$B$1*INDEX($AI$10:$BJ$14,$B56,(C50-1)*2+2)))</f>
        <v>0.87135182637052166</v>
      </c>
      <c r="Q56" s="1016">
        <f ca="1">Q$47/(INDEX($AI$10:$BJ$14,$B56,(C50-1)*2+1)*RWDI_FACTORS!$D$12*(1+$B$1*INDEX($AI$10:$BJ$14,$B56,(C50-1)*2+2)))</f>
        <v>0.81301925762216198</v>
      </c>
      <c r="R56" s="1016">
        <f ca="1">R$47/(INDEX($AI$10:$BJ$14,$B56,(C50-1)*2+1)*RWDI_FACTORS!$D$12*(1+$B$1*INDEX($AI$10:$BJ$14,$B56,(C50-1)*2+2)))</f>
        <v>0.84001665182027652</v>
      </c>
      <c r="S56" s="1016">
        <f ca="1">S$47/(INDEX($AI$10:$BJ$14,$B56,(C50-1)*2+1)*RWDI_FACTORS!$D$12*(1+$B$1*INDEX($AI$10:$BJ$14,$B56,(C50-1)*2+2)))</f>
        <v>0.8608832142387175</v>
      </c>
      <c r="T56" s="1016">
        <f ca="1">T$47/(INDEX($AI$10:$BJ$14,$B56,(C50-1)*2+1)*RWDI_FACTORS!$D$12*(1+$B$1*INDEX($AI$10:$BJ$14,$B56,(C50-1)*2+2)))</f>
        <v>0</v>
      </c>
      <c r="U56" s="1016">
        <f ca="1">U$47/(INDEX($AI$10:$BJ$14,$B56,(C50-1)*2+1)*RWDI_FACTORS!$D$12*(1+$B$1*INDEX($AI$10:$BJ$14,$B56,(C50-1)*2+2)))</f>
        <v>0</v>
      </c>
      <c r="V56" s="1016">
        <f ca="1">V$47/(INDEX($AI$10:$BJ$14,$B56,(C50-1)*2+1)*RWDI_FACTORS!$D$12*(1+$B$1*INDEX($AI$10:$BJ$14,$B56,(C50-1)*2+2)))</f>
        <v>0</v>
      </c>
      <c r="W56" s="1016">
        <f ca="1">W$47/(INDEX($AI$10:$BJ$14,$B56,(C50-1)*2+1)*RWDI_FACTORS!$D$12*(1+$B$1*INDEX($AI$10:$BJ$14,$B56,(C50-1)*2+2)))</f>
        <v>0</v>
      </c>
      <c r="X56" s="1016"/>
    </row>
    <row r="57" spans="1:24" x14ac:dyDescent="0.2">
      <c r="A57" s="577">
        <f>A29</f>
        <v>181</v>
      </c>
      <c r="B57" s="577">
        <v>5</v>
      </c>
      <c r="C57" s="1016">
        <f ca="1">C$48/(INDEX($AI$10:$BJ$14,$B57,(C50-1)*2+1)*RWDI_FACTORS!$D$12*(1+$B$1*INDEX($AI$10:$BJ$14,$B57,(C50-1)*2+2)))</f>
        <v>0.99960116562269674</v>
      </c>
      <c r="D57" s="1016">
        <f ca="1">D$48/(INDEX($AI$10:$BJ$14,$B57,(C50-1)*2+1)*RWDI_FACTORS!$D$12*(1+$B$1*INDEX($AI$10:$BJ$14,$B57,(C50-1)*2+2)))</f>
        <v>0.96809671559879884</v>
      </c>
      <c r="E57" s="1016">
        <f ca="1">E$48/(INDEX($AI$10:$BJ$14,$B57,(C50-1)*2+1)*RWDI_FACTORS!$D$12*(1+$B$1*INDEX($AI$10:$BJ$14,$B57,(C50-1)*2+2)))</f>
        <v>0.92247835721686589</v>
      </c>
      <c r="F57" s="1016">
        <f ca="1">F$48/(INDEX($AI$10:$BJ$14,$B57,(C50-1)*2+1)*RWDI_FACTORS!$D$12*(1+$B$1*INDEX($AI$10:$BJ$14,$B57,(C50-1)*2+2)))</f>
        <v>0.88881635115164026</v>
      </c>
      <c r="G57" s="1016">
        <f ca="1">G$48/(INDEX($AI$10:$BJ$14,$B57,(C50-1)*2+1)*RWDI_FACTORS!$D$12*(1+$B$1*INDEX($AI$10:$BJ$14,$B57,(C50-1)*2+2)))</f>
        <v>0.83864120961978095</v>
      </c>
      <c r="H57" s="1016">
        <f ca="1">H$48/(INDEX($AI$10:$BJ$14,$B57,(C50-1)*2+1)*RWDI_FACTORS!$D$12*(1+$B$1*INDEX($AI$10:$BJ$14,$B57,(C50-1)*2+2)))</f>
        <v>0.99960116562269674</v>
      </c>
      <c r="I57" s="1016">
        <f ca="1">I$48/(INDEX($AI$10:$BJ$14,$B57,(C50-1)*2+1)*RWDI_FACTORS!$D$12*(1+$B$1*INDEX($AI$10:$BJ$14,$B57,(C50-1)*2+2)))</f>
        <v>0.96809671559879884</v>
      </c>
      <c r="J57" s="1016">
        <f ca="1">J$48/(INDEX($AI$10:$BJ$14,$B57,(C50-1)*2+1)*RWDI_FACTORS!$D$12*(1+$B$1*INDEX($AI$10:$BJ$14,$B57,(C50-1)*2+2)))</f>
        <v>0.92247835721686589</v>
      </c>
      <c r="K57" s="1016">
        <f ca="1">K$48/(INDEX($AI$10:$BJ$14,$B57,(C50-1)*2+1)*RWDI_FACTORS!$D$12*(1+$B$1*INDEX($AI$10:$BJ$14,$B57,(C50-1)*2+2)))</f>
        <v>0.88881635115164026</v>
      </c>
      <c r="L57" s="1016">
        <f ca="1">L$48/(INDEX($AI$10:$BJ$14,$B57,(C50-1)*2+1)*RWDI_FACTORS!$D$12*(1+$B$1*INDEX($AI$10:$BJ$14,$B57,(C50-1)*2+2)))</f>
        <v>0.83864120961978095</v>
      </c>
      <c r="M57" s="1016">
        <f ca="1">M$48/(INDEX($AI$10:$BJ$14,$B57,(C50-1)*2+1)*RWDI_FACTORS!$D$12*(1+$B$1*INDEX($AI$10:$BJ$14,$B57,(C50-1)*2+2)))</f>
        <v>0.99960116562269674</v>
      </c>
      <c r="N57" s="1016">
        <f ca="1">N$48/(INDEX($AI$10:$BJ$14,$B57,(C50-1)*2+1)*RWDI_FACTORS!$D$12*(1+$B$1*INDEX($AI$10:$BJ$14,$B57,(C50-1)*2+2)))</f>
        <v>0.96809671559879884</v>
      </c>
      <c r="O57" s="1016">
        <f ca="1">O$48/(INDEX($AI$10:$BJ$14,$B57,(C50-1)*2+1)*RWDI_FACTORS!$D$12*(1+$B$1*INDEX($AI$10:$BJ$14,$B57,(C50-1)*2+2)))</f>
        <v>0.92247835721686589</v>
      </c>
      <c r="P57" s="1016">
        <f ca="1">P$48/(INDEX($AI$10:$BJ$14,$B57,(C50-1)*2+1)*RWDI_FACTORS!$D$12*(1+$B$1*INDEX($AI$10:$BJ$14,$B57,(C50-1)*2+2)))</f>
        <v>0.88881635115164026</v>
      </c>
      <c r="Q57" s="1016">
        <f ca="1">Q$48/(INDEX($AI$10:$BJ$14,$B57,(C50-1)*2+1)*RWDI_FACTORS!$D$12*(1+$B$1*INDEX($AI$10:$BJ$14,$B57,(C50-1)*2+2)))</f>
        <v>0.83864120961978095</v>
      </c>
      <c r="R57" s="1016">
        <f ca="1">R$48/(INDEX($AI$10:$BJ$14,$B57,(C50-1)*2+1)*RWDI_FACTORS!$D$12*(1+$B$1*INDEX($AI$10:$BJ$14,$B57,(C50-1)*2+2)))</f>
        <v>0.86160398663174553</v>
      </c>
      <c r="S57" s="1016">
        <f ca="1">S$48/(INDEX($AI$10:$BJ$14,$B57,(C50-1)*2+1)*RWDI_FACTORS!$D$12*(1+$B$1*INDEX($AI$10:$BJ$14,$B57,(C50-1)*2+2)))</f>
        <v>0.87955770942900058</v>
      </c>
      <c r="T57" s="1016">
        <f ca="1">T$48/(INDEX($AI$10:$BJ$14,$B57,(C50-1)*2+1)*RWDI_FACTORS!$D$12*(1+$B$1*INDEX($AI$10:$BJ$14,$B57,(C50-1)*2+2)))</f>
        <v>0</v>
      </c>
      <c r="U57" s="1016">
        <f ca="1">U$48/(INDEX($AI$10:$BJ$14,$B57,(C50-1)*2+1)*RWDI_FACTORS!$D$12*(1+$B$1*INDEX($AI$10:$BJ$14,$B57,(C50-1)*2+2)))</f>
        <v>0</v>
      </c>
      <c r="V57" s="1016">
        <f ca="1">V$48/(INDEX($AI$10:$BJ$14,$B57,(C50-1)*2+1)*RWDI_FACTORS!$D$12*(1+$B$1*INDEX($AI$10:$BJ$14,$B57,(C50-1)*2+2)))</f>
        <v>0</v>
      </c>
      <c r="W57" s="1016">
        <f ca="1">W$48/(INDEX($AI$10:$BJ$14,$B57,(C50-1)*2+1)*RWDI_FACTORS!$D$12*(1+$B$1*INDEX($AI$10:$BJ$14,$B57,(C50-1)*2+2)))</f>
        <v>0</v>
      </c>
      <c r="X57" s="1016"/>
    </row>
    <row r="58" spans="1:24" x14ac:dyDescent="0.2">
      <c r="B58" s="1019" t="s">
        <v>609</v>
      </c>
      <c r="C58" s="1011">
        <f ca="1">AVERAGE(C53:C57)</f>
        <v>0.99220253991074814</v>
      </c>
      <c r="D58" s="1011">
        <f t="shared" ref="D58:W58" ca="1" si="9">AVERAGE(D53:D57)</f>
        <v>0.95357299648520666</v>
      </c>
      <c r="E58" s="1011">
        <f t="shared" ca="1" si="9"/>
        <v>0.89743343072590154</v>
      </c>
      <c r="F58" s="1011">
        <f t="shared" ca="1" si="9"/>
        <v>0.85420619360221628</v>
      </c>
      <c r="G58" s="1011">
        <f t="shared" ca="1" si="9"/>
        <v>0.7824421522725149</v>
      </c>
      <c r="H58" s="1011">
        <f t="shared" ca="1" si="9"/>
        <v>0.99220253991074814</v>
      </c>
      <c r="I58" s="1011">
        <f t="shared" ca="1" si="9"/>
        <v>0.95357299648520666</v>
      </c>
      <c r="J58" s="1011">
        <f t="shared" ca="1" si="9"/>
        <v>0.89743343072590154</v>
      </c>
      <c r="K58" s="1011">
        <f t="shared" ca="1" si="9"/>
        <v>0.85420619360221628</v>
      </c>
      <c r="L58" s="1011">
        <f t="shared" ca="1" si="9"/>
        <v>0.7824421522725149</v>
      </c>
      <c r="M58" s="1011">
        <f t="shared" ca="1" si="9"/>
        <v>0.99220253991074814</v>
      </c>
      <c r="N58" s="1011">
        <f t="shared" ca="1" si="9"/>
        <v>0.95357299648520666</v>
      </c>
      <c r="O58" s="1011">
        <f t="shared" ca="1" si="9"/>
        <v>0.89743343072590154</v>
      </c>
      <c r="P58" s="1011">
        <f t="shared" ca="1" si="9"/>
        <v>0.85420619360221628</v>
      </c>
      <c r="Q58" s="1011">
        <f t="shared" ca="1" si="9"/>
        <v>0.7824421522725149</v>
      </c>
      <c r="R58" s="1011">
        <f t="shared" ca="1" si="9"/>
        <v>0.81470531708474003</v>
      </c>
      <c r="S58" s="1011">
        <f t="shared" ca="1" si="9"/>
        <v>0.84217265692628518</v>
      </c>
      <c r="T58" s="1011">
        <f t="shared" ca="1" si="9"/>
        <v>0</v>
      </c>
      <c r="U58" s="1011">
        <f t="shared" ca="1" si="9"/>
        <v>0</v>
      </c>
      <c r="V58" s="1011">
        <f t="shared" ca="1" si="9"/>
        <v>0</v>
      </c>
      <c r="W58" s="1011">
        <f t="shared" ca="1" si="9"/>
        <v>0</v>
      </c>
    </row>
    <row r="59" spans="1:24" x14ac:dyDescent="0.2">
      <c r="B59" s="1019" t="s">
        <v>610</v>
      </c>
      <c r="C59" s="1011">
        <f ca="1">STDEV(C53:C57)/C58*100</f>
        <v>0.47714218792696578</v>
      </c>
      <c r="D59" s="1011">
        <f t="shared" ref="D59:W59" ca="1" si="10">STDEV(D53:D57)/D58*100</f>
        <v>1.1840888943894741</v>
      </c>
      <c r="E59" s="1011">
        <f t="shared" ca="1" si="10"/>
        <v>2.3793457230847488</v>
      </c>
      <c r="F59" s="1011">
        <f t="shared" ca="1" si="10"/>
        <v>3.543807060974872</v>
      </c>
      <c r="G59" s="1011">
        <f t="shared" ca="1" si="10"/>
        <v>6.7193154646300615</v>
      </c>
      <c r="H59" s="1011">
        <f t="shared" ca="1" si="10"/>
        <v>0.47714218792696578</v>
      </c>
      <c r="I59" s="1011">
        <f t="shared" ca="1" si="10"/>
        <v>1.1840888943894741</v>
      </c>
      <c r="J59" s="1011">
        <f t="shared" ca="1" si="10"/>
        <v>2.3793457230847488</v>
      </c>
      <c r="K59" s="1011">
        <f t="shared" ca="1" si="10"/>
        <v>3.543807060974872</v>
      </c>
      <c r="L59" s="1011">
        <f t="shared" ca="1" si="10"/>
        <v>6.7193154646300615</v>
      </c>
      <c r="M59" s="1011">
        <f t="shared" ca="1" si="10"/>
        <v>0.47714218792696578</v>
      </c>
      <c r="N59" s="1011">
        <f t="shared" ca="1" si="10"/>
        <v>1.1840888943894741</v>
      </c>
      <c r="O59" s="1011">
        <f t="shared" ca="1" si="10"/>
        <v>2.3793457230847488</v>
      </c>
      <c r="P59" s="1011">
        <f t="shared" ca="1" si="10"/>
        <v>3.543807060974872</v>
      </c>
      <c r="Q59" s="1011">
        <f t="shared" ca="1" si="10"/>
        <v>6.7193154646300615</v>
      </c>
      <c r="R59" s="1011">
        <f t="shared" ca="1" si="10"/>
        <v>5.2925401455529375</v>
      </c>
      <c r="S59" s="1011">
        <f t="shared" ca="1" si="10"/>
        <v>3.9394457390471675</v>
      </c>
      <c r="T59" s="1011" t="e">
        <f t="shared" ca="1" si="10"/>
        <v>#DIV/0!</v>
      </c>
      <c r="U59" s="1011" t="e">
        <f t="shared" ca="1" si="10"/>
        <v>#DIV/0!</v>
      </c>
      <c r="V59" s="1011" t="e">
        <f t="shared" ca="1" si="10"/>
        <v>#DIV/0!</v>
      </c>
      <c r="W59" s="1011" t="e">
        <f t="shared" ca="1" si="10"/>
        <v>#DIV/0!</v>
      </c>
    </row>
    <row r="60" spans="1:24" x14ac:dyDescent="0.2">
      <c r="A60" s="1017" t="str">
        <f ca="1">INDEX($AI$7:$BJ$7,1,(C60-1)*2+1)</f>
        <v>Open A24LE</v>
      </c>
      <c r="B60" s="1018"/>
      <c r="C60" s="1015">
        <v>2</v>
      </c>
    </row>
    <row r="62" spans="1:24" x14ac:dyDescent="0.2">
      <c r="C62" s="577" t="s">
        <v>203</v>
      </c>
      <c r="D62" s="577" t="s">
        <v>204</v>
      </c>
      <c r="E62" s="577" t="s">
        <v>205</v>
      </c>
      <c r="F62" s="577" t="s">
        <v>206</v>
      </c>
      <c r="G62" s="577" t="s">
        <v>207</v>
      </c>
      <c r="H62" s="577" t="s">
        <v>266</v>
      </c>
      <c r="I62" s="577" t="s">
        <v>267</v>
      </c>
      <c r="J62" s="577" t="s">
        <v>268</v>
      </c>
      <c r="K62" s="577" t="s">
        <v>269</v>
      </c>
      <c r="L62" s="577" t="s">
        <v>270</v>
      </c>
      <c r="M62" s="577" t="s">
        <v>271</v>
      </c>
      <c r="N62" s="577" t="s">
        <v>272</v>
      </c>
      <c r="O62" s="577" t="s">
        <v>273</v>
      </c>
      <c r="P62" s="577" t="s">
        <v>274</v>
      </c>
      <c r="Q62" s="577" t="s">
        <v>275</v>
      </c>
      <c r="R62" s="577" t="s">
        <v>276</v>
      </c>
      <c r="S62" s="577" t="s">
        <v>277</v>
      </c>
      <c r="T62" s="577" t="s">
        <v>278</v>
      </c>
      <c r="U62" s="577" t="s">
        <v>279</v>
      </c>
      <c r="V62" s="577" t="s">
        <v>280</v>
      </c>
      <c r="W62" s="577" t="s">
        <v>297</v>
      </c>
    </row>
    <row r="63" spans="1:24" x14ac:dyDescent="0.2">
      <c r="A63" s="577">
        <f>A53</f>
        <v>54.3</v>
      </c>
      <c r="B63" s="577">
        <v>1</v>
      </c>
      <c r="C63" s="1016">
        <f ca="1">C$44/(INDEX($AI$10:$BJ$14,$B63,(C60-1)*2+1)*RWDI_FACTORS!$D$12*(1+$B$1*INDEX($AI$10:$BJ$14,$B63,(C60-1)*2+2)))</f>
        <v>1.0441571831095282</v>
      </c>
      <c r="D63" s="1016">
        <f ca="1">D$44/(INDEX($AI$10:$BJ$14,$B63,(C60-1)*2+1)*RWDI_FACTORS!$D$12*(1+$B$1*INDEX($AI$10:$BJ$14,$B63,(C60-1)*2+2)))</f>
        <v>0.9919085791654354</v>
      </c>
      <c r="E63" s="1016">
        <f ca="1">E$44/(INDEX($AI$10:$BJ$14,$B63,(C60-1)*2+1)*RWDI_FACTORS!$D$12*(1+$B$1*INDEX($AI$10:$BJ$14,$B63,(C60-1)*2+2)))</f>
        <v>0.91604917879815406</v>
      </c>
      <c r="F63" s="1016">
        <f ca="1">F$44/(INDEX($AI$10:$BJ$14,$B63,(C60-1)*2+1)*RWDI_FACTORS!$D$12*(1+$B$1*INDEX($AI$10:$BJ$14,$B63,(C60-1)*2+2)))</f>
        <v>0.85600441762778656</v>
      </c>
      <c r="G63" s="1016">
        <f ca="1">G$44/(INDEX($AI$10:$BJ$14,$B63,(C60-1)*2+1)*RWDI_FACTORS!$D$12*(1+$B$1*INDEX($AI$10:$BJ$14,$B63,(C60-1)*2+2)))</f>
        <v>0.74198710119949629</v>
      </c>
      <c r="H63" s="1016">
        <f ca="1">H$44/(INDEX($AI$10:$BJ$14,$B63,(C60-1)*2+1)*RWDI_FACTORS!$D$12*(1+$B$1*INDEX($AI$10:$BJ$14,$B63,(C60-1)*2+2)))</f>
        <v>1.0441571831095282</v>
      </c>
      <c r="I63" s="1016">
        <f ca="1">I$44/(INDEX($AI$10:$BJ$14,$B63,(C60-1)*2+1)*RWDI_FACTORS!$D$12*(1+$B$1*INDEX($AI$10:$BJ$14,$B63,(C60-1)*2+2)))</f>
        <v>0.9919085791654354</v>
      </c>
      <c r="J63" s="1016">
        <f ca="1">J$44/(INDEX($AI$10:$BJ$14,$B63,(C60-1)*2+1)*RWDI_FACTORS!$D$12*(1+$B$1*INDEX($AI$10:$BJ$14,$B63,(C60-1)*2+2)))</f>
        <v>0.91604917879815406</v>
      </c>
      <c r="K63" s="1016">
        <f ca="1">K$44/(INDEX($AI$10:$BJ$14,$B63,(C60-1)*2+1)*RWDI_FACTORS!$D$12*(1+$B$1*INDEX($AI$10:$BJ$14,$B63,(C60-1)*2+2)))</f>
        <v>0.85600441762778656</v>
      </c>
      <c r="L63" s="1016">
        <f ca="1">L$44/(INDEX($AI$10:$BJ$14,$B63,(C60-1)*2+1)*RWDI_FACTORS!$D$12*(1+$B$1*INDEX($AI$10:$BJ$14,$B63,(C60-1)*2+2)))</f>
        <v>0.74198710119949629</v>
      </c>
      <c r="M63" s="1016">
        <f ca="1">M$44/(INDEX($AI$10:$BJ$14,$B63,(C60-1)*2+1)*RWDI_FACTORS!$D$12*(1+$B$1*INDEX($AI$10:$BJ$14,$B63,(C60-1)*2+2)))</f>
        <v>1.0441571831095282</v>
      </c>
      <c r="N63" s="1016">
        <f ca="1">N$44/(INDEX($AI$10:$BJ$14,$B63,(C60-1)*2+1)*RWDI_FACTORS!$D$12*(1+$B$1*INDEX($AI$10:$BJ$14,$B63,(C60-1)*2+2)))</f>
        <v>0.9919085791654354</v>
      </c>
      <c r="O63" s="1016">
        <f ca="1">O$44/(INDEX($AI$10:$BJ$14,$B63,(C60-1)*2+1)*RWDI_FACTORS!$D$12*(1+$B$1*INDEX($AI$10:$BJ$14,$B63,(C60-1)*2+2)))</f>
        <v>0.91604917879815406</v>
      </c>
      <c r="P63" s="1016">
        <f ca="1">P$44/(INDEX($AI$10:$BJ$14,$B63,(C60-1)*2+1)*RWDI_FACTORS!$D$12*(1+$B$1*INDEX($AI$10:$BJ$14,$B63,(C60-1)*2+2)))</f>
        <v>0.85600441762778656</v>
      </c>
      <c r="Q63" s="1016">
        <f ca="1">Q$44/(INDEX($AI$10:$BJ$14,$B63,(C60-1)*2+1)*RWDI_FACTORS!$D$12*(1+$B$1*INDEX($AI$10:$BJ$14,$B63,(C60-1)*2+2)))</f>
        <v>0.74198710119949629</v>
      </c>
      <c r="R63" s="1016">
        <f ca="1">R$44/(INDEX($AI$10:$BJ$14,$B63,(C60-1)*2+1)*RWDI_FACTORS!$D$12*(1+$B$1*INDEX($AI$10:$BJ$14,$B63,(C60-1)*2+2)))</f>
        <v>0.7925373195013572</v>
      </c>
      <c r="S63" s="1016">
        <f ca="1">S$44/(INDEX($AI$10:$BJ$14,$B63,(C60-1)*2+1)*RWDI_FACTORS!$D$12*(1+$B$1*INDEX($AI$10:$BJ$14,$B63,(C60-1)*2+2)))</f>
        <v>0.83796256920082501</v>
      </c>
      <c r="T63" s="1016">
        <f ca="1">T$44/(INDEX($AI$10:$BJ$14,$B63,(C60-1)*2+1)*RWDI_FACTORS!$D$12*(1+$B$1*INDEX($AI$10:$BJ$14,$B63,(C60-1)*2+2)))</f>
        <v>0</v>
      </c>
      <c r="U63" s="1016">
        <f ca="1">U$44/(INDEX($AI$10:$BJ$14,$B63,(C60-1)*2+1)*RWDI_FACTORS!$D$12*(1+$B$1*INDEX($AI$10:$BJ$14,$B63,(C60-1)*2+2)))</f>
        <v>0</v>
      </c>
      <c r="V63" s="1016">
        <f ca="1">V$44/(INDEX($AI$10:$BJ$14,$B63,(C60-1)*2+1)*RWDI_FACTORS!$D$12*(1+$B$1*INDEX($AI$10:$BJ$14,$B63,(C60-1)*2+2)))</f>
        <v>0</v>
      </c>
      <c r="W63" s="1016">
        <f ca="1">W$44/(INDEX($AI$10:$BJ$14,$B63,(C60-1)*2+1)*RWDI_FACTORS!$D$12*(1+$B$1*INDEX($AI$10:$BJ$14,$B63,(C60-1)*2+2)))</f>
        <v>0</v>
      </c>
    </row>
    <row r="64" spans="1:24" x14ac:dyDescent="0.2">
      <c r="A64" s="577">
        <f>A54</f>
        <v>90.5</v>
      </c>
      <c r="B64" s="577">
        <v>2</v>
      </c>
      <c r="C64" s="1016">
        <f ca="1">C$45/(INDEX($AI$10:$BJ$14,$B64,(C60-1)*2+1)*RWDI_FACTORS!$D$12*(1+$B$1*INDEX($AI$10:$BJ$14,$B64,(C60-1)*2+2)))</f>
        <v>1.0379646784899665</v>
      </c>
      <c r="D64" s="1016">
        <f ca="1">D$45/(INDEX($AI$10:$BJ$14,$B64,(C60-1)*2+1)*RWDI_FACTORS!$D$12*(1+$B$1*INDEX($AI$10:$BJ$14,$B64,(C60-1)*2+2)))</f>
        <v>0.99481862612715077</v>
      </c>
      <c r="E64" s="1016">
        <f ca="1">E$45/(INDEX($AI$10:$BJ$14,$B64,(C60-1)*2+1)*RWDI_FACTORS!$D$12*(1+$B$1*INDEX($AI$10:$BJ$14,$B64,(C60-1)*2+2)))</f>
        <v>0.93198461150396594</v>
      </c>
      <c r="F64" s="1016">
        <f ca="1">F$45/(INDEX($AI$10:$BJ$14,$B64,(C60-1)*2+1)*RWDI_FACTORS!$D$12*(1+$B$1*INDEX($AI$10:$BJ$14,$B64,(C60-1)*2+2)))</f>
        <v>0.88312616661033194</v>
      </c>
      <c r="G64" s="1016">
        <f ca="1">G$45/(INDEX($AI$10:$BJ$14,$B64,(C60-1)*2+1)*RWDI_FACTORS!$D$12*(1+$B$1*INDEX($AI$10:$BJ$14,$B64,(C60-1)*2+2)))</f>
        <v>0.80216584463983986</v>
      </c>
      <c r="H64" s="1016">
        <f ca="1">H$45/(INDEX($AI$10:$BJ$14,$B64,(C60-1)*2+1)*RWDI_FACTORS!$D$12*(1+$B$1*INDEX($AI$10:$BJ$14,$B64,(C60-1)*2+2)))</f>
        <v>1.0379646784899665</v>
      </c>
      <c r="I64" s="1016">
        <f ca="1">I$45/(INDEX($AI$10:$BJ$14,$B64,(C60-1)*2+1)*RWDI_FACTORS!$D$12*(1+$B$1*INDEX($AI$10:$BJ$14,$B64,(C60-1)*2+2)))</f>
        <v>0.99481862612715077</v>
      </c>
      <c r="J64" s="1016">
        <f ca="1">J$45/(INDEX($AI$10:$BJ$14,$B64,(C60-1)*2+1)*RWDI_FACTORS!$D$12*(1+$B$1*INDEX($AI$10:$BJ$14,$B64,(C60-1)*2+2)))</f>
        <v>0.93198461150396594</v>
      </c>
      <c r="K64" s="1016">
        <f ca="1">K$45/(INDEX($AI$10:$BJ$14,$B64,(C60-1)*2+1)*RWDI_FACTORS!$D$12*(1+$B$1*INDEX($AI$10:$BJ$14,$B64,(C60-1)*2+2)))</f>
        <v>0.88312616661033194</v>
      </c>
      <c r="L64" s="1016">
        <f ca="1">L$45/(INDEX($AI$10:$BJ$14,$B64,(C60-1)*2+1)*RWDI_FACTORS!$D$12*(1+$B$1*INDEX($AI$10:$BJ$14,$B64,(C60-1)*2+2)))</f>
        <v>0.80216584463983986</v>
      </c>
      <c r="M64" s="1016">
        <f ca="1">M$45/(INDEX($AI$10:$BJ$14,$B64,(C60-1)*2+1)*RWDI_FACTORS!$D$12*(1+$B$1*INDEX($AI$10:$BJ$14,$B64,(C60-1)*2+2)))</f>
        <v>1.0379646784899665</v>
      </c>
      <c r="N64" s="1016">
        <f ca="1">N$45/(INDEX($AI$10:$BJ$14,$B64,(C60-1)*2+1)*RWDI_FACTORS!$D$12*(1+$B$1*INDEX($AI$10:$BJ$14,$B64,(C60-1)*2+2)))</f>
        <v>0.99481862612715077</v>
      </c>
      <c r="O64" s="1016">
        <f ca="1">O$45/(INDEX($AI$10:$BJ$14,$B64,(C60-1)*2+1)*RWDI_FACTORS!$D$12*(1+$B$1*INDEX($AI$10:$BJ$14,$B64,(C60-1)*2+2)))</f>
        <v>0.93198461150396594</v>
      </c>
      <c r="P64" s="1016">
        <f ca="1">P$45/(INDEX($AI$10:$BJ$14,$B64,(C60-1)*2+1)*RWDI_FACTORS!$D$12*(1+$B$1*INDEX($AI$10:$BJ$14,$B64,(C60-1)*2+2)))</f>
        <v>0.88312616661033194</v>
      </c>
      <c r="Q64" s="1016">
        <f ca="1">Q$45/(INDEX($AI$10:$BJ$14,$B64,(C60-1)*2+1)*RWDI_FACTORS!$D$12*(1+$B$1*INDEX($AI$10:$BJ$14,$B64,(C60-1)*2+2)))</f>
        <v>0.80216584463983986</v>
      </c>
      <c r="R64" s="1016">
        <f ca="1">R$45/(INDEX($AI$10:$BJ$14,$B64,(C60-1)*2+1)*RWDI_FACTORS!$D$12*(1+$B$1*INDEX($AI$10:$BJ$14,$B64,(C60-1)*2+2)))</f>
        <v>0.83756866300354615</v>
      </c>
      <c r="S64" s="1016">
        <f ca="1">S$45/(INDEX($AI$10:$BJ$14,$B64,(C60-1)*2+1)*RWDI_FACTORS!$D$12*(1+$B$1*INDEX($AI$10:$BJ$14,$B64,(C60-1)*2+2)))</f>
        <v>0.87044855939823729</v>
      </c>
      <c r="T64" s="1016">
        <f ca="1">T$45/(INDEX($AI$10:$BJ$14,$B64,(C60-1)*2+1)*RWDI_FACTORS!$D$12*(1+$B$1*INDEX($AI$10:$BJ$14,$B64,(C60-1)*2+2)))</f>
        <v>0</v>
      </c>
      <c r="U64" s="1016">
        <f ca="1">U$45/(INDEX($AI$10:$BJ$14,$B64,(C60-1)*2+1)*RWDI_FACTORS!$D$12*(1+$B$1*INDEX($AI$10:$BJ$14,$B64,(C60-1)*2+2)))</f>
        <v>0</v>
      </c>
      <c r="V64" s="1016">
        <f ca="1">V$45/(INDEX($AI$10:$BJ$14,$B64,(C60-1)*2+1)*RWDI_FACTORS!$D$12*(1+$B$1*INDEX($AI$10:$BJ$14,$B64,(C60-1)*2+2)))</f>
        <v>0</v>
      </c>
      <c r="W64" s="1016">
        <f ca="1">W$45/(INDEX($AI$10:$BJ$14,$B64,(C60-1)*2+1)*RWDI_FACTORS!$D$12*(1+$B$1*INDEX($AI$10:$BJ$14,$B64,(C60-1)*2+2)))</f>
        <v>0</v>
      </c>
    </row>
    <row r="65" spans="1:23" x14ac:dyDescent="0.2">
      <c r="A65" s="577">
        <f>A55</f>
        <v>120.7</v>
      </c>
      <c r="B65" s="577">
        <v>3</v>
      </c>
      <c r="C65" s="1016">
        <f ca="1">C$46/(INDEX($AI$10:$BJ$14,$B65,(C60-1)*2+1)*RWDI_FACTORS!$D$12*(1+$B$1*INDEX($AI$10:$BJ$14,$B65,(C60-1)*2+2)))</f>
        <v>1.0295628741477945</v>
      </c>
      <c r="D65" s="1016">
        <f ca="1">D$46/(INDEX($AI$10:$BJ$14,$B65,(C60-1)*2+1)*RWDI_FACTORS!$D$12*(1+$B$1*INDEX($AI$10:$BJ$14,$B65,(C60-1)*2+2)))</f>
        <v>0.99132220535374815</v>
      </c>
      <c r="E65" s="1016">
        <f ca="1">E$46/(INDEX($AI$10:$BJ$14,$B65,(C60-1)*2+1)*RWDI_FACTORS!$D$12*(1+$B$1*INDEX($AI$10:$BJ$14,$B65,(C60-1)*2+2)))</f>
        <v>0.935646539295095</v>
      </c>
      <c r="F65" s="1016">
        <f ca="1">F$46/(INDEX($AI$10:$BJ$14,$B65,(C60-1)*2+1)*RWDI_FACTORS!$D$12*(1+$B$1*INDEX($AI$10:$BJ$14,$B65,(C60-1)*2+2)))</f>
        <v>0.89272515586801127</v>
      </c>
      <c r="G65" s="1016">
        <f ca="1">G$46/(INDEX($AI$10:$BJ$14,$B65,(C60-1)*2+1)*RWDI_FACTORS!$D$12*(1+$B$1*INDEX($AI$10:$BJ$14,$B65,(C60-1)*2+2)))</f>
        <v>0.82489767754766963</v>
      </c>
      <c r="H65" s="1016">
        <f ca="1">H$46/(INDEX($AI$10:$BJ$14,$B65,(C60-1)*2+1)*RWDI_FACTORS!$D$12*(1+$B$1*INDEX($AI$10:$BJ$14,$B65,(C60-1)*2+2)))</f>
        <v>1.0295628741477945</v>
      </c>
      <c r="I65" s="1016">
        <f ca="1">I$46/(INDEX($AI$10:$BJ$14,$B65,(C60-1)*2+1)*RWDI_FACTORS!$D$12*(1+$B$1*INDEX($AI$10:$BJ$14,$B65,(C60-1)*2+2)))</f>
        <v>0.99132220535374815</v>
      </c>
      <c r="J65" s="1016">
        <f ca="1">J$46/(INDEX($AI$10:$BJ$14,$B65,(C60-1)*2+1)*RWDI_FACTORS!$D$12*(1+$B$1*INDEX($AI$10:$BJ$14,$B65,(C60-1)*2+2)))</f>
        <v>0.935646539295095</v>
      </c>
      <c r="K65" s="1016">
        <f ca="1">K$46/(INDEX($AI$10:$BJ$14,$B65,(C60-1)*2+1)*RWDI_FACTORS!$D$12*(1+$B$1*INDEX($AI$10:$BJ$14,$B65,(C60-1)*2+2)))</f>
        <v>0.89272515586801127</v>
      </c>
      <c r="L65" s="1016">
        <f ca="1">L$46/(INDEX($AI$10:$BJ$14,$B65,(C60-1)*2+1)*RWDI_FACTORS!$D$12*(1+$B$1*INDEX($AI$10:$BJ$14,$B65,(C60-1)*2+2)))</f>
        <v>0.82489767754766963</v>
      </c>
      <c r="M65" s="1016">
        <f ca="1">M$46/(INDEX($AI$10:$BJ$14,$B65,(C60-1)*2+1)*RWDI_FACTORS!$D$12*(1+$B$1*INDEX($AI$10:$BJ$14,$B65,(C60-1)*2+2)))</f>
        <v>1.0295628741477945</v>
      </c>
      <c r="N65" s="1016">
        <f ca="1">N$46/(INDEX($AI$10:$BJ$14,$B65,(C60-1)*2+1)*RWDI_FACTORS!$D$12*(1+$B$1*INDEX($AI$10:$BJ$14,$B65,(C60-1)*2+2)))</f>
        <v>0.99132220535374815</v>
      </c>
      <c r="O65" s="1016">
        <f ca="1">O$46/(INDEX($AI$10:$BJ$14,$B65,(C60-1)*2+1)*RWDI_FACTORS!$D$12*(1+$B$1*INDEX($AI$10:$BJ$14,$B65,(C60-1)*2+2)))</f>
        <v>0.935646539295095</v>
      </c>
      <c r="P65" s="1016">
        <f ca="1">P$46/(INDEX($AI$10:$BJ$14,$B65,(C60-1)*2+1)*RWDI_FACTORS!$D$12*(1+$B$1*INDEX($AI$10:$BJ$14,$B65,(C60-1)*2+2)))</f>
        <v>0.89272515586801127</v>
      </c>
      <c r="Q65" s="1016">
        <f ca="1">Q$46/(INDEX($AI$10:$BJ$14,$B65,(C60-1)*2+1)*RWDI_FACTORS!$D$12*(1+$B$1*INDEX($AI$10:$BJ$14,$B65,(C60-1)*2+2)))</f>
        <v>0.82489767754766963</v>
      </c>
      <c r="R65" s="1016">
        <f ca="1">R$46/(INDEX($AI$10:$BJ$14,$B65,(C60-1)*2+1)*RWDI_FACTORS!$D$12*(1+$B$1*INDEX($AI$10:$BJ$14,$B65,(C60-1)*2+2)))</f>
        <v>0.85584749662577664</v>
      </c>
      <c r="S65" s="1016">
        <f ca="1">S$46/(INDEX($AI$10:$BJ$14,$B65,(C60-1)*2+1)*RWDI_FACTORS!$D$12*(1+$B$1*INDEX($AI$10:$BJ$14,$B65,(C60-1)*2+2)))</f>
        <v>0.88099742643252754</v>
      </c>
      <c r="T65" s="1016">
        <f ca="1">T$46/(INDEX($AI$10:$BJ$14,$B65,(C60-1)*2+1)*RWDI_FACTORS!$D$12*(1+$B$1*INDEX($AI$10:$BJ$14,$B65,(C60-1)*2+2)))</f>
        <v>0</v>
      </c>
      <c r="U65" s="1016">
        <f ca="1">U$46/(INDEX($AI$10:$BJ$14,$B65,(C60-1)*2+1)*RWDI_FACTORS!$D$12*(1+$B$1*INDEX($AI$10:$BJ$14,$B65,(C60-1)*2+2)))</f>
        <v>0</v>
      </c>
      <c r="V65" s="1016">
        <f ca="1">V$46/(INDEX($AI$10:$BJ$14,$B65,(C60-1)*2+1)*RWDI_FACTORS!$D$12*(1+$B$1*INDEX($AI$10:$BJ$14,$B65,(C60-1)*2+2)))</f>
        <v>0</v>
      </c>
      <c r="W65" s="1016">
        <f ca="1">W$46/(INDEX($AI$10:$BJ$14,$B65,(C60-1)*2+1)*RWDI_FACTORS!$D$12*(1+$B$1*INDEX($AI$10:$BJ$14,$B65,(C60-1)*2+2)))</f>
        <v>0</v>
      </c>
    </row>
    <row r="66" spans="1:23" x14ac:dyDescent="0.2">
      <c r="A66" s="577">
        <f>A56</f>
        <v>144.80000000000001</v>
      </c>
      <c r="B66" s="577">
        <v>4</v>
      </c>
      <c r="C66" s="1016">
        <f ca="1">C$47/(INDEX($AI$10:$BJ$14,$B66,(C60-1)*2+1)*RWDI_FACTORS!$D$12*(1+$B$1*INDEX($AI$10:$BJ$14,$B66,(C60-1)*2+2)))</f>
        <v>1.0273792441495599</v>
      </c>
      <c r="D66" s="1016">
        <f ca="1">D$47/(INDEX($AI$10:$BJ$14,$B66,(C60-1)*2+1)*RWDI_FACTORS!$D$12*(1+$B$1*INDEX($AI$10:$BJ$14,$B66,(C60-1)*2+2)))</f>
        <v>0.99191772321457505</v>
      </c>
      <c r="E66" s="1016">
        <f ca="1">E$47/(INDEX($AI$10:$BJ$14,$B66,(C60-1)*2+1)*RWDI_FACTORS!$D$12*(1+$B$1*INDEX($AI$10:$BJ$14,$B66,(C60-1)*2+2)))</f>
        <v>0.94036868238384397</v>
      </c>
      <c r="F66" s="1016">
        <f ca="1">F$47/(INDEX($AI$10:$BJ$14,$B66,(C60-1)*2+1)*RWDI_FACTORS!$D$12*(1+$B$1*INDEX($AI$10:$BJ$14,$B66,(C60-1)*2+2)))</f>
        <v>0.90128085849410877</v>
      </c>
      <c r="G66" s="1016">
        <f ca="1">G$47/(INDEX($AI$10:$BJ$14,$B66,(C60-1)*2+1)*RWDI_FACTORS!$D$12*(1+$B$1*INDEX($AI$10:$BJ$14,$B66,(C60-1)*2+2)))</f>
        <v>0.84094469341291889</v>
      </c>
      <c r="H66" s="1016">
        <f ca="1">H$47/(INDEX($AI$10:$BJ$14,$B66,(C60-1)*2+1)*RWDI_FACTORS!$D$12*(1+$B$1*INDEX($AI$10:$BJ$14,$B66,(C60-1)*2+2)))</f>
        <v>1.0273792441495599</v>
      </c>
      <c r="I66" s="1016">
        <f ca="1">I$47/(INDEX($AI$10:$BJ$14,$B66,(C60-1)*2+1)*RWDI_FACTORS!$D$12*(1+$B$1*INDEX($AI$10:$BJ$14,$B66,(C60-1)*2+2)))</f>
        <v>0.99191772321457505</v>
      </c>
      <c r="J66" s="1016">
        <f ca="1">J$47/(INDEX($AI$10:$BJ$14,$B66,(C60-1)*2+1)*RWDI_FACTORS!$D$12*(1+$B$1*INDEX($AI$10:$BJ$14,$B66,(C60-1)*2+2)))</f>
        <v>0.94036868238384397</v>
      </c>
      <c r="K66" s="1016">
        <f ca="1">K$47/(INDEX($AI$10:$BJ$14,$B66,(C60-1)*2+1)*RWDI_FACTORS!$D$12*(1+$B$1*INDEX($AI$10:$BJ$14,$B66,(C60-1)*2+2)))</f>
        <v>0.90128085849410877</v>
      </c>
      <c r="L66" s="1016">
        <f ca="1">L$47/(INDEX($AI$10:$BJ$14,$B66,(C60-1)*2+1)*RWDI_FACTORS!$D$12*(1+$B$1*INDEX($AI$10:$BJ$14,$B66,(C60-1)*2+2)))</f>
        <v>0.84094469341291889</v>
      </c>
      <c r="M66" s="1016">
        <f ca="1">M$47/(INDEX($AI$10:$BJ$14,$B66,(C60-1)*2+1)*RWDI_FACTORS!$D$12*(1+$B$1*INDEX($AI$10:$BJ$14,$B66,(C60-1)*2+2)))</f>
        <v>1.0273792441495599</v>
      </c>
      <c r="N66" s="1016">
        <f ca="1">N$47/(INDEX($AI$10:$BJ$14,$B66,(C60-1)*2+1)*RWDI_FACTORS!$D$12*(1+$B$1*INDEX($AI$10:$BJ$14,$B66,(C60-1)*2+2)))</f>
        <v>0.99191772321457505</v>
      </c>
      <c r="O66" s="1016">
        <f ca="1">O$47/(INDEX($AI$10:$BJ$14,$B66,(C60-1)*2+1)*RWDI_FACTORS!$D$12*(1+$B$1*INDEX($AI$10:$BJ$14,$B66,(C60-1)*2+2)))</f>
        <v>0.94036868238384397</v>
      </c>
      <c r="P66" s="1016">
        <f ca="1">P$47/(INDEX($AI$10:$BJ$14,$B66,(C60-1)*2+1)*RWDI_FACTORS!$D$12*(1+$B$1*INDEX($AI$10:$BJ$14,$B66,(C60-1)*2+2)))</f>
        <v>0.90128085849410877</v>
      </c>
      <c r="Q66" s="1016">
        <f ca="1">Q$47/(INDEX($AI$10:$BJ$14,$B66,(C60-1)*2+1)*RWDI_FACTORS!$D$12*(1+$B$1*INDEX($AI$10:$BJ$14,$B66,(C60-1)*2+2)))</f>
        <v>0.84094469341291889</v>
      </c>
      <c r="R66" s="1016">
        <f ca="1">R$47/(INDEX($AI$10:$BJ$14,$B66,(C60-1)*2+1)*RWDI_FACTORS!$D$12*(1+$B$1*INDEX($AI$10:$BJ$14,$B66,(C60-1)*2+2)))</f>
        <v>0.86886938913695555</v>
      </c>
      <c r="S66" s="1016">
        <f ca="1">S$47/(INDEX($AI$10:$BJ$14,$B66,(C60-1)*2+1)*RWDI_FACTORS!$D$12*(1+$B$1*INDEX($AI$10:$BJ$14,$B66,(C60-1)*2+2)))</f>
        <v>0.89045267239998549</v>
      </c>
      <c r="T66" s="1016">
        <f ca="1">T$47/(INDEX($AI$10:$BJ$14,$B66,(C60-1)*2+1)*RWDI_FACTORS!$D$12*(1+$B$1*INDEX($AI$10:$BJ$14,$B66,(C60-1)*2+2)))</f>
        <v>0</v>
      </c>
      <c r="U66" s="1016">
        <f ca="1">U$47/(INDEX($AI$10:$BJ$14,$B66,(C60-1)*2+1)*RWDI_FACTORS!$D$12*(1+$B$1*INDEX($AI$10:$BJ$14,$B66,(C60-1)*2+2)))</f>
        <v>0</v>
      </c>
      <c r="V66" s="1016">
        <f ca="1">V$47/(INDEX($AI$10:$BJ$14,$B66,(C60-1)*2+1)*RWDI_FACTORS!$D$12*(1+$B$1*INDEX($AI$10:$BJ$14,$B66,(C60-1)*2+2)))</f>
        <v>0</v>
      </c>
      <c r="W66" s="1016">
        <f ca="1">W$47/(INDEX($AI$10:$BJ$14,$B66,(C60-1)*2+1)*RWDI_FACTORS!$D$12*(1+$B$1*INDEX($AI$10:$BJ$14,$B66,(C60-1)*2+2)))</f>
        <v>0</v>
      </c>
    </row>
    <row r="67" spans="1:23" x14ac:dyDescent="0.2">
      <c r="A67" s="577">
        <f>A57</f>
        <v>181</v>
      </c>
      <c r="B67" s="577">
        <v>5</v>
      </c>
      <c r="C67" s="1016">
        <f ca="1">C$48/(INDEX($AI$10:$BJ$14,$B67,(C60-1)*2+1)*RWDI_FACTORS!$D$12*(1+$B$1*INDEX($AI$10:$BJ$14,$B67,(C60-1)*2+2)))</f>
        <v>1.0247049072091947</v>
      </c>
      <c r="D67" s="1016">
        <f ca="1">D$48/(INDEX($AI$10:$BJ$14,$B67,(C60-1)*2+1)*RWDI_FACTORS!$D$12*(1+$B$1*INDEX($AI$10:$BJ$14,$B67,(C60-1)*2+2)))</f>
        <v>0.99240926205725599</v>
      </c>
      <c r="E67" s="1016">
        <f ca="1">E$48/(INDEX($AI$10:$BJ$14,$B67,(C60-1)*2+1)*RWDI_FACTORS!$D$12*(1+$B$1*INDEX($AI$10:$BJ$14,$B67,(C60-1)*2+2)))</f>
        <v>0.94564525527093479</v>
      </c>
      <c r="F67" s="1016">
        <f ca="1">F$48/(INDEX($AI$10:$BJ$14,$B67,(C60-1)*2+1)*RWDI_FACTORS!$D$12*(1+$B$1*INDEX($AI$10:$BJ$14,$B67,(C60-1)*2+2)))</f>
        <v>0.91113786973777089</v>
      </c>
      <c r="G67" s="1016">
        <f ca="1">G$48/(INDEX($AI$10:$BJ$14,$B67,(C60-1)*2+1)*RWDI_FACTORS!$D$12*(1+$B$1*INDEX($AI$10:$BJ$14,$B67,(C60-1)*2+2)))</f>
        <v>0.85970264185307399</v>
      </c>
      <c r="H67" s="1016">
        <f ca="1">H$48/(INDEX($AI$10:$BJ$14,$B67,(C60-1)*2+1)*RWDI_FACTORS!$D$12*(1+$B$1*INDEX($AI$10:$BJ$14,$B67,(C60-1)*2+2)))</f>
        <v>1.0247049072091947</v>
      </c>
      <c r="I67" s="1016">
        <f ca="1">I$48/(INDEX($AI$10:$BJ$14,$B67,(C60-1)*2+1)*RWDI_FACTORS!$D$12*(1+$B$1*INDEX($AI$10:$BJ$14,$B67,(C60-1)*2+2)))</f>
        <v>0.99240926205725599</v>
      </c>
      <c r="J67" s="1016">
        <f ca="1">J$48/(INDEX($AI$10:$BJ$14,$B67,(C60-1)*2+1)*RWDI_FACTORS!$D$12*(1+$B$1*INDEX($AI$10:$BJ$14,$B67,(C60-1)*2+2)))</f>
        <v>0.94564525527093479</v>
      </c>
      <c r="K67" s="1016">
        <f ca="1">K$48/(INDEX($AI$10:$BJ$14,$B67,(C60-1)*2+1)*RWDI_FACTORS!$D$12*(1+$B$1*INDEX($AI$10:$BJ$14,$B67,(C60-1)*2+2)))</f>
        <v>0.91113786973777089</v>
      </c>
      <c r="L67" s="1016">
        <f ca="1">L$48/(INDEX($AI$10:$BJ$14,$B67,(C60-1)*2+1)*RWDI_FACTORS!$D$12*(1+$B$1*INDEX($AI$10:$BJ$14,$B67,(C60-1)*2+2)))</f>
        <v>0.85970264185307399</v>
      </c>
      <c r="M67" s="1016">
        <f ca="1">M$48/(INDEX($AI$10:$BJ$14,$B67,(C60-1)*2+1)*RWDI_FACTORS!$D$12*(1+$B$1*INDEX($AI$10:$BJ$14,$B67,(C60-1)*2+2)))</f>
        <v>1.0247049072091947</v>
      </c>
      <c r="N67" s="1016">
        <f ca="1">N$48/(INDEX($AI$10:$BJ$14,$B67,(C60-1)*2+1)*RWDI_FACTORS!$D$12*(1+$B$1*INDEX($AI$10:$BJ$14,$B67,(C60-1)*2+2)))</f>
        <v>0.99240926205725599</v>
      </c>
      <c r="O67" s="1016">
        <f ca="1">O$48/(INDEX($AI$10:$BJ$14,$B67,(C60-1)*2+1)*RWDI_FACTORS!$D$12*(1+$B$1*INDEX($AI$10:$BJ$14,$B67,(C60-1)*2+2)))</f>
        <v>0.94564525527093479</v>
      </c>
      <c r="P67" s="1016">
        <f ca="1">P$48/(INDEX($AI$10:$BJ$14,$B67,(C60-1)*2+1)*RWDI_FACTORS!$D$12*(1+$B$1*INDEX($AI$10:$BJ$14,$B67,(C60-1)*2+2)))</f>
        <v>0.91113786973777089</v>
      </c>
      <c r="Q67" s="1016">
        <f ca="1">Q$48/(INDEX($AI$10:$BJ$14,$B67,(C60-1)*2+1)*RWDI_FACTORS!$D$12*(1+$B$1*INDEX($AI$10:$BJ$14,$B67,(C60-1)*2+2)))</f>
        <v>0.85970264185307399</v>
      </c>
      <c r="R67" s="1016">
        <f ca="1">R$48/(INDEX($AI$10:$BJ$14,$B67,(C60-1)*2+1)*RWDI_FACTORS!$D$12*(1+$B$1*INDEX($AI$10:$BJ$14,$B67,(C60-1)*2+2)))</f>
        <v>0.88324210048571039</v>
      </c>
      <c r="S67" s="1016">
        <f ca="1">S$48/(INDEX($AI$10:$BJ$14,$B67,(C60-1)*2+1)*RWDI_FACTORS!$D$12*(1+$B$1*INDEX($AI$10:$BJ$14,$B67,(C60-1)*2+2)))</f>
        <v>0.90164670872919961</v>
      </c>
      <c r="T67" s="1016">
        <f ca="1">T$48/(INDEX($AI$10:$BJ$14,$B67,(C60-1)*2+1)*RWDI_FACTORS!$D$12*(1+$B$1*INDEX($AI$10:$BJ$14,$B67,(C60-1)*2+2)))</f>
        <v>0</v>
      </c>
      <c r="U67" s="1016">
        <f ca="1">U$48/(INDEX($AI$10:$BJ$14,$B67,(C60-1)*2+1)*RWDI_FACTORS!$D$12*(1+$B$1*INDEX($AI$10:$BJ$14,$B67,(C60-1)*2+2)))</f>
        <v>0</v>
      </c>
      <c r="V67" s="1016">
        <f ca="1">V$48/(INDEX($AI$10:$BJ$14,$B67,(C60-1)*2+1)*RWDI_FACTORS!$D$12*(1+$B$1*INDEX($AI$10:$BJ$14,$B67,(C60-1)*2+2)))</f>
        <v>0</v>
      </c>
      <c r="W67" s="1016">
        <f ca="1">W$48/(INDEX($AI$10:$BJ$14,$B67,(C60-1)*2+1)*RWDI_FACTORS!$D$12*(1+$B$1*INDEX($AI$10:$BJ$14,$B67,(C60-1)*2+2)))</f>
        <v>0</v>
      </c>
    </row>
    <row r="68" spans="1:23" x14ac:dyDescent="0.2">
      <c r="B68" s="1019" t="s">
        <v>609</v>
      </c>
      <c r="C68" s="1011">
        <f t="shared" ref="C68:W68" ca="1" si="11">AVERAGE(C63:C67)</f>
        <v>1.0327537774212088</v>
      </c>
      <c r="D68" s="1011">
        <f t="shared" ca="1" si="11"/>
        <v>0.9924752791836331</v>
      </c>
      <c r="E68" s="1011">
        <f t="shared" ca="1" si="11"/>
        <v>0.93393885345039873</v>
      </c>
      <c r="F68" s="1011">
        <f t="shared" ca="1" si="11"/>
        <v>0.88885489366760184</v>
      </c>
      <c r="G68" s="1011">
        <f t="shared" ca="1" si="11"/>
        <v>0.81393959173059971</v>
      </c>
      <c r="H68" s="1011">
        <f t="shared" ca="1" si="11"/>
        <v>1.0327537774212088</v>
      </c>
      <c r="I68" s="1011">
        <f t="shared" ca="1" si="11"/>
        <v>0.9924752791836331</v>
      </c>
      <c r="J68" s="1011">
        <f t="shared" ca="1" si="11"/>
        <v>0.93393885345039873</v>
      </c>
      <c r="K68" s="1011">
        <f t="shared" ca="1" si="11"/>
        <v>0.88885489366760184</v>
      </c>
      <c r="L68" s="1011">
        <f t="shared" ca="1" si="11"/>
        <v>0.81393959173059971</v>
      </c>
      <c r="M68" s="1011">
        <f t="shared" ca="1" si="11"/>
        <v>1.0327537774212088</v>
      </c>
      <c r="N68" s="1011">
        <f t="shared" ca="1" si="11"/>
        <v>0.9924752791836331</v>
      </c>
      <c r="O68" s="1011">
        <f t="shared" ca="1" si="11"/>
        <v>0.93393885345039873</v>
      </c>
      <c r="P68" s="1011">
        <f t="shared" ca="1" si="11"/>
        <v>0.88885489366760184</v>
      </c>
      <c r="Q68" s="1011">
        <f t="shared" ca="1" si="11"/>
        <v>0.81393959173059971</v>
      </c>
      <c r="R68" s="1011">
        <f t="shared" ca="1" si="11"/>
        <v>0.84761299375066912</v>
      </c>
      <c r="S68" s="1011">
        <f t="shared" ca="1" si="11"/>
        <v>0.8763015872321549</v>
      </c>
      <c r="T68" s="1011">
        <f t="shared" ca="1" si="11"/>
        <v>0</v>
      </c>
      <c r="U68" s="1011">
        <f t="shared" ca="1" si="11"/>
        <v>0</v>
      </c>
      <c r="V68" s="1011">
        <f t="shared" ca="1" si="11"/>
        <v>0</v>
      </c>
      <c r="W68" s="1011">
        <f t="shared" ca="1" si="11"/>
        <v>0</v>
      </c>
    </row>
    <row r="69" spans="1:23" x14ac:dyDescent="0.2">
      <c r="B69" s="1019" t="s">
        <v>610</v>
      </c>
      <c r="C69" s="1011">
        <f t="shared" ref="C69:W69" ca="1" si="12">STDEV(C63:C67)/C68*100</f>
        <v>0.78222048226773089</v>
      </c>
      <c r="D69" s="1011">
        <f t="shared" ca="1" si="12"/>
        <v>0.13757485852229767</v>
      </c>
      <c r="E69" s="1011">
        <f t="shared" ca="1" si="12"/>
        <v>1.2032760941253557</v>
      </c>
      <c r="F69" s="1011">
        <f t="shared" ca="1" si="12"/>
        <v>2.3718715735644778</v>
      </c>
      <c r="G69" s="1011">
        <f t="shared" ca="1" si="12"/>
        <v>5.582798080453208</v>
      </c>
      <c r="H69" s="1011">
        <f t="shared" ca="1" si="12"/>
        <v>0.78222048226773089</v>
      </c>
      <c r="I69" s="1011">
        <f t="shared" ca="1" si="12"/>
        <v>0.13757485852229767</v>
      </c>
      <c r="J69" s="1011">
        <f t="shared" ca="1" si="12"/>
        <v>1.2032760941253557</v>
      </c>
      <c r="K69" s="1011">
        <f t="shared" ca="1" si="12"/>
        <v>2.3718715735644778</v>
      </c>
      <c r="L69" s="1011">
        <f t="shared" ca="1" si="12"/>
        <v>5.582798080453208</v>
      </c>
      <c r="M69" s="1011">
        <f t="shared" ca="1" si="12"/>
        <v>0.78222048226773089</v>
      </c>
      <c r="N69" s="1011">
        <f t="shared" ca="1" si="12"/>
        <v>0.13757485852229767</v>
      </c>
      <c r="O69" s="1011">
        <f t="shared" ca="1" si="12"/>
        <v>1.2032760941253557</v>
      </c>
      <c r="P69" s="1011">
        <f t="shared" ca="1" si="12"/>
        <v>2.3718715735644778</v>
      </c>
      <c r="Q69" s="1011">
        <f t="shared" ca="1" si="12"/>
        <v>5.582798080453208</v>
      </c>
      <c r="R69" s="1011">
        <f t="shared" ca="1" si="12"/>
        <v>4.1390459187326751</v>
      </c>
      <c r="S69" s="1011">
        <f t="shared" ca="1" si="12"/>
        <v>2.7770404842201848</v>
      </c>
      <c r="T69" s="1011" t="e">
        <f t="shared" ca="1" si="12"/>
        <v>#DIV/0!</v>
      </c>
      <c r="U69" s="1011" t="e">
        <f t="shared" ca="1" si="12"/>
        <v>#DIV/0!</v>
      </c>
      <c r="V69" s="1011" t="e">
        <f t="shared" ca="1" si="12"/>
        <v>#DIV/0!</v>
      </c>
      <c r="W69" s="1011" t="e">
        <f t="shared" ca="1" si="12"/>
        <v>#DIV/0!</v>
      </c>
    </row>
    <row r="70" spans="1:23" x14ac:dyDescent="0.2">
      <c r="A70" s="1017" t="str">
        <f ca="1">INDEX($AI$7:$BJ$7,1,(C70-1)*2+1)</f>
        <v>Opsub A24LE</v>
      </c>
      <c r="B70" s="1018"/>
      <c r="C70" s="577">
        <v>3</v>
      </c>
    </row>
    <row r="72" spans="1:23" x14ac:dyDescent="0.2">
      <c r="C72" s="577" t="s">
        <v>203</v>
      </c>
      <c r="D72" s="577" t="s">
        <v>204</v>
      </c>
      <c r="E72" s="577" t="s">
        <v>205</v>
      </c>
      <c r="F72" s="577" t="s">
        <v>206</v>
      </c>
      <c r="G72" s="577" t="s">
        <v>207</v>
      </c>
      <c r="H72" s="577" t="s">
        <v>266</v>
      </c>
      <c r="I72" s="577" t="s">
        <v>267</v>
      </c>
      <c r="J72" s="577" t="s">
        <v>268</v>
      </c>
      <c r="K72" s="577" t="s">
        <v>269</v>
      </c>
      <c r="L72" s="577" t="s">
        <v>270</v>
      </c>
      <c r="M72" s="577" t="s">
        <v>271</v>
      </c>
      <c r="N72" s="577" t="s">
        <v>272</v>
      </c>
      <c r="O72" s="577" t="s">
        <v>273</v>
      </c>
      <c r="P72" s="577" t="s">
        <v>274</v>
      </c>
      <c r="Q72" s="577" t="s">
        <v>275</v>
      </c>
      <c r="R72" s="577" t="s">
        <v>276</v>
      </c>
      <c r="S72" s="577" t="s">
        <v>277</v>
      </c>
      <c r="T72" s="577" t="s">
        <v>278</v>
      </c>
      <c r="U72" s="577" t="s">
        <v>279</v>
      </c>
      <c r="V72" s="577" t="s">
        <v>280</v>
      </c>
      <c r="W72" s="577" t="s">
        <v>297</v>
      </c>
    </row>
    <row r="73" spans="1:23" x14ac:dyDescent="0.2">
      <c r="A73" s="577">
        <f>A63</f>
        <v>54.3</v>
      </c>
      <c r="B73" s="577">
        <v>1</v>
      </c>
      <c r="C73" s="1016">
        <f ca="1">C$44/(INDEX($AI$10:$BJ$14,$B73,(C70-1)*2+1)*RWDI_FACTORS!$D$12*(1+$B$1*INDEX($AI$10:$BJ$14,$B73,(C70-1)*2+2)))</f>
        <v>1.1093607415176889</v>
      </c>
      <c r="D73" s="1016">
        <f ca="1">D$44/(INDEX($AI$10:$BJ$14,$B73,(C70-1)*2+1)*RWDI_FACTORS!$D$12*(1+$B$1*INDEX($AI$10:$BJ$14,$B73,(C70-1)*2+2)))</f>
        <v>1.0538494152994764</v>
      </c>
      <c r="E73" s="1016">
        <f ca="1">E$44/(INDEX($AI$10:$BJ$14,$B73,(C70-1)*2+1)*RWDI_FACTORS!$D$12*(1+$B$1*INDEX($AI$10:$BJ$14,$B73,(C70-1)*2+2)))</f>
        <v>0.97325289017486127</v>
      </c>
      <c r="F73" s="1016">
        <f ca="1">F$44/(INDEX($AI$10:$BJ$14,$B73,(C70-1)*2+1)*RWDI_FACTORS!$D$12*(1+$B$1*INDEX($AI$10:$BJ$14,$B73,(C70-1)*2+2)))</f>
        <v>0.90945856700807415</v>
      </c>
      <c r="G73" s="1016">
        <f ca="1">G$44/(INDEX($AI$10:$BJ$14,$B73,(C70-1)*2+1)*RWDI_FACTORS!$D$12*(1+$B$1*INDEX($AI$10:$BJ$14,$B73,(C70-1)*2+2)))</f>
        <v>0.78832131224910629</v>
      </c>
      <c r="H73" s="1016">
        <f ca="1">H$44/(INDEX($AI$10:$BJ$14,$B73,(C70-1)*2+1)*RWDI_FACTORS!$D$12*(1+$B$1*INDEX($AI$10:$BJ$14,$B73,(C70-1)*2+2)))</f>
        <v>1.1093607415176889</v>
      </c>
      <c r="I73" s="1016">
        <f ca="1">I$44/(INDEX($AI$10:$BJ$14,$B73,(C70-1)*2+1)*RWDI_FACTORS!$D$12*(1+$B$1*INDEX($AI$10:$BJ$14,$B73,(C70-1)*2+2)))</f>
        <v>1.0538494152994764</v>
      </c>
      <c r="J73" s="1016">
        <f ca="1">J$44/(INDEX($AI$10:$BJ$14,$B73,(C70-1)*2+1)*RWDI_FACTORS!$D$12*(1+$B$1*INDEX($AI$10:$BJ$14,$B73,(C70-1)*2+2)))</f>
        <v>0.97325289017486127</v>
      </c>
      <c r="K73" s="1016">
        <f ca="1">K$44/(INDEX($AI$10:$BJ$14,$B73,(C70-1)*2+1)*RWDI_FACTORS!$D$12*(1+$B$1*INDEX($AI$10:$BJ$14,$B73,(C70-1)*2+2)))</f>
        <v>0.90945856700807415</v>
      </c>
      <c r="L73" s="1016">
        <f ca="1">L$44/(INDEX($AI$10:$BJ$14,$B73,(C70-1)*2+1)*RWDI_FACTORS!$D$12*(1+$B$1*INDEX($AI$10:$BJ$14,$B73,(C70-1)*2+2)))</f>
        <v>0.78832131224910629</v>
      </c>
      <c r="M73" s="1016">
        <f ca="1">M$44/(INDEX($AI$10:$BJ$14,$B73,(C70-1)*2+1)*RWDI_FACTORS!$D$12*(1+$B$1*INDEX($AI$10:$BJ$14,$B73,(C70-1)*2+2)))</f>
        <v>1.1093607415176889</v>
      </c>
      <c r="N73" s="1016">
        <f ca="1">N$44/(INDEX($AI$10:$BJ$14,$B73,(C70-1)*2+1)*RWDI_FACTORS!$D$12*(1+$B$1*INDEX($AI$10:$BJ$14,$B73,(C70-1)*2+2)))</f>
        <v>1.0538494152994764</v>
      </c>
      <c r="O73" s="1016">
        <f ca="1">O$44/(INDEX($AI$10:$BJ$14,$B73,(C70-1)*2+1)*RWDI_FACTORS!$D$12*(1+$B$1*INDEX($AI$10:$BJ$14,$B73,(C70-1)*2+2)))</f>
        <v>0.97325289017486127</v>
      </c>
      <c r="P73" s="1016">
        <f ca="1">P$44/(INDEX($AI$10:$BJ$14,$B73,(C70-1)*2+1)*RWDI_FACTORS!$D$12*(1+$B$1*INDEX($AI$10:$BJ$14,$B73,(C70-1)*2+2)))</f>
        <v>0.90945856700807415</v>
      </c>
      <c r="Q73" s="1016">
        <f ca="1">Q$44/(INDEX($AI$10:$BJ$14,$B73,(C70-1)*2+1)*RWDI_FACTORS!$D$12*(1+$B$1*INDEX($AI$10:$BJ$14,$B73,(C70-1)*2+2)))</f>
        <v>0.78832131224910629</v>
      </c>
      <c r="R73" s="1016">
        <f ca="1">R$44/(INDEX($AI$10:$BJ$14,$B73,(C70-1)*2+1)*RWDI_FACTORS!$D$12*(1+$B$1*INDEX($AI$10:$BJ$14,$B73,(C70-1)*2+2)))</f>
        <v>0.84202819524178996</v>
      </c>
      <c r="S73" s="1016">
        <f ca="1">S$44/(INDEX($AI$10:$BJ$14,$B73,(C70-1)*2+1)*RWDI_FACTORS!$D$12*(1+$B$1*INDEX($AI$10:$BJ$14,$B73,(C70-1)*2+2)))</f>
        <v>0.89029007525889248</v>
      </c>
      <c r="T73" s="1016">
        <f ca="1">T$44/(INDEX($AI$10:$BJ$14,$B73,(C70-1)*2+1)*RWDI_FACTORS!$D$12*(1+$B$1*INDEX($AI$10:$BJ$14,$B73,(C70-1)*2+2)))</f>
        <v>0</v>
      </c>
      <c r="U73" s="1016">
        <f ca="1">U$44/(INDEX($AI$10:$BJ$14,$B73,(C70-1)*2+1)*RWDI_FACTORS!$D$12*(1+$B$1*INDEX($AI$10:$BJ$14,$B73,(C70-1)*2+2)))</f>
        <v>0</v>
      </c>
      <c r="V73" s="1016">
        <f ca="1">V$44/(INDEX($AI$10:$BJ$14,$B73,(C70-1)*2+1)*RWDI_FACTORS!$D$12*(1+$B$1*INDEX($AI$10:$BJ$14,$B73,(C70-1)*2+2)))</f>
        <v>0</v>
      </c>
      <c r="W73" s="1016">
        <f ca="1">W$44/(INDEX($AI$10:$BJ$14,$B73,(C70-1)*2+1)*RWDI_FACTORS!$D$12*(1+$B$1*INDEX($AI$10:$BJ$14,$B73,(C70-1)*2+2)))</f>
        <v>0</v>
      </c>
    </row>
    <row r="74" spans="1:23" x14ac:dyDescent="0.2">
      <c r="A74" s="577">
        <f>A64</f>
        <v>90.5</v>
      </c>
      <c r="B74" s="577">
        <v>2</v>
      </c>
      <c r="C74" s="1016">
        <f ca="1">C$45/(INDEX($AI$10:$BJ$14,$B74,(C70-1)*2+1)*RWDI_FACTORS!$D$12*(1+$B$1*INDEX($AI$10:$BJ$14,$B74,(C70-1)*2+2)))</f>
        <v>1.0730763363456282</v>
      </c>
      <c r="D74" s="1016">
        <f ca="1">D$45/(INDEX($AI$10:$BJ$14,$B74,(C70-1)*2+1)*RWDI_FACTORS!$D$12*(1+$B$1*INDEX($AI$10:$BJ$14,$B74,(C70-1)*2+2)))</f>
        <v>1.0284707647334776</v>
      </c>
      <c r="E74" s="1016">
        <f ca="1">E$45/(INDEX($AI$10:$BJ$14,$B74,(C70-1)*2+1)*RWDI_FACTORS!$D$12*(1+$B$1*INDEX($AI$10:$BJ$14,$B74,(C70-1)*2+2)))</f>
        <v>0.9635112380684413</v>
      </c>
      <c r="F74" s="1016">
        <f ca="1">F$45/(INDEX($AI$10:$BJ$14,$B74,(C70-1)*2+1)*RWDI_FACTORS!$D$12*(1+$B$1*INDEX($AI$10:$BJ$14,$B74,(C70-1)*2+2)))</f>
        <v>0.91300003847513811</v>
      </c>
      <c r="G74" s="1016">
        <f ca="1">G$45/(INDEX($AI$10:$BJ$14,$B74,(C70-1)*2+1)*RWDI_FACTORS!$D$12*(1+$B$1*INDEX($AI$10:$BJ$14,$B74,(C70-1)*2+2)))</f>
        <v>0.82930103841297176</v>
      </c>
      <c r="H74" s="1016">
        <f ca="1">H$45/(INDEX($AI$10:$BJ$14,$B74,(C70-1)*2+1)*RWDI_FACTORS!$D$12*(1+$B$1*INDEX($AI$10:$BJ$14,$B74,(C70-1)*2+2)))</f>
        <v>1.0730763363456282</v>
      </c>
      <c r="I74" s="1016">
        <f ca="1">I$45/(INDEX($AI$10:$BJ$14,$B74,(C70-1)*2+1)*RWDI_FACTORS!$D$12*(1+$B$1*INDEX($AI$10:$BJ$14,$B74,(C70-1)*2+2)))</f>
        <v>1.0284707647334776</v>
      </c>
      <c r="J74" s="1016">
        <f ca="1">J$45/(INDEX($AI$10:$BJ$14,$B74,(C70-1)*2+1)*RWDI_FACTORS!$D$12*(1+$B$1*INDEX($AI$10:$BJ$14,$B74,(C70-1)*2+2)))</f>
        <v>0.9635112380684413</v>
      </c>
      <c r="K74" s="1016">
        <f ca="1">K$45/(INDEX($AI$10:$BJ$14,$B74,(C70-1)*2+1)*RWDI_FACTORS!$D$12*(1+$B$1*INDEX($AI$10:$BJ$14,$B74,(C70-1)*2+2)))</f>
        <v>0.91300003847513811</v>
      </c>
      <c r="L74" s="1016">
        <f ca="1">L$45/(INDEX($AI$10:$BJ$14,$B74,(C70-1)*2+1)*RWDI_FACTORS!$D$12*(1+$B$1*INDEX($AI$10:$BJ$14,$B74,(C70-1)*2+2)))</f>
        <v>0.82930103841297176</v>
      </c>
      <c r="M74" s="1016">
        <f ca="1">M$45/(INDEX($AI$10:$BJ$14,$B74,(C70-1)*2+1)*RWDI_FACTORS!$D$12*(1+$B$1*INDEX($AI$10:$BJ$14,$B74,(C70-1)*2+2)))</f>
        <v>1.0730763363456282</v>
      </c>
      <c r="N74" s="1016">
        <f ca="1">N$45/(INDEX($AI$10:$BJ$14,$B74,(C70-1)*2+1)*RWDI_FACTORS!$D$12*(1+$B$1*INDEX($AI$10:$BJ$14,$B74,(C70-1)*2+2)))</f>
        <v>1.0284707647334776</v>
      </c>
      <c r="O74" s="1016">
        <f ca="1">O$45/(INDEX($AI$10:$BJ$14,$B74,(C70-1)*2+1)*RWDI_FACTORS!$D$12*(1+$B$1*INDEX($AI$10:$BJ$14,$B74,(C70-1)*2+2)))</f>
        <v>0.9635112380684413</v>
      </c>
      <c r="P74" s="1016">
        <f ca="1">P$45/(INDEX($AI$10:$BJ$14,$B74,(C70-1)*2+1)*RWDI_FACTORS!$D$12*(1+$B$1*INDEX($AI$10:$BJ$14,$B74,(C70-1)*2+2)))</f>
        <v>0.91300003847513811</v>
      </c>
      <c r="Q74" s="1016">
        <f ca="1">Q$45/(INDEX($AI$10:$BJ$14,$B74,(C70-1)*2+1)*RWDI_FACTORS!$D$12*(1+$B$1*INDEX($AI$10:$BJ$14,$B74,(C70-1)*2+2)))</f>
        <v>0.82930103841297176</v>
      </c>
      <c r="R74" s="1016">
        <f ca="1">R$45/(INDEX($AI$10:$BJ$14,$B74,(C70-1)*2+1)*RWDI_FACTORS!$D$12*(1+$B$1*INDEX($AI$10:$BJ$14,$B74,(C70-1)*2+2)))</f>
        <v>0.86590144246651202</v>
      </c>
      <c r="S74" s="1016">
        <f ca="1">S$45/(INDEX($AI$10:$BJ$14,$B74,(C70-1)*2+1)*RWDI_FACTORS!$D$12*(1+$B$1*INDEX($AI$10:$BJ$14,$B74,(C70-1)*2+2)))</f>
        <v>0.89989358063249303</v>
      </c>
      <c r="T74" s="1016">
        <f ca="1">T$45/(INDEX($AI$10:$BJ$14,$B74,(C70-1)*2+1)*RWDI_FACTORS!$D$12*(1+$B$1*INDEX($AI$10:$BJ$14,$B74,(C70-1)*2+2)))</f>
        <v>0</v>
      </c>
      <c r="U74" s="1016">
        <f ca="1">U$45/(INDEX($AI$10:$BJ$14,$B74,(C70-1)*2+1)*RWDI_FACTORS!$D$12*(1+$B$1*INDEX($AI$10:$BJ$14,$B74,(C70-1)*2+2)))</f>
        <v>0</v>
      </c>
      <c r="V74" s="1016">
        <f ca="1">V$45/(INDEX($AI$10:$BJ$14,$B74,(C70-1)*2+1)*RWDI_FACTORS!$D$12*(1+$B$1*INDEX($AI$10:$BJ$14,$B74,(C70-1)*2+2)))</f>
        <v>0</v>
      </c>
      <c r="W74" s="1016">
        <f ca="1">W$45/(INDEX($AI$10:$BJ$14,$B74,(C70-1)*2+1)*RWDI_FACTORS!$D$12*(1+$B$1*INDEX($AI$10:$BJ$14,$B74,(C70-1)*2+2)))</f>
        <v>0</v>
      </c>
    </row>
    <row r="75" spans="1:23" x14ac:dyDescent="0.2">
      <c r="A75" s="577">
        <f>A65</f>
        <v>120.7</v>
      </c>
      <c r="B75" s="577">
        <v>3</v>
      </c>
      <c r="C75" s="1016">
        <f ca="1">C$46/(INDEX($AI$10:$BJ$14,$B75,(C70-1)*2+1)*RWDI_FACTORS!$D$12*(1+$B$1*INDEX($AI$10:$BJ$14,$B75,(C70-1)*2+2)))</f>
        <v>1.0592960246499565</v>
      </c>
      <c r="D75" s="1016">
        <f ca="1">D$46/(INDEX($AI$10:$BJ$14,$B75,(C70-1)*2+1)*RWDI_FACTORS!$D$12*(1+$B$1*INDEX($AI$10:$BJ$14,$B75,(C70-1)*2+2)))</f>
        <v>1.0199509885665419</v>
      </c>
      <c r="E75" s="1016">
        <f ca="1">E$46/(INDEX($AI$10:$BJ$14,$B75,(C70-1)*2+1)*RWDI_FACTORS!$D$12*(1+$B$1*INDEX($AI$10:$BJ$14,$B75,(C70-1)*2+2)))</f>
        <v>0.96266744308663421</v>
      </c>
      <c r="F75" s="1016">
        <f ca="1">F$46/(INDEX($AI$10:$BJ$14,$B75,(C70-1)*2+1)*RWDI_FACTORS!$D$12*(1+$B$1*INDEX($AI$10:$BJ$14,$B75,(C70-1)*2+2)))</f>
        <v>0.91850651617440404</v>
      </c>
      <c r="G75" s="1016">
        <f ca="1">G$46/(INDEX($AI$10:$BJ$14,$B75,(C70-1)*2+1)*RWDI_FACTORS!$D$12*(1+$B$1*INDEX($AI$10:$BJ$14,$B75,(C70-1)*2+2)))</f>
        <v>0.84872022147507231</v>
      </c>
      <c r="H75" s="1016">
        <f ca="1">H$46/(INDEX($AI$10:$BJ$14,$B75,(C70-1)*2+1)*RWDI_FACTORS!$D$12*(1+$B$1*INDEX($AI$10:$BJ$14,$B75,(C70-1)*2+2)))</f>
        <v>1.0592960246499565</v>
      </c>
      <c r="I75" s="1016">
        <f ca="1">I$46/(INDEX($AI$10:$BJ$14,$B75,(C70-1)*2+1)*RWDI_FACTORS!$D$12*(1+$B$1*INDEX($AI$10:$BJ$14,$B75,(C70-1)*2+2)))</f>
        <v>1.0199509885665419</v>
      </c>
      <c r="J75" s="1016">
        <f ca="1">J$46/(INDEX($AI$10:$BJ$14,$B75,(C70-1)*2+1)*RWDI_FACTORS!$D$12*(1+$B$1*INDEX($AI$10:$BJ$14,$B75,(C70-1)*2+2)))</f>
        <v>0.96266744308663421</v>
      </c>
      <c r="K75" s="1016">
        <f ca="1">K$46/(INDEX($AI$10:$BJ$14,$B75,(C70-1)*2+1)*RWDI_FACTORS!$D$12*(1+$B$1*INDEX($AI$10:$BJ$14,$B75,(C70-1)*2+2)))</f>
        <v>0.91850651617440404</v>
      </c>
      <c r="L75" s="1016">
        <f ca="1">L$46/(INDEX($AI$10:$BJ$14,$B75,(C70-1)*2+1)*RWDI_FACTORS!$D$12*(1+$B$1*INDEX($AI$10:$BJ$14,$B75,(C70-1)*2+2)))</f>
        <v>0.84872022147507231</v>
      </c>
      <c r="M75" s="1016">
        <f ca="1">M$46/(INDEX($AI$10:$BJ$14,$B75,(C70-1)*2+1)*RWDI_FACTORS!$D$12*(1+$B$1*INDEX($AI$10:$BJ$14,$B75,(C70-1)*2+2)))</f>
        <v>1.0592960246499565</v>
      </c>
      <c r="N75" s="1016">
        <f ca="1">N$46/(INDEX($AI$10:$BJ$14,$B75,(C70-1)*2+1)*RWDI_FACTORS!$D$12*(1+$B$1*INDEX($AI$10:$BJ$14,$B75,(C70-1)*2+2)))</f>
        <v>1.0199509885665419</v>
      </c>
      <c r="O75" s="1016">
        <f ca="1">O$46/(INDEX($AI$10:$BJ$14,$B75,(C70-1)*2+1)*RWDI_FACTORS!$D$12*(1+$B$1*INDEX($AI$10:$BJ$14,$B75,(C70-1)*2+2)))</f>
        <v>0.96266744308663421</v>
      </c>
      <c r="P75" s="1016">
        <f ca="1">P$46/(INDEX($AI$10:$BJ$14,$B75,(C70-1)*2+1)*RWDI_FACTORS!$D$12*(1+$B$1*INDEX($AI$10:$BJ$14,$B75,(C70-1)*2+2)))</f>
        <v>0.91850651617440404</v>
      </c>
      <c r="Q75" s="1016">
        <f ca="1">Q$46/(INDEX($AI$10:$BJ$14,$B75,(C70-1)*2+1)*RWDI_FACTORS!$D$12*(1+$B$1*INDEX($AI$10:$BJ$14,$B75,(C70-1)*2+2)))</f>
        <v>0.84872022147507231</v>
      </c>
      <c r="R75" s="1016">
        <f ca="1">R$46/(INDEX($AI$10:$BJ$14,$B75,(C70-1)*2+1)*RWDI_FACTORS!$D$12*(1+$B$1*INDEX($AI$10:$BJ$14,$B75,(C70-1)*2+2)))</f>
        <v>0.88056385253083613</v>
      </c>
      <c r="S75" s="1016">
        <f ca="1">S$46/(INDEX($AI$10:$BJ$14,$B75,(C70-1)*2+1)*RWDI_FACTORS!$D$12*(1+$B$1*INDEX($AI$10:$BJ$14,$B75,(C70-1)*2+2)))</f>
        <v>0.90644009703563966</v>
      </c>
      <c r="T75" s="1016">
        <f ca="1">T$46/(INDEX($AI$10:$BJ$14,$B75,(C70-1)*2+1)*RWDI_FACTORS!$D$12*(1+$B$1*INDEX($AI$10:$BJ$14,$B75,(C70-1)*2+2)))</f>
        <v>0</v>
      </c>
      <c r="U75" s="1016">
        <f ca="1">U$46/(INDEX($AI$10:$BJ$14,$B75,(C70-1)*2+1)*RWDI_FACTORS!$D$12*(1+$B$1*INDEX($AI$10:$BJ$14,$B75,(C70-1)*2+2)))</f>
        <v>0</v>
      </c>
      <c r="V75" s="1016">
        <f ca="1">V$46/(INDEX($AI$10:$BJ$14,$B75,(C70-1)*2+1)*RWDI_FACTORS!$D$12*(1+$B$1*INDEX($AI$10:$BJ$14,$B75,(C70-1)*2+2)))</f>
        <v>0</v>
      </c>
      <c r="W75" s="1016">
        <f ca="1">W$46/(INDEX($AI$10:$BJ$14,$B75,(C70-1)*2+1)*RWDI_FACTORS!$D$12*(1+$B$1*INDEX($AI$10:$BJ$14,$B75,(C70-1)*2+2)))</f>
        <v>0</v>
      </c>
    </row>
    <row r="76" spans="1:23" x14ac:dyDescent="0.2">
      <c r="A76" s="577">
        <f>A66</f>
        <v>144.80000000000001</v>
      </c>
      <c r="B76" s="577">
        <v>4</v>
      </c>
      <c r="C76" s="1016">
        <f ca="1">C$47/(INDEX($AI$10:$BJ$14,$B76,(C70-1)*2+1)*RWDI_FACTORS!$D$12*(1+$B$1*INDEX($AI$10:$BJ$14,$B76,(C70-1)*2+2)))</f>
        <v>1.0604179956161219</v>
      </c>
      <c r="D76" s="1016">
        <f ca="1">D$47/(INDEX($AI$10:$BJ$14,$B76,(C70-1)*2+1)*RWDI_FACTORS!$D$12*(1+$B$1*INDEX($AI$10:$BJ$14,$B76,(C70-1)*2+2)))</f>
        <v>1.0238160930903379</v>
      </c>
      <c r="E76" s="1016">
        <f ca="1">E$47/(INDEX($AI$10:$BJ$14,$B76,(C70-1)*2+1)*RWDI_FACTORS!$D$12*(1+$B$1*INDEX($AI$10:$BJ$14,$B76,(C70-1)*2+2)))</f>
        <v>0.97060932366712793</v>
      </c>
      <c r="F76" s="1016">
        <f ca="1">F$47/(INDEX($AI$10:$BJ$14,$B76,(C70-1)*2+1)*RWDI_FACTORS!$D$12*(1+$B$1*INDEX($AI$10:$BJ$14,$B76,(C70-1)*2+2)))</f>
        <v>0.93026450251351411</v>
      </c>
      <c r="G76" s="1016">
        <f ca="1">G$47/(INDEX($AI$10:$BJ$14,$B76,(C70-1)*2+1)*RWDI_FACTORS!$D$12*(1+$B$1*INDEX($AI$10:$BJ$14,$B76,(C70-1)*2+2)))</f>
        <v>0.86798803002012515</v>
      </c>
      <c r="H76" s="1016">
        <f ca="1">H$47/(INDEX($AI$10:$BJ$14,$B76,(C70-1)*2+1)*RWDI_FACTORS!$D$12*(1+$B$1*INDEX($AI$10:$BJ$14,$B76,(C70-1)*2+2)))</f>
        <v>1.0604179956161219</v>
      </c>
      <c r="I76" s="1016">
        <f ca="1">I$47/(INDEX($AI$10:$BJ$14,$B76,(C70-1)*2+1)*RWDI_FACTORS!$D$12*(1+$B$1*INDEX($AI$10:$BJ$14,$B76,(C70-1)*2+2)))</f>
        <v>1.0238160930903379</v>
      </c>
      <c r="J76" s="1016">
        <f ca="1">J$47/(INDEX($AI$10:$BJ$14,$B76,(C70-1)*2+1)*RWDI_FACTORS!$D$12*(1+$B$1*INDEX($AI$10:$BJ$14,$B76,(C70-1)*2+2)))</f>
        <v>0.97060932366712793</v>
      </c>
      <c r="K76" s="1016">
        <f ca="1">K$47/(INDEX($AI$10:$BJ$14,$B76,(C70-1)*2+1)*RWDI_FACTORS!$D$12*(1+$B$1*INDEX($AI$10:$BJ$14,$B76,(C70-1)*2+2)))</f>
        <v>0.93026450251351411</v>
      </c>
      <c r="L76" s="1016">
        <f ca="1">L$47/(INDEX($AI$10:$BJ$14,$B76,(C70-1)*2+1)*RWDI_FACTORS!$D$12*(1+$B$1*INDEX($AI$10:$BJ$14,$B76,(C70-1)*2+2)))</f>
        <v>0.86798803002012515</v>
      </c>
      <c r="M76" s="1016">
        <f ca="1">M$47/(INDEX($AI$10:$BJ$14,$B76,(C70-1)*2+1)*RWDI_FACTORS!$D$12*(1+$B$1*INDEX($AI$10:$BJ$14,$B76,(C70-1)*2+2)))</f>
        <v>1.0604179956161219</v>
      </c>
      <c r="N76" s="1016">
        <f ca="1">N$47/(INDEX($AI$10:$BJ$14,$B76,(C70-1)*2+1)*RWDI_FACTORS!$D$12*(1+$B$1*INDEX($AI$10:$BJ$14,$B76,(C70-1)*2+2)))</f>
        <v>1.0238160930903379</v>
      </c>
      <c r="O76" s="1016">
        <f ca="1">O$47/(INDEX($AI$10:$BJ$14,$B76,(C70-1)*2+1)*RWDI_FACTORS!$D$12*(1+$B$1*INDEX($AI$10:$BJ$14,$B76,(C70-1)*2+2)))</f>
        <v>0.97060932366712793</v>
      </c>
      <c r="P76" s="1016">
        <f ca="1">P$47/(INDEX($AI$10:$BJ$14,$B76,(C70-1)*2+1)*RWDI_FACTORS!$D$12*(1+$B$1*INDEX($AI$10:$BJ$14,$B76,(C70-1)*2+2)))</f>
        <v>0.93026450251351411</v>
      </c>
      <c r="Q76" s="1016">
        <f ca="1">Q$47/(INDEX($AI$10:$BJ$14,$B76,(C70-1)*2+1)*RWDI_FACTORS!$D$12*(1+$B$1*INDEX($AI$10:$BJ$14,$B76,(C70-1)*2+2)))</f>
        <v>0.86798803002012515</v>
      </c>
      <c r="R76" s="1016">
        <f ca="1">R$47/(INDEX($AI$10:$BJ$14,$B76,(C70-1)*2+1)*RWDI_FACTORS!$D$12*(1+$B$1*INDEX($AI$10:$BJ$14,$B76,(C70-1)*2+2)))</f>
        <v>0.89681073598435268</v>
      </c>
      <c r="S76" s="1016">
        <f ca="1">S$47/(INDEX($AI$10:$BJ$14,$B76,(C70-1)*2+1)*RWDI_FACTORS!$D$12*(1+$B$1*INDEX($AI$10:$BJ$14,$B76,(C70-1)*2+2)))</f>
        <v>0.91908810055729839</v>
      </c>
      <c r="T76" s="1016">
        <f ca="1">T$47/(INDEX($AI$10:$BJ$14,$B76,(C70-1)*2+1)*RWDI_FACTORS!$D$12*(1+$B$1*INDEX($AI$10:$BJ$14,$B76,(C70-1)*2+2)))</f>
        <v>0</v>
      </c>
      <c r="U76" s="1016">
        <f ca="1">U$47/(INDEX($AI$10:$BJ$14,$B76,(C70-1)*2+1)*RWDI_FACTORS!$D$12*(1+$B$1*INDEX($AI$10:$BJ$14,$B76,(C70-1)*2+2)))</f>
        <v>0</v>
      </c>
      <c r="V76" s="1016">
        <f ca="1">V$47/(INDEX($AI$10:$BJ$14,$B76,(C70-1)*2+1)*RWDI_FACTORS!$D$12*(1+$B$1*INDEX($AI$10:$BJ$14,$B76,(C70-1)*2+2)))</f>
        <v>0</v>
      </c>
      <c r="W76" s="1016">
        <f ca="1">W$47/(INDEX($AI$10:$BJ$14,$B76,(C70-1)*2+1)*RWDI_FACTORS!$D$12*(1+$B$1*INDEX($AI$10:$BJ$14,$B76,(C70-1)*2+2)))</f>
        <v>0</v>
      </c>
    </row>
    <row r="77" spans="1:23" x14ac:dyDescent="0.2">
      <c r="A77" s="577">
        <f>A67</f>
        <v>181</v>
      </c>
      <c r="B77" s="577">
        <v>5</v>
      </c>
      <c r="C77" s="1016">
        <f ca="1">C$48/(INDEX($AI$10:$BJ$14,$B77,(C70-1)*2+1)*RWDI_FACTORS!$D$12*(1+$B$1*INDEX($AI$10:$BJ$14,$B77,(C70-1)*2+2)))</f>
        <v>1.0476749010971236</v>
      </c>
      <c r="D77" s="1016">
        <f ca="1">D$48/(INDEX($AI$10:$BJ$14,$B77,(C70-1)*2+1)*RWDI_FACTORS!$D$12*(1+$B$1*INDEX($AI$10:$BJ$14,$B77,(C70-1)*2+2)))</f>
        <v>1.0146553101862372</v>
      </c>
      <c r="E77" s="1016">
        <f ca="1">E$48/(INDEX($AI$10:$BJ$14,$B77,(C70-1)*2+1)*RWDI_FACTORS!$D$12*(1+$B$1*INDEX($AI$10:$BJ$14,$B77,(C70-1)*2+2)))</f>
        <v>0.96684303189999476</v>
      </c>
      <c r="F77" s="1016">
        <f ca="1">F$48/(INDEX($AI$10:$BJ$14,$B77,(C70-1)*2+1)*RWDI_FACTORS!$D$12*(1+$B$1*INDEX($AI$10:$BJ$14,$B77,(C70-1)*2+2)))</f>
        <v>0.93156212178506237</v>
      </c>
      <c r="G77" s="1016">
        <f ca="1">G$48/(INDEX($AI$10:$BJ$14,$B77,(C70-1)*2+1)*RWDI_FACTORS!$D$12*(1+$B$1*INDEX($AI$10:$BJ$14,$B77,(C70-1)*2+2)))</f>
        <v>0.878973911356978</v>
      </c>
      <c r="H77" s="1016">
        <f ca="1">H$48/(INDEX($AI$10:$BJ$14,$B77,(C70-1)*2+1)*RWDI_FACTORS!$D$12*(1+$B$1*INDEX($AI$10:$BJ$14,$B77,(C70-1)*2+2)))</f>
        <v>1.0476749010971236</v>
      </c>
      <c r="I77" s="1016">
        <f ca="1">I$48/(INDEX($AI$10:$BJ$14,$B77,(C70-1)*2+1)*RWDI_FACTORS!$D$12*(1+$B$1*INDEX($AI$10:$BJ$14,$B77,(C70-1)*2+2)))</f>
        <v>1.0146553101862372</v>
      </c>
      <c r="J77" s="1016">
        <f ca="1">J$48/(INDEX($AI$10:$BJ$14,$B77,(C70-1)*2+1)*RWDI_FACTORS!$D$12*(1+$B$1*INDEX($AI$10:$BJ$14,$B77,(C70-1)*2+2)))</f>
        <v>0.96684303189999476</v>
      </c>
      <c r="K77" s="1016">
        <f ca="1">K$48/(INDEX($AI$10:$BJ$14,$B77,(C70-1)*2+1)*RWDI_FACTORS!$D$12*(1+$B$1*INDEX($AI$10:$BJ$14,$B77,(C70-1)*2+2)))</f>
        <v>0.93156212178506237</v>
      </c>
      <c r="L77" s="1016">
        <f ca="1">L$48/(INDEX($AI$10:$BJ$14,$B77,(C70-1)*2+1)*RWDI_FACTORS!$D$12*(1+$B$1*INDEX($AI$10:$BJ$14,$B77,(C70-1)*2+2)))</f>
        <v>0.878973911356978</v>
      </c>
      <c r="M77" s="1016">
        <f ca="1">M$48/(INDEX($AI$10:$BJ$14,$B77,(C70-1)*2+1)*RWDI_FACTORS!$D$12*(1+$B$1*INDEX($AI$10:$BJ$14,$B77,(C70-1)*2+2)))</f>
        <v>1.0476749010971236</v>
      </c>
      <c r="N77" s="1016">
        <f ca="1">N$48/(INDEX($AI$10:$BJ$14,$B77,(C70-1)*2+1)*RWDI_FACTORS!$D$12*(1+$B$1*INDEX($AI$10:$BJ$14,$B77,(C70-1)*2+2)))</f>
        <v>1.0146553101862372</v>
      </c>
      <c r="O77" s="1016">
        <f ca="1">O$48/(INDEX($AI$10:$BJ$14,$B77,(C70-1)*2+1)*RWDI_FACTORS!$D$12*(1+$B$1*INDEX($AI$10:$BJ$14,$B77,(C70-1)*2+2)))</f>
        <v>0.96684303189999476</v>
      </c>
      <c r="P77" s="1016">
        <f ca="1">P$48/(INDEX($AI$10:$BJ$14,$B77,(C70-1)*2+1)*RWDI_FACTORS!$D$12*(1+$B$1*INDEX($AI$10:$BJ$14,$B77,(C70-1)*2+2)))</f>
        <v>0.93156212178506237</v>
      </c>
      <c r="Q77" s="1016">
        <f ca="1">Q$48/(INDEX($AI$10:$BJ$14,$B77,(C70-1)*2+1)*RWDI_FACTORS!$D$12*(1+$B$1*INDEX($AI$10:$BJ$14,$B77,(C70-1)*2+2)))</f>
        <v>0.878973911356978</v>
      </c>
      <c r="R77" s="1016">
        <f ca="1">R$48/(INDEX($AI$10:$BJ$14,$B77,(C70-1)*2+1)*RWDI_FACTORS!$D$12*(1+$B$1*INDEX($AI$10:$BJ$14,$B77,(C70-1)*2+2)))</f>
        <v>0.90304103528828983</v>
      </c>
      <c r="S77" s="1016">
        <f ca="1">S$48/(INDEX($AI$10:$BJ$14,$B77,(C70-1)*2+1)*RWDI_FACTORS!$D$12*(1+$B$1*INDEX($AI$10:$BJ$14,$B77,(C70-1)*2+2)))</f>
        <v>0.92185820497838522</v>
      </c>
      <c r="T77" s="1016">
        <f ca="1">T$48/(INDEX($AI$10:$BJ$14,$B77,(C70-1)*2+1)*RWDI_FACTORS!$D$12*(1+$B$1*INDEX($AI$10:$BJ$14,$B77,(C70-1)*2+2)))</f>
        <v>0</v>
      </c>
      <c r="U77" s="1016">
        <f ca="1">U$48/(INDEX($AI$10:$BJ$14,$B77,(C70-1)*2+1)*RWDI_FACTORS!$D$12*(1+$B$1*INDEX($AI$10:$BJ$14,$B77,(C70-1)*2+2)))</f>
        <v>0</v>
      </c>
      <c r="V77" s="1016">
        <f ca="1">V$48/(INDEX($AI$10:$BJ$14,$B77,(C70-1)*2+1)*RWDI_FACTORS!$D$12*(1+$B$1*INDEX($AI$10:$BJ$14,$B77,(C70-1)*2+2)))</f>
        <v>0</v>
      </c>
      <c r="W77" s="1016">
        <f ca="1">W$48/(INDEX($AI$10:$BJ$14,$B77,(C70-1)*2+1)*RWDI_FACTORS!$D$12*(1+$B$1*INDEX($AI$10:$BJ$14,$B77,(C70-1)*2+2)))</f>
        <v>0</v>
      </c>
    </row>
    <row r="78" spans="1:23" x14ac:dyDescent="0.2">
      <c r="B78" s="1019" t="s">
        <v>609</v>
      </c>
      <c r="C78" s="1011">
        <f t="shared" ref="C78:W78" ca="1" si="13">AVERAGE(C73:C77)</f>
        <v>1.0699651998453039</v>
      </c>
      <c r="D78" s="1011">
        <f t="shared" ca="1" si="13"/>
        <v>1.0281485143752143</v>
      </c>
      <c r="E78" s="1011">
        <f t="shared" ca="1" si="13"/>
        <v>0.96737678537941196</v>
      </c>
      <c r="F78" s="1011">
        <f t="shared" ca="1" si="13"/>
        <v>0.92055834919123858</v>
      </c>
      <c r="G78" s="1011">
        <f t="shared" ca="1" si="13"/>
        <v>0.84266090270285066</v>
      </c>
      <c r="H78" s="1011">
        <f t="shared" ca="1" si="13"/>
        <v>1.0699651998453039</v>
      </c>
      <c r="I78" s="1011">
        <f t="shared" ca="1" si="13"/>
        <v>1.0281485143752143</v>
      </c>
      <c r="J78" s="1011">
        <f t="shared" ca="1" si="13"/>
        <v>0.96737678537941196</v>
      </c>
      <c r="K78" s="1011">
        <f t="shared" ca="1" si="13"/>
        <v>0.92055834919123858</v>
      </c>
      <c r="L78" s="1011">
        <f t="shared" ca="1" si="13"/>
        <v>0.84266090270285066</v>
      </c>
      <c r="M78" s="1011">
        <f t="shared" ca="1" si="13"/>
        <v>1.0699651998453039</v>
      </c>
      <c r="N78" s="1011">
        <f t="shared" ca="1" si="13"/>
        <v>1.0281485143752143</v>
      </c>
      <c r="O78" s="1011">
        <f t="shared" ca="1" si="13"/>
        <v>0.96737678537941196</v>
      </c>
      <c r="P78" s="1011">
        <f t="shared" ca="1" si="13"/>
        <v>0.92055834919123858</v>
      </c>
      <c r="Q78" s="1011">
        <f t="shared" ca="1" si="13"/>
        <v>0.84266090270285066</v>
      </c>
      <c r="R78" s="1011">
        <f t="shared" ca="1" si="13"/>
        <v>0.87766905230235603</v>
      </c>
      <c r="S78" s="1011">
        <f t="shared" ca="1" si="13"/>
        <v>0.90751401169254176</v>
      </c>
      <c r="T78" s="1011">
        <f t="shared" ca="1" si="13"/>
        <v>0</v>
      </c>
      <c r="U78" s="1011">
        <f t="shared" ca="1" si="13"/>
        <v>0</v>
      </c>
      <c r="V78" s="1011">
        <f t="shared" ca="1" si="13"/>
        <v>0</v>
      </c>
      <c r="W78" s="1011">
        <f t="shared" ca="1" si="13"/>
        <v>0</v>
      </c>
    </row>
    <row r="79" spans="1:23" x14ac:dyDescent="0.2">
      <c r="B79" s="1019" t="s">
        <v>610</v>
      </c>
      <c r="C79" s="1011">
        <f t="shared" ref="C79:W79" ca="1" si="14">STDEV(C73:C77)/C78*100</f>
        <v>2.2232743963308939</v>
      </c>
      <c r="D79" s="1011">
        <f t="shared" ca="1" si="14"/>
        <v>1.4819933910971794</v>
      </c>
      <c r="E79" s="1011">
        <f t="shared" ca="1" si="14"/>
        <v>0.46913040317026278</v>
      </c>
      <c r="F79" s="1011">
        <f t="shared" ca="1" si="14"/>
        <v>1.0860740815030123</v>
      </c>
      <c r="G79" s="1011">
        <f t="shared" ca="1" si="14"/>
        <v>4.2490808588087772</v>
      </c>
      <c r="H79" s="1011">
        <f t="shared" ca="1" si="14"/>
        <v>2.2232743963308939</v>
      </c>
      <c r="I79" s="1011">
        <f t="shared" ca="1" si="14"/>
        <v>1.4819933910971794</v>
      </c>
      <c r="J79" s="1011">
        <f t="shared" ca="1" si="14"/>
        <v>0.46913040317026278</v>
      </c>
      <c r="K79" s="1011">
        <f t="shared" ca="1" si="14"/>
        <v>1.0860740815030123</v>
      </c>
      <c r="L79" s="1011">
        <f t="shared" ca="1" si="14"/>
        <v>4.2490808588087772</v>
      </c>
      <c r="M79" s="1011">
        <f t="shared" ca="1" si="14"/>
        <v>2.2232743963308939</v>
      </c>
      <c r="N79" s="1011">
        <f t="shared" ca="1" si="14"/>
        <v>1.4819933910971794</v>
      </c>
      <c r="O79" s="1011">
        <f t="shared" ca="1" si="14"/>
        <v>0.46913040317026278</v>
      </c>
      <c r="P79" s="1011">
        <f t="shared" ca="1" si="14"/>
        <v>1.0860740815030123</v>
      </c>
      <c r="Q79" s="1011">
        <f t="shared" ca="1" si="14"/>
        <v>4.2490808588087772</v>
      </c>
      <c r="R79" s="1011">
        <f t="shared" ca="1" si="14"/>
        <v>2.8067139560688013</v>
      </c>
      <c r="S79" s="1011">
        <f t="shared" ca="1" si="14"/>
        <v>1.4531070011788743</v>
      </c>
      <c r="T79" s="1011" t="e">
        <f t="shared" ca="1" si="14"/>
        <v>#DIV/0!</v>
      </c>
      <c r="U79" s="1011" t="e">
        <f t="shared" ca="1" si="14"/>
        <v>#DIV/0!</v>
      </c>
      <c r="V79" s="1011" t="e">
        <f t="shared" ca="1" si="14"/>
        <v>#DIV/0!</v>
      </c>
      <c r="W79" s="1011" t="e">
        <f t="shared" ca="1" si="14"/>
        <v>#DIV/0!</v>
      </c>
    </row>
    <row r="80" spans="1:23" x14ac:dyDescent="0.2">
      <c r="A80" s="1017" t="s">
        <v>611</v>
      </c>
      <c r="B80" s="1018"/>
      <c r="C80" s="577">
        <v>4</v>
      </c>
    </row>
    <row r="82" spans="1:23" x14ac:dyDescent="0.2">
      <c r="C82" s="577" t="s">
        <v>203</v>
      </c>
      <c r="D82" s="577" t="s">
        <v>204</v>
      </c>
      <c r="E82" s="577" t="s">
        <v>205</v>
      </c>
      <c r="F82" s="577" t="s">
        <v>206</v>
      </c>
      <c r="G82" s="577" t="s">
        <v>207</v>
      </c>
      <c r="H82" s="577" t="s">
        <v>266</v>
      </c>
      <c r="I82" s="577" t="s">
        <v>267</v>
      </c>
      <c r="J82" s="577" t="s">
        <v>268</v>
      </c>
      <c r="K82" s="577" t="s">
        <v>269</v>
      </c>
      <c r="L82" s="577" t="s">
        <v>270</v>
      </c>
      <c r="M82" s="577" t="s">
        <v>271</v>
      </c>
      <c r="N82" s="577" t="s">
        <v>272</v>
      </c>
      <c r="O82" s="577" t="s">
        <v>273</v>
      </c>
      <c r="P82" s="577" t="s">
        <v>274</v>
      </c>
      <c r="Q82" s="577" t="s">
        <v>275</v>
      </c>
      <c r="R82" s="577" t="s">
        <v>276</v>
      </c>
      <c r="S82" s="577" t="s">
        <v>277</v>
      </c>
      <c r="T82" s="577" t="s">
        <v>278</v>
      </c>
      <c r="U82" s="577" t="s">
        <v>279</v>
      </c>
      <c r="V82" s="577" t="s">
        <v>280</v>
      </c>
      <c r="W82" s="577" t="s">
        <v>297</v>
      </c>
    </row>
    <row r="83" spans="1:23" x14ac:dyDescent="0.2">
      <c r="A83" s="577">
        <f>A73</f>
        <v>54.3</v>
      </c>
      <c r="B83" s="577">
        <v>1</v>
      </c>
      <c r="C83" s="1016">
        <f ca="1">C$44/(INDEX($AI$10:$BJ$14,$B83,(C80-1)*2+1)*RWDI_FACTORS!$D$12*(1+$B$1*INDEX($AI$10:$BJ$14,$B83,(C80-1)*2+2)))</f>
        <v>1.1866402936652864</v>
      </c>
      <c r="D83" s="1016">
        <f ca="1">D$44/(INDEX($AI$10:$BJ$14,$B83,(C80-1)*2+1)*RWDI_FACTORS!$D$12*(1+$B$1*INDEX($AI$10:$BJ$14,$B83,(C80-1)*2+2)))</f>
        <v>1.1272619742601744</v>
      </c>
      <c r="E83" s="1016">
        <f ca="1">E$44/(INDEX($AI$10:$BJ$14,$B83,(C80-1)*2+1)*RWDI_FACTORS!$D$12*(1+$B$1*INDEX($AI$10:$BJ$14,$B83,(C80-1)*2+2)))</f>
        <v>1.0410509874612064</v>
      </c>
      <c r="F83" s="1016">
        <f ca="1">F$44/(INDEX($AI$10:$BJ$14,$B83,(C80-1)*2+1)*RWDI_FACTORS!$D$12*(1+$B$1*INDEX($AI$10:$BJ$14,$B83,(C80-1)*2+2)))</f>
        <v>0.97281266646811804</v>
      </c>
      <c r="G83" s="1016">
        <f ca="1">G$44/(INDEX($AI$10:$BJ$14,$B83,(C80-1)*2+1)*RWDI_FACTORS!$D$12*(1+$B$1*INDEX($AI$10:$BJ$14,$B83,(C80-1)*2+2)))</f>
        <v>0.843236828617274</v>
      </c>
      <c r="H83" s="1016">
        <f ca="1">H$44/(INDEX($AI$10:$BJ$14,$B83,(C80-1)*2+1)*RWDI_FACTORS!$D$12*(1+$B$1*INDEX($AI$10:$BJ$14,$B83,(C80-1)*2+2)))</f>
        <v>1.1866402936652864</v>
      </c>
      <c r="I83" s="1016">
        <f ca="1">I$44/(INDEX($AI$10:$BJ$14,$B83,(C80-1)*2+1)*RWDI_FACTORS!$D$12*(1+$B$1*INDEX($AI$10:$BJ$14,$B83,(C80-1)*2+2)))</f>
        <v>1.1272619742601744</v>
      </c>
      <c r="J83" s="1016">
        <f ca="1">J$44/(INDEX($AI$10:$BJ$14,$B83,(C80-1)*2+1)*RWDI_FACTORS!$D$12*(1+$B$1*INDEX($AI$10:$BJ$14,$B83,(C80-1)*2+2)))</f>
        <v>1.0410509874612064</v>
      </c>
      <c r="K83" s="1016">
        <f ca="1">K$44/(INDEX($AI$10:$BJ$14,$B83,(C80-1)*2+1)*RWDI_FACTORS!$D$12*(1+$B$1*INDEX($AI$10:$BJ$14,$B83,(C80-1)*2+2)))</f>
        <v>0.97281266646811804</v>
      </c>
      <c r="L83" s="1016">
        <f ca="1">L$44/(INDEX($AI$10:$BJ$14,$B83,(C80-1)*2+1)*RWDI_FACTORS!$D$12*(1+$B$1*INDEX($AI$10:$BJ$14,$B83,(C80-1)*2+2)))</f>
        <v>0.843236828617274</v>
      </c>
      <c r="M83" s="1016">
        <f ca="1">M$44/(INDEX($AI$10:$BJ$14,$B83,(C80-1)*2+1)*RWDI_FACTORS!$D$12*(1+$B$1*INDEX($AI$10:$BJ$14,$B83,(C80-1)*2+2)))</f>
        <v>1.1866402936652864</v>
      </c>
      <c r="N83" s="1016">
        <f ca="1">N$44/(INDEX($AI$10:$BJ$14,$B83,(C80-1)*2+1)*RWDI_FACTORS!$D$12*(1+$B$1*INDEX($AI$10:$BJ$14,$B83,(C80-1)*2+2)))</f>
        <v>1.1272619742601744</v>
      </c>
      <c r="O83" s="1016">
        <f ca="1">O$44/(INDEX($AI$10:$BJ$14,$B83,(C80-1)*2+1)*RWDI_FACTORS!$D$12*(1+$B$1*INDEX($AI$10:$BJ$14,$B83,(C80-1)*2+2)))</f>
        <v>1.0410509874612064</v>
      </c>
      <c r="P83" s="1016">
        <f ca="1">P$44/(INDEX($AI$10:$BJ$14,$B83,(C80-1)*2+1)*RWDI_FACTORS!$D$12*(1+$B$1*INDEX($AI$10:$BJ$14,$B83,(C80-1)*2+2)))</f>
        <v>0.97281266646811804</v>
      </c>
      <c r="Q83" s="1016">
        <f ca="1">Q$44/(INDEX($AI$10:$BJ$14,$B83,(C80-1)*2+1)*RWDI_FACTORS!$D$12*(1+$B$1*INDEX($AI$10:$BJ$14,$B83,(C80-1)*2+2)))</f>
        <v>0.843236828617274</v>
      </c>
      <c r="R83" s="1016">
        <f ca="1">R$44/(INDEX($AI$10:$BJ$14,$B83,(C80-1)*2+1)*RWDI_FACTORS!$D$12*(1+$B$1*INDEX($AI$10:$BJ$14,$B83,(C80-1)*2+2)))</f>
        <v>0.90068500486974967</v>
      </c>
      <c r="S83" s="1016">
        <f ca="1">S$44/(INDEX($AI$10:$BJ$14,$B83,(C80-1)*2+1)*RWDI_FACTORS!$D$12*(1+$B$1*INDEX($AI$10:$BJ$14,$B83,(C80-1)*2+2)))</f>
        <v>0.95230887196097591</v>
      </c>
      <c r="T83" s="1016">
        <f ca="1">T$44/(INDEX($AI$10:$BJ$14,$B83,(C80-1)*2+1)*RWDI_FACTORS!$D$12*(1+$B$1*INDEX($AI$10:$BJ$14,$B83,(C80-1)*2+2)))</f>
        <v>0</v>
      </c>
      <c r="U83" s="1016">
        <f ca="1">U$44/(INDEX($AI$10:$BJ$14,$B83,(C80-1)*2+1)*RWDI_FACTORS!$D$12*(1+$B$1*INDEX($AI$10:$BJ$14,$B83,(C80-1)*2+2)))</f>
        <v>0</v>
      </c>
      <c r="V83" s="1016">
        <f ca="1">V$44/(INDEX($AI$10:$BJ$14,$B83,(C80-1)*2+1)*RWDI_FACTORS!$D$12*(1+$B$1*INDEX($AI$10:$BJ$14,$B83,(C80-1)*2+2)))</f>
        <v>0</v>
      </c>
      <c r="W83" s="1016">
        <f ca="1">W$44/(INDEX($AI$10:$BJ$14,$B83,(C80-1)*2+1)*RWDI_FACTORS!$D$12*(1+$B$1*INDEX($AI$10:$BJ$14,$B83,(C80-1)*2+2)))</f>
        <v>0</v>
      </c>
    </row>
    <row r="84" spans="1:23" x14ac:dyDescent="0.2">
      <c r="A84" s="577">
        <f>A74</f>
        <v>90.5</v>
      </c>
      <c r="B84" s="577">
        <v>2</v>
      </c>
      <c r="C84" s="1016">
        <f ca="1">C$45/(INDEX($AI$10:$BJ$14,$B84,(C80-1)*2+1)*RWDI_FACTORS!$D$12*(1+$B$1*INDEX($AI$10:$BJ$14,$B84,(C80-1)*2+2)))</f>
        <v>1.1321300089964115</v>
      </c>
      <c r="D84" s="1016">
        <f ca="1">D$45/(INDEX($AI$10:$BJ$14,$B84,(C80-1)*2+1)*RWDI_FACTORS!$D$12*(1+$B$1*INDEX($AI$10:$BJ$14,$B84,(C80-1)*2+2)))</f>
        <v>1.0850696979261574</v>
      </c>
      <c r="E84" s="1016">
        <f ca="1">E$45/(INDEX($AI$10:$BJ$14,$B84,(C80-1)*2+1)*RWDI_FACTORS!$D$12*(1+$B$1*INDEX($AI$10:$BJ$14,$B84,(C80-1)*2+2)))</f>
        <v>1.0165353103744381</v>
      </c>
      <c r="F84" s="1016">
        <f ca="1">F$45/(INDEX($AI$10:$BJ$14,$B84,(C80-1)*2+1)*RWDI_FACTORS!$D$12*(1+$B$1*INDEX($AI$10:$BJ$14,$B84,(C80-1)*2+2)))</f>
        <v>0.96324437205710389</v>
      </c>
      <c r="G84" s="1016">
        <f ca="1">G$45/(INDEX($AI$10:$BJ$14,$B84,(C80-1)*2+1)*RWDI_FACTORS!$D$12*(1+$B$1*INDEX($AI$10:$BJ$14,$B84,(C80-1)*2+2)))</f>
        <v>0.87493923803833429</v>
      </c>
      <c r="H84" s="1016">
        <f ca="1">H$45/(INDEX($AI$10:$BJ$14,$B84,(C80-1)*2+1)*RWDI_FACTORS!$D$12*(1+$B$1*INDEX($AI$10:$BJ$14,$B84,(C80-1)*2+2)))</f>
        <v>1.1321300089964115</v>
      </c>
      <c r="I84" s="1016">
        <f ca="1">I$45/(INDEX($AI$10:$BJ$14,$B84,(C80-1)*2+1)*RWDI_FACTORS!$D$12*(1+$B$1*INDEX($AI$10:$BJ$14,$B84,(C80-1)*2+2)))</f>
        <v>1.0850696979261574</v>
      </c>
      <c r="J84" s="1016">
        <f ca="1">J$45/(INDEX($AI$10:$BJ$14,$B84,(C80-1)*2+1)*RWDI_FACTORS!$D$12*(1+$B$1*INDEX($AI$10:$BJ$14,$B84,(C80-1)*2+2)))</f>
        <v>1.0165353103744381</v>
      </c>
      <c r="K84" s="1016">
        <f ca="1">K$45/(INDEX($AI$10:$BJ$14,$B84,(C80-1)*2+1)*RWDI_FACTORS!$D$12*(1+$B$1*INDEX($AI$10:$BJ$14,$B84,(C80-1)*2+2)))</f>
        <v>0.96324437205710389</v>
      </c>
      <c r="L84" s="1016">
        <f ca="1">L$45/(INDEX($AI$10:$BJ$14,$B84,(C80-1)*2+1)*RWDI_FACTORS!$D$12*(1+$B$1*INDEX($AI$10:$BJ$14,$B84,(C80-1)*2+2)))</f>
        <v>0.87493923803833429</v>
      </c>
      <c r="M84" s="1016">
        <f ca="1">M$45/(INDEX($AI$10:$BJ$14,$B84,(C80-1)*2+1)*RWDI_FACTORS!$D$12*(1+$B$1*INDEX($AI$10:$BJ$14,$B84,(C80-1)*2+2)))</f>
        <v>1.1321300089964115</v>
      </c>
      <c r="N84" s="1016">
        <f ca="1">N$45/(INDEX($AI$10:$BJ$14,$B84,(C80-1)*2+1)*RWDI_FACTORS!$D$12*(1+$B$1*INDEX($AI$10:$BJ$14,$B84,(C80-1)*2+2)))</f>
        <v>1.0850696979261574</v>
      </c>
      <c r="O84" s="1016">
        <f ca="1">O$45/(INDEX($AI$10:$BJ$14,$B84,(C80-1)*2+1)*RWDI_FACTORS!$D$12*(1+$B$1*INDEX($AI$10:$BJ$14,$B84,(C80-1)*2+2)))</f>
        <v>1.0165353103744381</v>
      </c>
      <c r="P84" s="1016">
        <f ca="1">P$45/(INDEX($AI$10:$BJ$14,$B84,(C80-1)*2+1)*RWDI_FACTORS!$D$12*(1+$B$1*INDEX($AI$10:$BJ$14,$B84,(C80-1)*2+2)))</f>
        <v>0.96324437205710389</v>
      </c>
      <c r="Q84" s="1016">
        <f ca="1">Q$45/(INDEX($AI$10:$BJ$14,$B84,(C80-1)*2+1)*RWDI_FACTORS!$D$12*(1+$B$1*INDEX($AI$10:$BJ$14,$B84,(C80-1)*2+2)))</f>
        <v>0.87493923803833429</v>
      </c>
      <c r="R84" s="1016">
        <f ca="1">R$45/(INDEX($AI$10:$BJ$14,$B84,(C80-1)*2+1)*RWDI_FACTORS!$D$12*(1+$B$1*INDEX($AI$10:$BJ$14,$B84,(C80-1)*2+2)))</f>
        <v>0.91355384015650132</v>
      </c>
      <c r="S84" s="1016">
        <f ca="1">S$45/(INDEX($AI$10:$BJ$14,$B84,(C80-1)*2+1)*RWDI_FACTORS!$D$12*(1+$B$1*INDEX($AI$10:$BJ$14,$B84,(C80-1)*2+2)))</f>
        <v>0.94941663796892461</v>
      </c>
      <c r="T84" s="1016">
        <f ca="1">T$45/(INDEX($AI$10:$BJ$14,$B84,(C80-1)*2+1)*RWDI_FACTORS!$D$12*(1+$B$1*INDEX($AI$10:$BJ$14,$B84,(C80-1)*2+2)))</f>
        <v>0</v>
      </c>
      <c r="U84" s="1016">
        <f ca="1">U$45/(INDEX($AI$10:$BJ$14,$B84,(C80-1)*2+1)*RWDI_FACTORS!$D$12*(1+$B$1*INDEX($AI$10:$BJ$14,$B84,(C80-1)*2+2)))</f>
        <v>0</v>
      </c>
      <c r="V84" s="1016">
        <f ca="1">V$45/(INDEX($AI$10:$BJ$14,$B84,(C80-1)*2+1)*RWDI_FACTORS!$D$12*(1+$B$1*INDEX($AI$10:$BJ$14,$B84,(C80-1)*2+2)))</f>
        <v>0</v>
      </c>
      <c r="W84" s="1016">
        <f ca="1">W$45/(INDEX($AI$10:$BJ$14,$B84,(C80-1)*2+1)*RWDI_FACTORS!$D$12*(1+$B$1*INDEX($AI$10:$BJ$14,$B84,(C80-1)*2+2)))</f>
        <v>0</v>
      </c>
    </row>
    <row r="85" spans="1:23" x14ac:dyDescent="0.2">
      <c r="A85" s="577">
        <f>A75</f>
        <v>120.7</v>
      </c>
      <c r="B85" s="577">
        <v>3</v>
      </c>
      <c r="C85" s="1016">
        <f ca="1">C$46/(INDEX($AI$10:$BJ$14,$B85,(C80-1)*2+1)*RWDI_FACTORS!$D$12*(1+$B$1*INDEX($AI$10:$BJ$14,$B85,(C80-1)*2+2)))</f>
        <v>1.1184013931278962</v>
      </c>
      <c r="D85" s="1016">
        <f ca="1">D$46/(INDEX($AI$10:$BJ$14,$B85,(C80-1)*2+1)*RWDI_FACTORS!$D$12*(1+$B$1*INDEX($AI$10:$BJ$14,$B85,(C80-1)*2+2)))</f>
        <v>1.0768610284475897</v>
      </c>
      <c r="E85" s="1016">
        <f ca="1">E$46/(INDEX($AI$10:$BJ$14,$B85,(C80-1)*2+1)*RWDI_FACTORS!$D$12*(1+$B$1*INDEX($AI$10:$BJ$14,$B85,(C80-1)*2+2)))</f>
        <v>1.0163812422714786</v>
      </c>
      <c r="F85" s="1016">
        <f ca="1">F$46/(INDEX($AI$10:$BJ$14,$B85,(C80-1)*2+1)*RWDI_FACTORS!$D$12*(1+$B$1*INDEX($AI$10:$BJ$14,$B85,(C80-1)*2+2)))</f>
        <v>0.96975627528288044</v>
      </c>
      <c r="G85" s="1016">
        <f ca="1">G$46/(INDEX($AI$10:$BJ$14,$B85,(C80-1)*2+1)*RWDI_FACTORS!$D$12*(1+$B$1*INDEX($AI$10:$BJ$14,$B85,(C80-1)*2+2)))</f>
        <v>0.89607612601699627</v>
      </c>
      <c r="H85" s="1016">
        <f ca="1">H$46/(INDEX($AI$10:$BJ$14,$B85,(C80-1)*2+1)*RWDI_FACTORS!$D$12*(1+$B$1*INDEX($AI$10:$BJ$14,$B85,(C80-1)*2+2)))</f>
        <v>1.1184013931278962</v>
      </c>
      <c r="I85" s="1016">
        <f ca="1">I$46/(INDEX($AI$10:$BJ$14,$B85,(C80-1)*2+1)*RWDI_FACTORS!$D$12*(1+$B$1*INDEX($AI$10:$BJ$14,$B85,(C80-1)*2+2)))</f>
        <v>1.0768610284475897</v>
      </c>
      <c r="J85" s="1016">
        <f ca="1">J$46/(INDEX($AI$10:$BJ$14,$B85,(C80-1)*2+1)*RWDI_FACTORS!$D$12*(1+$B$1*INDEX($AI$10:$BJ$14,$B85,(C80-1)*2+2)))</f>
        <v>1.0163812422714786</v>
      </c>
      <c r="K85" s="1016">
        <f ca="1">K$46/(INDEX($AI$10:$BJ$14,$B85,(C80-1)*2+1)*RWDI_FACTORS!$D$12*(1+$B$1*INDEX($AI$10:$BJ$14,$B85,(C80-1)*2+2)))</f>
        <v>0.96975627528288044</v>
      </c>
      <c r="L85" s="1016">
        <f ca="1">L$46/(INDEX($AI$10:$BJ$14,$B85,(C80-1)*2+1)*RWDI_FACTORS!$D$12*(1+$B$1*INDEX($AI$10:$BJ$14,$B85,(C80-1)*2+2)))</f>
        <v>0.89607612601699627</v>
      </c>
      <c r="M85" s="1016">
        <f ca="1">M$46/(INDEX($AI$10:$BJ$14,$B85,(C80-1)*2+1)*RWDI_FACTORS!$D$12*(1+$B$1*INDEX($AI$10:$BJ$14,$B85,(C80-1)*2+2)))</f>
        <v>1.1184013931278962</v>
      </c>
      <c r="N85" s="1016">
        <f ca="1">N$46/(INDEX($AI$10:$BJ$14,$B85,(C80-1)*2+1)*RWDI_FACTORS!$D$12*(1+$B$1*INDEX($AI$10:$BJ$14,$B85,(C80-1)*2+2)))</f>
        <v>1.0768610284475897</v>
      </c>
      <c r="O85" s="1016">
        <f ca="1">O$46/(INDEX($AI$10:$BJ$14,$B85,(C80-1)*2+1)*RWDI_FACTORS!$D$12*(1+$B$1*INDEX($AI$10:$BJ$14,$B85,(C80-1)*2+2)))</f>
        <v>1.0163812422714786</v>
      </c>
      <c r="P85" s="1016">
        <f ca="1">P$46/(INDEX($AI$10:$BJ$14,$B85,(C80-1)*2+1)*RWDI_FACTORS!$D$12*(1+$B$1*INDEX($AI$10:$BJ$14,$B85,(C80-1)*2+2)))</f>
        <v>0.96975627528288044</v>
      </c>
      <c r="Q85" s="1016">
        <f ca="1">Q$46/(INDEX($AI$10:$BJ$14,$B85,(C80-1)*2+1)*RWDI_FACTORS!$D$12*(1+$B$1*INDEX($AI$10:$BJ$14,$B85,(C80-1)*2+2)))</f>
        <v>0.89607612601699627</v>
      </c>
      <c r="R85" s="1016">
        <f ca="1">R$46/(INDEX($AI$10:$BJ$14,$B85,(C80-1)*2+1)*RWDI_FACTORS!$D$12*(1+$B$1*INDEX($AI$10:$BJ$14,$B85,(C80-1)*2+2)))</f>
        <v>0.92969653098999283</v>
      </c>
      <c r="S85" s="1016">
        <f ca="1">S$46/(INDEX($AI$10:$BJ$14,$B85,(C80-1)*2+1)*RWDI_FACTORS!$D$12*(1+$B$1*INDEX($AI$10:$BJ$14,$B85,(C80-1)*2+2)))</f>
        <v>0.95701658811250834</v>
      </c>
      <c r="T85" s="1016">
        <f ca="1">T$46/(INDEX($AI$10:$BJ$14,$B85,(C80-1)*2+1)*RWDI_FACTORS!$D$12*(1+$B$1*INDEX($AI$10:$BJ$14,$B85,(C80-1)*2+2)))</f>
        <v>0</v>
      </c>
      <c r="U85" s="1016">
        <f ca="1">U$46/(INDEX($AI$10:$BJ$14,$B85,(C80-1)*2+1)*RWDI_FACTORS!$D$12*(1+$B$1*INDEX($AI$10:$BJ$14,$B85,(C80-1)*2+2)))</f>
        <v>0</v>
      </c>
      <c r="V85" s="1016">
        <f ca="1">V$46/(INDEX($AI$10:$BJ$14,$B85,(C80-1)*2+1)*RWDI_FACTORS!$D$12*(1+$B$1*INDEX($AI$10:$BJ$14,$B85,(C80-1)*2+2)))</f>
        <v>0</v>
      </c>
      <c r="W85" s="1016">
        <f ca="1">W$46/(INDEX($AI$10:$BJ$14,$B85,(C80-1)*2+1)*RWDI_FACTORS!$D$12*(1+$B$1*INDEX($AI$10:$BJ$14,$B85,(C80-1)*2+2)))</f>
        <v>0</v>
      </c>
    </row>
    <row r="86" spans="1:23" x14ac:dyDescent="0.2">
      <c r="A86" s="577">
        <f>A76</f>
        <v>144.80000000000001</v>
      </c>
      <c r="B86" s="577">
        <v>4</v>
      </c>
      <c r="C86" s="1016">
        <f ca="1">C$47/(INDEX($AI$10:$BJ$14,$B86,(C80-1)*2+1)*RWDI_FACTORS!$D$12*(1+$B$1*INDEX($AI$10:$BJ$14,$B86,(C80-1)*2+2)))</f>
        <v>1.1052902169574168</v>
      </c>
      <c r="D86" s="1016">
        <f ca="1">D$47/(INDEX($AI$10:$BJ$14,$B86,(C80-1)*2+1)*RWDI_FACTORS!$D$12*(1+$B$1*INDEX($AI$10:$BJ$14,$B86,(C80-1)*2+2)))</f>
        <v>1.0671394830477452</v>
      </c>
      <c r="E86" s="1016">
        <f ca="1">E$47/(INDEX($AI$10:$BJ$14,$B86,(C80-1)*2+1)*RWDI_FACTORS!$D$12*(1+$B$1*INDEX($AI$10:$BJ$14,$B86,(C80-1)*2+2)))</f>
        <v>1.0116812373724497</v>
      </c>
      <c r="F86" s="1016">
        <f ca="1">F$47/(INDEX($AI$10:$BJ$14,$B86,(C80-1)*2+1)*RWDI_FACTORS!$D$12*(1+$B$1*INDEX($AI$10:$BJ$14,$B86,(C80-1)*2+2)))</f>
        <v>0.96962920099591066</v>
      </c>
      <c r="G86" s="1016">
        <f ca="1">G$47/(INDEX($AI$10:$BJ$14,$B86,(C80-1)*2+1)*RWDI_FACTORS!$D$12*(1+$B$1*INDEX($AI$10:$BJ$14,$B86,(C80-1)*2+2)))</f>
        <v>0.90471746234367556</v>
      </c>
      <c r="H86" s="1016">
        <f ca="1">H$47/(INDEX($AI$10:$BJ$14,$B86,(C80-1)*2+1)*RWDI_FACTORS!$D$12*(1+$B$1*INDEX($AI$10:$BJ$14,$B86,(C80-1)*2+2)))</f>
        <v>1.1052902169574168</v>
      </c>
      <c r="I86" s="1016">
        <f ca="1">I$47/(INDEX($AI$10:$BJ$14,$B86,(C80-1)*2+1)*RWDI_FACTORS!$D$12*(1+$B$1*INDEX($AI$10:$BJ$14,$B86,(C80-1)*2+2)))</f>
        <v>1.0671394830477452</v>
      </c>
      <c r="J86" s="1016">
        <f ca="1">J$47/(INDEX($AI$10:$BJ$14,$B86,(C80-1)*2+1)*RWDI_FACTORS!$D$12*(1+$B$1*INDEX($AI$10:$BJ$14,$B86,(C80-1)*2+2)))</f>
        <v>1.0116812373724497</v>
      </c>
      <c r="K86" s="1016">
        <f ca="1">K$47/(INDEX($AI$10:$BJ$14,$B86,(C80-1)*2+1)*RWDI_FACTORS!$D$12*(1+$B$1*INDEX($AI$10:$BJ$14,$B86,(C80-1)*2+2)))</f>
        <v>0.96962920099591066</v>
      </c>
      <c r="L86" s="1016">
        <f ca="1">L$47/(INDEX($AI$10:$BJ$14,$B86,(C80-1)*2+1)*RWDI_FACTORS!$D$12*(1+$B$1*INDEX($AI$10:$BJ$14,$B86,(C80-1)*2+2)))</f>
        <v>0.90471746234367556</v>
      </c>
      <c r="M86" s="1016">
        <f ca="1">M$47/(INDEX($AI$10:$BJ$14,$B86,(C80-1)*2+1)*RWDI_FACTORS!$D$12*(1+$B$1*INDEX($AI$10:$BJ$14,$B86,(C80-1)*2+2)))</f>
        <v>1.1052902169574168</v>
      </c>
      <c r="N86" s="1016">
        <f ca="1">N$47/(INDEX($AI$10:$BJ$14,$B86,(C80-1)*2+1)*RWDI_FACTORS!$D$12*(1+$B$1*INDEX($AI$10:$BJ$14,$B86,(C80-1)*2+2)))</f>
        <v>1.0671394830477452</v>
      </c>
      <c r="O86" s="1016">
        <f ca="1">O$47/(INDEX($AI$10:$BJ$14,$B86,(C80-1)*2+1)*RWDI_FACTORS!$D$12*(1+$B$1*INDEX($AI$10:$BJ$14,$B86,(C80-1)*2+2)))</f>
        <v>1.0116812373724497</v>
      </c>
      <c r="P86" s="1016">
        <f ca="1">P$47/(INDEX($AI$10:$BJ$14,$B86,(C80-1)*2+1)*RWDI_FACTORS!$D$12*(1+$B$1*INDEX($AI$10:$BJ$14,$B86,(C80-1)*2+2)))</f>
        <v>0.96962920099591066</v>
      </c>
      <c r="Q86" s="1016">
        <f ca="1">Q$47/(INDEX($AI$10:$BJ$14,$B86,(C80-1)*2+1)*RWDI_FACTORS!$D$12*(1+$B$1*INDEX($AI$10:$BJ$14,$B86,(C80-1)*2+2)))</f>
        <v>0.90471746234367556</v>
      </c>
      <c r="R86" s="1016">
        <f ca="1">R$47/(INDEX($AI$10:$BJ$14,$B86,(C80-1)*2+1)*RWDI_FACTORS!$D$12*(1+$B$1*INDEX($AI$10:$BJ$14,$B86,(C80-1)*2+2)))</f>
        <v>0.93475981833933286</v>
      </c>
      <c r="S86" s="1016">
        <f ca="1">S$47/(INDEX($AI$10:$BJ$14,$B86,(C80-1)*2+1)*RWDI_FACTORS!$D$12*(1+$B$1*INDEX($AI$10:$BJ$14,$B86,(C80-1)*2+2)))</f>
        <v>0.95797986291030812</v>
      </c>
      <c r="T86" s="1016">
        <f ca="1">T$47/(INDEX($AI$10:$BJ$14,$B86,(C80-1)*2+1)*RWDI_FACTORS!$D$12*(1+$B$1*INDEX($AI$10:$BJ$14,$B86,(C80-1)*2+2)))</f>
        <v>0</v>
      </c>
      <c r="U86" s="1016">
        <f ca="1">U$47/(INDEX($AI$10:$BJ$14,$B86,(C80-1)*2+1)*RWDI_FACTORS!$D$12*(1+$B$1*INDEX($AI$10:$BJ$14,$B86,(C80-1)*2+2)))</f>
        <v>0</v>
      </c>
      <c r="V86" s="1016">
        <f ca="1">V$47/(INDEX($AI$10:$BJ$14,$B86,(C80-1)*2+1)*RWDI_FACTORS!$D$12*(1+$B$1*INDEX($AI$10:$BJ$14,$B86,(C80-1)*2+2)))</f>
        <v>0</v>
      </c>
      <c r="W86" s="1016">
        <f ca="1">W$47/(INDEX($AI$10:$BJ$14,$B86,(C80-1)*2+1)*RWDI_FACTORS!$D$12*(1+$B$1*INDEX($AI$10:$BJ$14,$B86,(C80-1)*2+2)))</f>
        <v>0</v>
      </c>
    </row>
    <row r="87" spans="1:23" x14ac:dyDescent="0.2">
      <c r="A87" s="577">
        <f>A77</f>
        <v>181</v>
      </c>
      <c r="B87" s="577">
        <v>5</v>
      </c>
      <c r="C87" s="1016">
        <f ca="1">C$48/(INDEX($AI$10:$BJ$14,$B87,(C80-1)*2+1)*RWDI_FACTORS!$D$12*(1+$B$1*INDEX($AI$10:$BJ$14,$B87,(C80-1)*2+2)))</f>
        <v>1.0859047677792013</v>
      </c>
      <c r="D87" s="1016">
        <f ca="1">D$48/(INDEX($AI$10:$BJ$14,$B87,(C80-1)*2+1)*RWDI_FACTORS!$D$12*(1+$B$1*INDEX($AI$10:$BJ$14,$B87,(C80-1)*2+2)))</f>
        <v>1.0516802853918674</v>
      </c>
      <c r="E87" s="1016">
        <f ca="1">E$48/(INDEX($AI$10:$BJ$14,$B87,(C80-1)*2+1)*RWDI_FACTORS!$D$12*(1+$B$1*INDEX($AI$10:$BJ$14,$B87,(C80-1)*2+2)))</f>
        <v>1.0021233275082275</v>
      </c>
      <c r="F87" s="1016">
        <f ca="1">F$48/(INDEX($AI$10:$BJ$14,$B87,(C80-1)*2+1)*RWDI_FACTORS!$D$12*(1+$B$1*INDEX($AI$10:$BJ$14,$B87,(C80-1)*2+2)))</f>
        <v>0.96555500992681509</v>
      </c>
      <c r="G87" s="1016">
        <f ca="1">G$48/(INDEX($AI$10:$BJ$14,$B87,(C80-1)*2+1)*RWDI_FACTORS!$D$12*(1+$B$1*INDEX($AI$10:$BJ$14,$B87,(C80-1)*2+2)))</f>
        <v>0.91104784518226345</v>
      </c>
      <c r="H87" s="1016">
        <f ca="1">H$48/(INDEX($AI$10:$BJ$14,$B87,(C80-1)*2+1)*RWDI_FACTORS!$D$12*(1+$B$1*INDEX($AI$10:$BJ$14,$B87,(C80-1)*2+2)))</f>
        <v>1.0859047677792013</v>
      </c>
      <c r="I87" s="1016">
        <f ca="1">I$48/(INDEX($AI$10:$BJ$14,$B87,(C80-1)*2+1)*RWDI_FACTORS!$D$12*(1+$B$1*INDEX($AI$10:$BJ$14,$B87,(C80-1)*2+2)))</f>
        <v>1.0516802853918674</v>
      </c>
      <c r="J87" s="1016">
        <f ca="1">J$48/(INDEX($AI$10:$BJ$14,$B87,(C80-1)*2+1)*RWDI_FACTORS!$D$12*(1+$B$1*INDEX($AI$10:$BJ$14,$B87,(C80-1)*2+2)))</f>
        <v>1.0021233275082275</v>
      </c>
      <c r="K87" s="1016">
        <f ca="1">K$48/(INDEX($AI$10:$BJ$14,$B87,(C80-1)*2+1)*RWDI_FACTORS!$D$12*(1+$B$1*INDEX($AI$10:$BJ$14,$B87,(C80-1)*2+2)))</f>
        <v>0.96555500992681509</v>
      </c>
      <c r="L87" s="1016">
        <f ca="1">L$48/(INDEX($AI$10:$BJ$14,$B87,(C80-1)*2+1)*RWDI_FACTORS!$D$12*(1+$B$1*INDEX($AI$10:$BJ$14,$B87,(C80-1)*2+2)))</f>
        <v>0.91104784518226345</v>
      </c>
      <c r="M87" s="1016">
        <f ca="1">M$48/(INDEX($AI$10:$BJ$14,$B87,(C80-1)*2+1)*RWDI_FACTORS!$D$12*(1+$B$1*INDEX($AI$10:$BJ$14,$B87,(C80-1)*2+2)))</f>
        <v>1.0859047677792013</v>
      </c>
      <c r="N87" s="1016">
        <f ca="1">N$48/(INDEX($AI$10:$BJ$14,$B87,(C80-1)*2+1)*RWDI_FACTORS!$D$12*(1+$B$1*INDEX($AI$10:$BJ$14,$B87,(C80-1)*2+2)))</f>
        <v>1.0516802853918674</v>
      </c>
      <c r="O87" s="1016">
        <f ca="1">O$48/(INDEX($AI$10:$BJ$14,$B87,(C80-1)*2+1)*RWDI_FACTORS!$D$12*(1+$B$1*INDEX($AI$10:$BJ$14,$B87,(C80-1)*2+2)))</f>
        <v>1.0021233275082275</v>
      </c>
      <c r="P87" s="1016">
        <f ca="1">P$48/(INDEX($AI$10:$BJ$14,$B87,(C80-1)*2+1)*RWDI_FACTORS!$D$12*(1+$B$1*INDEX($AI$10:$BJ$14,$B87,(C80-1)*2+2)))</f>
        <v>0.96555500992681509</v>
      </c>
      <c r="Q87" s="1016">
        <f ca="1">Q$48/(INDEX($AI$10:$BJ$14,$B87,(C80-1)*2+1)*RWDI_FACTORS!$D$12*(1+$B$1*INDEX($AI$10:$BJ$14,$B87,(C80-1)*2+2)))</f>
        <v>0.91104784518226345</v>
      </c>
      <c r="R87" s="1016">
        <f ca="1">R$48/(INDEX($AI$10:$BJ$14,$B87,(C80-1)*2+1)*RWDI_FACTORS!$D$12*(1+$B$1*INDEX($AI$10:$BJ$14,$B87,(C80-1)*2+2)))</f>
        <v>0.93599318327939296</v>
      </c>
      <c r="S87" s="1016">
        <f ca="1">S$48/(INDEX($AI$10:$BJ$14,$B87,(C80-1)*2+1)*RWDI_FACTORS!$D$12*(1+$B$1*INDEX($AI$10:$BJ$14,$B87,(C80-1)*2+2)))</f>
        <v>0.95549699525502274</v>
      </c>
      <c r="T87" s="1016">
        <f ca="1">T$48/(INDEX($AI$10:$BJ$14,$B87,(C80-1)*2+1)*RWDI_FACTORS!$D$12*(1+$B$1*INDEX($AI$10:$BJ$14,$B87,(C80-1)*2+2)))</f>
        <v>0</v>
      </c>
      <c r="U87" s="1016">
        <f ca="1">U$48/(INDEX($AI$10:$BJ$14,$B87,(C80-1)*2+1)*RWDI_FACTORS!$D$12*(1+$B$1*INDEX($AI$10:$BJ$14,$B87,(C80-1)*2+2)))</f>
        <v>0</v>
      </c>
      <c r="V87" s="1016">
        <f ca="1">V$48/(INDEX($AI$10:$BJ$14,$B87,(C80-1)*2+1)*RWDI_FACTORS!$D$12*(1+$B$1*INDEX($AI$10:$BJ$14,$B87,(C80-1)*2+2)))</f>
        <v>0</v>
      </c>
      <c r="W87" s="1016">
        <f ca="1">W$48/(INDEX($AI$10:$BJ$14,$B87,(C80-1)*2+1)*RWDI_FACTORS!$D$12*(1+$B$1*INDEX($AI$10:$BJ$14,$B87,(C80-1)*2+2)))</f>
        <v>0</v>
      </c>
    </row>
    <row r="88" spans="1:23" x14ac:dyDescent="0.2">
      <c r="B88" s="1019" t="s">
        <v>609</v>
      </c>
      <c r="C88" s="1011">
        <f t="shared" ref="C88:W88" ca="1" si="15">AVERAGE(C83:C87)</f>
        <v>1.1256733361052425</v>
      </c>
      <c r="D88" s="1011">
        <f t="shared" ca="1" si="15"/>
        <v>1.0816024938147069</v>
      </c>
      <c r="E88" s="1011">
        <f t="shared" ca="1" si="15"/>
        <v>1.0175544209975602</v>
      </c>
      <c r="F88" s="1011">
        <f t="shared" ca="1" si="15"/>
        <v>0.96819950494616569</v>
      </c>
      <c r="G88" s="1011">
        <f t="shared" ca="1" si="15"/>
        <v>0.88600350003970862</v>
      </c>
      <c r="H88" s="1011">
        <f t="shared" ca="1" si="15"/>
        <v>1.1256733361052425</v>
      </c>
      <c r="I88" s="1011">
        <f t="shared" ca="1" si="15"/>
        <v>1.0816024938147069</v>
      </c>
      <c r="J88" s="1011">
        <f t="shared" ca="1" si="15"/>
        <v>1.0175544209975602</v>
      </c>
      <c r="K88" s="1011">
        <f t="shared" ca="1" si="15"/>
        <v>0.96819950494616569</v>
      </c>
      <c r="L88" s="1011">
        <f t="shared" ca="1" si="15"/>
        <v>0.88600350003970862</v>
      </c>
      <c r="M88" s="1011">
        <f t="shared" ca="1" si="15"/>
        <v>1.1256733361052425</v>
      </c>
      <c r="N88" s="1011">
        <f t="shared" ca="1" si="15"/>
        <v>1.0816024938147069</v>
      </c>
      <c r="O88" s="1011">
        <f t="shared" ca="1" si="15"/>
        <v>1.0175544209975602</v>
      </c>
      <c r="P88" s="1011">
        <f t="shared" ca="1" si="15"/>
        <v>0.96819950494616569</v>
      </c>
      <c r="Q88" s="1011">
        <f t="shared" ca="1" si="15"/>
        <v>0.88600350003970862</v>
      </c>
      <c r="R88" s="1011">
        <f t="shared" ca="1" si="15"/>
        <v>0.92293767552699391</v>
      </c>
      <c r="S88" s="1011">
        <f t="shared" ca="1" si="15"/>
        <v>0.95444379124154788</v>
      </c>
      <c r="T88" s="1011">
        <f t="shared" ca="1" si="15"/>
        <v>0</v>
      </c>
      <c r="U88" s="1011">
        <f t="shared" ca="1" si="15"/>
        <v>0</v>
      </c>
      <c r="V88" s="1011">
        <f t="shared" ca="1" si="15"/>
        <v>0</v>
      </c>
      <c r="W88" s="1011">
        <f t="shared" ca="1" si="15"/>
        <v>0</v>
      </c>
    </row>
    <row r="89" spans="1:23" x14ac:dyDescent="0.2">
      <c r="B89" s="1019" t="s">
        <v>610</v>
      </c>
      <c r="C89" s="1011">
        <f t="shared" ref="C89:W89" ca="1" si="16">STDEV(C83:C87)/C88*100</f>
        <v>3.3852558815576743</v>
      </c>
      <c r="D89" s="1011">
        <f t="shared" ca="1" si="16"/>
        <v>2.62474389958351</v>
      </c>
      <c r="E89" s="1011">
        <f t="shared" ca="1" si="16"/>
        <v>1.4131742056921566</v>
      </c>
      <c r="F89" s="1011">
        <f t="shared" ca="1" si="16"/>
        <v>0.39089982845529586</v>
      </c>
      <c r="G89" s="1011">
        <f t="shared" ca="1" si="16"/>
        <v>3.106540757676044</v>
      </c>
      <c r="H89" s="1011">
        <f t="shared" ca="1" si="16"/>
        <v>3.3852558815576743</v>
      </c>
      <c r="I89" s="1011">
        <f t="shared" ca="1" si="16"/>
        <v>2.62474389958351</v>
      </c>
      <c r="J89" s="1011">
        <f t="shared" ca="1" si="16"/>
        <v>1.4131742056921566</v>
      </c>
      <c r="K89" s="1011">
        <f t="shared" ca="1" si="16"/>
        <v>0.39089982845529586</v>
      </c>
      <c r="L89" s="1011">
        <f t="shared" ca="1" si="16"/>
        <v>3.106540757676044</v>
      </c>
      <c r="M89" s="1011">
        <f t="shared" ca="1" si="16"/>
        <v>3.3852558815576743</v>
      </c>
      <c r="N89" s="1011">
        <f t="shared" ca="1" si="16"/>
        <v>2.62474389958351</v>
      </c>
      <c r="O89" s="1011">
        <f t="shared" ca="1" si="16"/>
        <v>1.4131742056921566</v>
      </c>
      <c r="P89" s="1011">
        <f t="shared" ca="1" si="16"/>
        <v>0.39089982845529586</v>
      </c>
      <c r="Q89" s="1011">
        <f t="shared" ca="1" si="16"/>
        <v>3.106540757676044</v>
      </c>
      <c r="R89" s="1011">
        <f t="shared" ca="1" si="16"/>
        <v>1.6601995768673594</v>
      </c>
      <c r="S89" s="1011">
        <f t="shared" ca="1" si="16"/>
        <v>0.37066007409723906</v>
      </c>
      <c r="T89" s="1011" t="e">
        <f t="shared" ca="1" si="16"/>
        <v>#DIV/0!</v>
      </c>
      <c r="U89" s="1011" t="e">
        <f t="shared" ca="1" si="16"/>
        <v>#DIV/0!</v>
      </c>
      <c r="V89" s="1011" t="e">
        <f t="shared" ca="1" si="16"/>
        <v>#DIV/0!</v>
      </c>
      <c r="W89" s="1011" t="e">
        <f t="shared" ca="1" si="16"/>
        <v>#DIV/0!</v>
      </c>
    </row>
    <row r="90" spans="1:23" x14ac:dyDescent="0.2">
      <c r="A90" s="1017" t="str">
        <f ca="1">INDEX($AI$7:$BJ$7,1,(C90-1)*2+1)</f>
        <v>Light Urban A24LE</v>
      </c>
      <c r="B90" s="1018"/>
      <c r="C90" s="577">
        <v>5</v>
      </c>
    </row>
    <row r="92" spans="1:23" x14ac:dyDescent="0.2">
      <c r="C92" s="577" t="s">
        <v>203</v>
      </c>
      <c r="D92" s="577" t="s">
        <v>204</v>
      </c>
      <c r="E92" s="577" t="s">
        <v>205</v>
      </c>
      <c r="F92" s="577" t="s">
        <v>206</v>
      </c>
      <c r="G92" s="577" t="s">
        <v>207</v>
      </c>
      <c r="H92" s="577" t="s">
        <v>266</v>
      </c>
      <c r="I92" s="577" t="s">
        <v>267</v>
      </c>
      <c r="J92" s="577" t="s">
        <v>268</v>
      </c>
      <c r="K92" s="577" t="s">
        <v>269</v>
      </c>
      <c r="L92" s="577" t="s">
        <v>270</v>
      </c>
      <c r="M92" s="577" t="s">
        <v>271</v>
      </c>
      <c r="N92" s="577" t="s">
        <v>272</v>
      </c>
      <c r="O92" s="577" t="s">
        <v>273</v>
      </c>
      <c r="P92" s="577" t="s">
        <v>274</v>
      </c>
      <c r="Q92" s="577" t="s">
        <v>275</v>
      </c>
      <c r="R92" s="577" t="s">
        <v>276</v>
      </c>
      <c r="S92" s="577" t="s">
        <v>277</v>
      </c>
      <c r="T92" s="577" t="s">
        <v>278</v>
      </c>
      <c r="U92" s="577" t="s">
        <v>279</v>
      </c>
      <c r="V92" s="577" t="s">
        <v>280</v>
      </c>
      <c r="W92" s="577" t="s">
        <v>297</v>
      </c>
    </row>
    <row r="93" spans="1:23" x14ac:dyDescent="0.2">
      <c r="A93" s="577">
        <f>A83</f>
        <v>54.3</v>
      </c>
      <c r="B93" s="577">
        <v>1</v>
      </c>
      <c r="C93" s="1016">
        <f ca="1">C$44/(INDEX($AI$10:$BJ$14,$B93,(C90-1)*2+1)*RWDI_FACTORS!$D$12*(1+$B$1*INDEX($AI$10:$BJ$14,$B93,(C90-1)*2+2)))</f>
        <v>1.2114448108727081</v>
      </c>
      <c r="D93" s="1016">
        <f ca="1">D$44/(INDEX($AI$10:$BJ$14,$B93,(C90-1)*2+1)*RWDI_FACTORS!$D$12*(1+$B$1*INDEX($AI$10:$BJ$14,$B93,(C90-1)*2+2)))</f>
        <v>1.1508252976927897</v>
      </c>
      <c r="E93" s="1016">
        <f ca="1">E$44/(INDEX($AI$10:$BJ$14,$B93,(C90-1)*2+1)*RWDI_FACTORS!$D$12*(1+$B$1*INDEX($AI$10:$BJ$14,$B93,(C90-1)*2+2)))</f>
        <v>1.0628122299119609</v>
      </c>
      <c r="F93" s="1016">
        <f ca="1">F$44/(INDEX($AI$10:$BJ$14,$B93,(C90-1)*2+1)*RWDI_FACTORS!$D$12*(1+$B$1*INDEX($AI$10:$BJ$14,$B93,(C90-1)*2+2)))</f>
        <v>0.99314751322313033</v>
      </c>
      <c r="G93" s="1016">
        <f ca="1">G$44/(INDEX($AI$10:$BJ$14,$B93,(C90-1)*2+1)*RWDI_FACTORS!$D$12*(1+$B$1*INDEX($AI$10:$BJ$14,$B93,(C90-1)*2+2)))</f>
        <v>0.8608631325082059</v>
      </c>
      <c r="H93" s="1016">
        <f ca="1">H$44/(INDEX($AI$10:$BJ$14,$B93,(C90-1)*2+1)*RWDI_FACTORS!$D$12*(1+$B$1*INDEX($AI$10:$BJ$14,$B93,(C90-1)*2+2)))</f>
        <v>1.2114448108727081</v>
      </c>
      <c r="I93" s="1016">
        <f ca="1">I$44/(INDEX($AI$10:$BJ$14,$B93,(C90-1)*2+1)*RWDI_FACTORS!$D$12*(1+$B$1*INDEX($AI$10:$BJ$14,$B93,(C90-1)*2+2)))</f>
        <v>1.1508252976927897</v>
      </c>
      <c r="J93" s="1016">
        <f ca="1">J$44/(INDEX($AI$10:$BJ$14,$B93,(C90-1)*2+1)*RWDI_FACTORS!$D$12*(1+$B$1*INDEX($AI$10:$BJ$14,$B93,(C90-1)*2+2)))</f>
        <v>1.0628122299119609</v>
      </c>
      <c r="K93" s="1016">
        <f ca="1">K$44/(INDEX($AI$10:$BJ$14,$B93,(C90-1)*2+1)*RWDI_FACTORS!$D$12*(1+$B$1*INDEX($AI$10:$BJ$14,$B93,(C90-1)*2+2)))</f>
        <v>0.99314751322313033</v>
      </c>
      <c r="L93" s="1016">
        <f ca="1">L$44/(INDEX($AI$10:$BJ$14,$B93,(C90-1)*2+1)*RWDI_FACTORS!$D$12*(1+$B$1*INDEX($AI$10:$BJ$14,$B93,(C90-1)*2+2)))</f>
        <v>0.8608631325082059</v>
      </c>
      <c r="M93" s="1016">
        <f ca="1">M$44/(INDEX($AI$10:$BJ$14,$B93,(C90-1)*2+1)*RWDI_FACTORS!$D$12*(1+$B$1*INDEX($AI$10:$BJ$14,$B93,(C90-1)*2+2)))</f>
        <v>1.2114448108727081</v>
      </c>
      <c r="N93" s="1016">
        <f ca="1">N$44/(INDEX($AI$10:$BJ$14,$B93,(C90-1)*2+1)*RWDI_FACTORS!$D$12*(1+$B$1*INDEX($AI$10:$BJ$14,$B93,(C90-1)*2+2)))</f>
        <v>1.1508252976927897</v>
      </c>
      <c r="O93" s="1016">
        <f ca="1">O$44/(INDEX($AI$10:$BJ$14,$B93,(C90-1)*2+1)*RWDI_FACTORS!$D$12*(1+$B$1*INDEX($AI$10:$BJ$14,$B93,(C90-1)*2+2)))</f>
        <v>1.0628122299119609</v>
      </c>
      <c r="P93" s="1016">
        <f ca="1">P$44/(INDEX($AI$10:$BJ$14,$B93,(C90-1)*2+1)*RWDI_FACTORS!$D$12*(1+$B$1*INDEX($AI$10:$BJ$14,$B93,(C90-1)*2+2)))</f>
        <v>0.99314751322313033</v>
      </c>
      <c r="Q93" s="1016">
        <f ca="1">Q$44/(INDEX($AI$10:$BJ$14,$B93,(C90-1)*2+1)*RWDI_FACTORS!$D$12*(1+$B$1*INDEX($AI$10:$BJ$14,$B93,(C90-1)*2+2)))</f>
        <v>0.8608631325082059</v>
      </c>
      <c r="R93" s="1016">
        <f ca="1">R$44/(INDEX($AI$10:$BJ$14,$B93,(C90-1)*2+1)*RWDI_FACTORS!$D$12*(1+$B$1*INDEX($AI$10:$BJ$14,$B93,(C90-1)*2+2)))</f>
        <v>0.91951215646827789</v>
      </c>
      <c r="S93" s="1016">
        <f ca="1">S$44/(INDEX($AI$10:$BJ$14,$B93,(C90-1)*2+1)*RWDI_FACTORS!$D$12*(1+$B$1*INDEX($AI$10:$BJ$14,$B93,(C90-1)*2+2)))</f>
        <v>0.97221512487303086</v>
      </c>
      <c r="T93" s="1016">
        <f ca="1">T$44/(INDEX($AI$10:$BJ$14,$B93,(C90-1)*2+1)*RWDI_FACTORS!$D$12*(1+$B$1*INDEX($AI$10:$BJ$14,$B93,(C90-1)*2+2)))</f>
        <v>0</v>
      </c>
      <c r="U93" s="1016">
        <f ca="1">U$44/(INDEX($AI$10:$BJ$14,$B93,(C90-1)*2+1)*RWDI_FACTORS!$D$12*(1+$B$1*INDEX($AI$10:$BJ$14,$B93,(C90-1)*2+2)))</f>
        <v>0</v>
      </c>
      <c r="V93" s="1016">
        <f ca="1">V$44/(INDEX($AI$10:$BJ$14,$B93,(C90-1)*2+1)*RWDI_FACTORS!$D$12*(1+$B$1*INDEX($AI$10:$BJ$14,$B93,(C90-1)*2+2)))</f>
        <v>0</v>
      </c>
      <c r="W93" s="1016">
        <f ca="1">W$44/(INDEX($AI$10:$BJ$14,$B93,(C90-1)*2+1)*RWDI_FACTORS!$D$12*(1+$B$1*INDEX($AI$10:$BJ$14,$B93,(C90-1)*2+2)))</f>
        <v>0</v>
      </c>
    </row>
    <row r="94" spans="1:23" x14ac:dyDescent="0.2">
      <c r="A94" s="577">
        <f>A84</f>
        <v>90.5</v>
      </c>
      <c r="B94" s="577">
        <v>2</v>
      </c>
      <c r="C94" s="1016">
        <f ca="1">C$45/(INDEX($AI$10:$BJ$14,$B94,(C90-1)*2+1)*RWDI_FACTORS!$D$12*(1+$B$1*INDEX($AI$10:$BJ$14,$B94,(C90-1)*2+2)))</f>
        <v>1.1387617643018024</v>
      </c>
      <c r="D94" s="1016">
        <f ca="1">D$45/(INDEX($AI$10:$BJ$14,$B94,(C90-1)*2+1)*RWDI_FACTORS!$D$12*(1+$B$1*INDEX($AI$10:$BJ$14,$B94,(C90-1)*2+2)))</f>
        <v>1.0914257848320414</v>
      </c>
      <c r="E94" s="1016">
        <f ca="1">E$45/(INDEX($AI$10:$BJ$14,$B94,(C90-1)*2+1)*RWDI_FACTORS!$D$12*(1+$B$1*INDEX($AI$10:$BJ$14,$B94,(C90-1)*2+2)))</f>
        <v>1.0224899387158146</v>
      </c>
      <c r="F94" s="1016">
        <f ca="1">F$45/(INDEX($AI$10:$BJ$14,$B94,(C90-1)*2+1)*RWDI_FACTORS!$D$12*(1+$B$1*INDEX($AI$10:$BJ$14,$B94,(C90-1)*2+2)))</f>
        <v>0.96888683442804679</v>
      </c>
      <c r="G94" s="1016">
        <f ca="1">G$45/(INDEX($AI$10:$BJ$14,$B94,(C90-1)*2+1)*RWDI_FACTORS!$D$12*(1+$B$1*INDEX($AI$10:$BJ$14,$B94,(C90-1)*2+2)))</f>
        <v>0.88006442939237228</v>
      </c>
      <c r="H94" s="1016">
        <f ca="1">H$45/(INDEX($AI$10:$BJ$14,$B94,(C90-1)*2+1)*RWDI_FACTORS!$D$12*(1+$B$1*INDEX($AI$10:$BJ$14,$B94,(C90-1)*2+2)))</f>
        <v>1.1387617643018024</v>
      </c>
      <c r="I94" s="1016">
        <f ca="1">I$45/(INDEX($AI$10:$BJ$14,$B94,(C90-1)*2+1)*RWDI_FACTORS!$D$12*(1+$B$1*INDEX($AI$10:$BJ$14,$B94,(C90-1)*2+2)))</f>
        <v>1.0914257848320414</v>
      </c>
      <c r="J94" s="1016">
        <f ca="1">J$45/(INDEX($AI$10:$BJ$14,$B94,(C90-1)*2+1)*RWDI_FACTORS!$D$12*(1+$B$1*INDEX($AI$10:$BJ$14,$B94,(C90-1)*2+2)))</f>
        <v>1.0224899387158146</v>
      </c>
      <c r="K94" s="1016">
        <f ca="1">K$45/(INDEX($AI$10:$BJ$14,$B94,(C90-1)*2+1)*RWDI_FACTORS!$D$12*(1+$B$1*INDEX($AI$10:$BJ$14,$B94,(C90-1)*2+2)))</f>
        <v>0.96888683442804679</v>
      </c>
      <c r="L94" s="1016">
        <f ca="1">L$45/(INDEX($AI$10:$BJ$14,$B94,(C90-1)*2+1)*RWDI_FACTORS!$D$12*(1+$B$1*INDEX($AI$10:$BJ$14,$B94,(C90-1)*2+2)))</f>
        <v>0.88006442939237228</v>
      </c>
      <c r="M94" s="1016">
        <f ca="1">M$45/(INDEX($AI$10:$BJ$14,$B94,(C90-1)*2+1)*RWDI_FACTORS!$D$12*(1+$B$1*INDEX($AI$10:$BJ$14,$B94,(C90-1)*2+2)))</f>
        <v>1.1387617643018024</v>
      </c>
      <c r="N94" s="1016">
        <f ca="1">N$45/(INDEX($AI$10:$BJ$14,$B94,(C90-1)*2+1)*RWDI_FACTORS!$D$12*(1+$B$1*INDEX($AI$10:$BJ$14,$B94,(C90-1)*2+2)))</f>
        <v>1.0914257848320414</v>
      </c>
      <c r="O94" s="1016">
        <f ca="1">O$45/(INDEX($AI$10:$BJ$14,$B94,(C90-1)*2+1)*RWDI_FACTORS!$D$12*(1+$B$1*INDEX($AI$10:$BJ$14,$B94,(C90-1)*2+2)))</f>
        <v>1.0224899387158146</v>
      </c>
      <c r="P94" s="1016">
        <f ca="1">P$45/(INDEX($AI$10:$BJ$14,$B94,(C90-1)*2+1)*RWDI_FACTORS!$D$12*(1+$B$1*INDEX($AI$10:$BJ$14,$B94,(C90-1)*2+2)))</f>
        <v>0.96888683442804679</v>
      </c>
      <c r="Q94" s="1016">
        <f ca="1">Q$45/(INDEX($AI$10:$BJ$14,$B94,(C90-1)*2+1)*RWDI_FACTORS!$D$12*(1+$B$1*INDEX($AI$10:$BJ$14,$B94,(C90-1)*2+2)))</f>
        <v>0.88006442939237228</v>
      </c>
      <c r="R94" s="1016">
        <f ca="1">R$45/(INDEX($AI$10:$BJ$14,$B94,(C90-1)*2+1)*RWDI_FACTORS!$D$12*(1+$B$1*INDEX($AI$10:$BJ$14,$B94,(C90-1)*2+2)))</f>
        <v>0.91890522690367238</v>
      </c>
      <c r="S94" s="1016">
        <f ca="1">S$45/(INDEX($AI$10:$BJ$14,$B94,(C90-1)*2+1)*RWDI_FACTORS!$D$12*(1+$B$1*INDEX($AI$10:$BJ$14,$B94,(C90-1)*2+2)))</f>
        <v>0.95497810067713274</v>
      </c>
      <c r="T94" s="1016">
        <f ca="1">T$45/(INDEX($AI$10:$BJ$14,$B94,(C90-1)*2+1)*RWDI_FACTORS!$D$12*(1+$B$1*INDEX($AI$10:$BJ$14,$B94,(C90-1)*2+2)))</f>
        <v>0</v>
      </c>
      <c r="U94" s="1016">
        <f ca="1">U$45/(INDEX($AI$10:$BJ$14,$B94,(C90-1)*2+1)*RWDI_FACTORS!$D$12*(1+$B$1*INDEX($AI$10:$BJ$14,$B94,(C90-1)*2+2)))</f>
        <v>0</v>
      </c>
      <c r="V94" s="1016">
        <f ca="1">V$45/(INDEX($AI$10:$BJ$14,$B94,(C90-1)*2+1)*RWDI_FACTORS!$D$12*(1+$B$1*INDEX($AI$10:$BJ$14,$B94,(C90-1)*2+2)))</f>
        <v>0</v>
      </c>
      <c r="W94" s="1016">
        <f ca="1">W$45/(INDEX($AI$10:$BJ$14,$B94,(C90-1)*2+1)*RWDI_FACTORS!$D$12*(1+$B$1*INDEX($AI$10:$BJ$14,$B94,(C90-1)*2+2)))</f>
        <v>0</v>
      </c>
    </row>
    <row r="95" spans="1:23" x14ac:dyDescent="0.2">
      <c r="A95" s="577">
        <f>A85</f>
        <v>120.7</v>
      </c>
      <c r="B95" s="577">
        <v>3</v>
      </c>
      <c r="C95" s="1016">
        <f ca="1">C$46/(INDEX($AI$10:$BJ$14,$B95,(C90-1)*2+1)*RWDI_FACTORS!$D$12*(1+$B$1*INDEX($AI$10:$BJ$14,$B95,(C90-1)*2+2)))</f>
        <v>1.1185824079945736</v>
      </c>
      <c r="D95" s="1016">
        <f ca="1">D$46/(INDEX($AI$10:$BJ$14,$B95,(C90-1)*2+1)*RWDI_FACTORS!$D$12*(1+$B$1*INDEX($AI$10:$BJ$14,$B95,(C90-1)*2+2)))</f>
        <v>1.0770353199467708</v>
      </c>
      <c r="E95" s="1016">
        <f ca="1">E$46/(INDEX($AI$10:$BJ$14,$B95,(C90-1)*2+1)*RWDI_FACTORS!$D$12*(1+$B$1*INDEX($AI$10:$BJ$14,$B95,(C90-1)*2+2)))</f>
        <v>1.016545745030679</v>
      </c>
      <c r="F95" s="1016">
        <f ca="1">F$46/(INDEX($AI$10:$BJ$14,$B95,(C90-1)*2+1)*RWDI_FACTORS!$D$12*(1+$B$1*INDEX($AI$10:$BJ$14,$B95,(C90-1)*2+2)))</f>
        <v>0.96991323172442134</v>
      </c>
      <c r="G95" s="1016">
        <f ca="1">G$46/(INDEX($AI$10:$BJ$14,$B95,(C90-1)*2+1)*RWDI_FACTORS!$D$12*(1+$B$1*INDEX($AI$10:$BJ$14,$B95,(C90-1)*2+2)))</f>
        <v>0.89622115722089168</v>
      </c>
      <c r="H95" s="1016">
        <f ca="1">H$46/(INDEX($AI$10:$BJ$14,$B95,(C90-1)*2+1)*RWDI_FACTORS!$D$12*(1+$B$1*INDEX($AI$10:$BJ$14,$B95,(C90-1)*2+2)))</f>
        <v>1.1185824079945736</v>
      </c>
      <c r="I95" s="1016">
        <f ca="1">I$46/(INDEX($AI$10:$BJ$14,$B95,(C90-1)*2+1)*RWDI_FACTORS!$D$12*(1+$B$1*INDEX($AI$10:$BJ$14,$B95,(C90-1)*2+2)))</f>
        <v>1.0770353199467708</v>
      </c>
      <c r="J95" s="1016">
        <f ca="1">J$46/(INDEX($AI$10:$BJ$14,$B95,(C90-1)*2+1)*RWDI_FACTORS!$D$12*(1+$B$1*INDEX($AI$10:$BJ$14,$B95,(C90-1)*2+2)))</f>
        <v>1.016545745030679</v>
      </c>
      <c r="K95" s="1016">
        <f ca="1">K$46/(INDEX($AI$10:$BJ$14,$B95,(C90-1)*2+1)*RWDI_FACTORS!$D$12*(1+$B$1*INDEX($AI$10:$BJ$14,$B95,(C90-1)*2+2)))</f>
        <v>0.96991323172442134</v>
      </c>
      <c r="L95" s="1016">
        <f ca="1">L$46/(INDEX($AI$10:$BJ$14,$B95,(C90-1)*2+1)*RWDI_FACTORS!$D$12*(1+$B$1*INDEX($AI$10:$BJ$14,$B95,(C90-1)*2+2)))</f>
        <v>0.89622115722089168</v>
      </c>
      <c r="M95" s="1016">
        <f ca="1">M$46/(INDEX($AI$10:$BJ$14,$B95,(C90-1)*2+1)*RWDI_FACTORS!$D$12*(1+$B$1*INDEX($AI$10:$BJ$14,$B95,(C90-1)*2+2)))</f>
        <v>1.1185824079945736</v>
      </c>
      <c r="N95" s="1016">
        <f ca="1">N$46/(INDEX($AI$10:$BJ$14,$B95,(C90-1)*2+1)*RWDI_FACTORS!$D$12*(1+$B$1*INDEX($AI$10:$BJ$14,$B95,(C90-1)*2+2)))</f>
        <v>1.0770353199467708</v>
      </c>
      <c r="O95" s="1016">
        <f ca="1">O$46/(INDEX($AI$10:$BJ$14,$B95,(C90-1)*2+1)*RWDI_FACTORS!$D$12*(1+$B$1*INDEX($AI$10:$BJ$14,$B95,(C90-1)*2+2)))</f>
        <v>1.016545745030679</v>
      </c>
      <c r="P95" s="1016">
        <f ca="1">P$46/(INDEX($AI$10:$BJ$14,$B95,(C90-1)*2+1)*RWDI_FACTORS!$D$12*(1+$B$1*INDEX($AI$10:$BJ$14,$B95,(C90-1)*2+2)))</f>
        <v>0.96991323172442134</v>
      </c>
      <c r="Q95" s="1016">
        <f ca="1">Q$46/(INDEX($AI$10:$BJ$14,$B95,(C90-1)*2+1)*RWDI_FACTORS!$D$12*(1+$B$1*INDEX($AI$10:$BJ$14,$B95,(C90-1)*2+2)))</f>
        <v>0.89622115722089168</v>
      </c>
      <c r="R95" s="1016">
        <f ca="1">R$46/(INDEX($AI$10:$BJ$14,$B95,(C90-1)*2+1)*RWDI_FACTORS!$D$12*(1+$B$1*INDEX($AI$10:$BJ$14,$B95,(C90-1)*2+2)))</f>
        <v>0.92984700370456708</v>
      </c>
      <c r="S95" s="1016">
        <f ca="1">S$46/(INDEX($AI$10:$BJ$14,$B95,(C90-1)*2+1)*RWDI_FACTORS!$D$12*(1+$B$1*INDEX($AI$10:$BJ$14,$B95,(C90-1)*2+2)))</f>
        <v>0.95717148261744156</v>
      </c>
      <c r="T95" s="1016">
        <f ca="1">T$46/(INDEX($AI$10:$BJ$14,$B95,(C90-1)*2+1)*RWDI_FACTORS!$D$12*(1+$B$1*INDEX($AI$10:$BJ$14,$B95,(C90-1)*2+2)))</f>
        <v>0</v>
      </c>
      <c r="U95" s="1016">
        <f ca="1">U$46/(INDEX($AI$10:$BJ$14,$B95,(C90-1)*2+1)*RWDI_FACTORS!$D$12*(1+$B$1*INDEX($AI$10:$BJ$14,$B95,(C90-1)*2+2)))</f>
        <v>0</v>
      </c>
      <c r="V95" s="1016">
        <f ca="1">V$46/(INDEX($AI$10:$BJ$14,$B95,(C90-1)*2+1)*RWDI_FACTORS!$D$12*(1+$B$1*INDEX($AI$10:$BJ$14,$B95,(C90-1)*2+2)))</f>
        <v>0</v>
      </c>
      <c r="W95" s="1016">
        <f ca="1">W$46/(INDEX($AI$10:$BJ$14,$B95,(C90-1)*2+1)*RWDI_FACTORS!$D$12*(1+$B$1*INDEX($AI$10:$BJ$14,$B95,(C90-1)*2+2)))</f>
        <v>0</v>
      </c>
    </row>
    <row r="96" spans="1:23" x14ac:dyDescent="0.2">
      <c r="A96" s="577">
        <f>A86</f>
        <v>144.80000000000001</v>
      </c>
      <c r="B96" s="577">
        <v>4</v>
      </c>
      <c r="C96" s="1016">
        <f ca="1">C$47/(INDEX($AI$10:$BJ$14,$B96,(C90-1)*2+1)*RWDI_FACTORS!$D$12*(1+$B$1*INDEX($AI$10:$BJ$14,$B96,(C90-1)*2+2)))</f>
        <v>1.0946990145046416</v>
      </c>
      <c r="D96" s="1016">
        <f ca="1">D$47/(INDEX($AI$10:$BJ$14,$B96,(C90-1)*2+1)*RWDI_FACTORS!$D$12*(1+$B$1*INDEX($AI$10:$BJ$14,$B96,(C90-1)*2+2)))</f>
        <v>1.0569138516824184</v>
      </c>
      <c r="E96" s="1016">
        <f ca="1">E$47/(INDEX($AI$10:$BJ$14,$B96,(C90-1)*2+1)*RWDI_FACTORS!$D$12*(1+$B$1*INDEX($AI$10:$BJ$14,$B96,(C90-1)*2+2)))</f>
        <v>1.0019870225514942</v>
      </c>
      <c r="F96" s="1016">
        <f ca="1">F$47/(INDEX($AI$10:$BJ$14,$B96,(C90-1)*2+1)*RWDI_FACTORS!$D$12*(1+$B$1*INDEX($AI$10:$BJ$14,$B96,(C90-1)*2+2)))</f>
        <v>0.96033794064246258</v>
      </c>
      <c r="G96" s="1016">
        <f ca="1">G$47/(INDEX($AI$10:$BJ$14,$B96,(C90-1)*2+1)*RWDI_FACTORS!$D$12*(1+$B$1*INDEX($AI$10:$BJ$14,$B96,(C90-1)*2+2)))</f>
        <v>0.89604820456935108</v>
      </c>
      <c r="H96" s="1016">
        <f ca="1">H$47/(INDEX($AI$10:$BJ$14,$B96,(C90-1)*2+1)*RWDI_FACTORS!$D$12*(1+$B$1*INDEX($AI$10:$BJ$14,$B96,(C90-1)*2+2)))</f>
        <v>1.0946990145046416</v>
      </c>
      <c r="I96" s="1016">
        <f ca="1">I$47/(INDEX($AI$10:$BJ$14,$B96,(C90-1)*2+1)*RWDI_FACTORS!$D$12*(1+$B$1*INDEX($AI$10:$BJ$14,$B96,(C90-1)*2+2)))</f>
        <v>1.0569138516824184</v>
      </c>
      <c r="J96" s="1016">
        <f ca="1">J$47/(INDEX($AI$10:$BJ$14,$B96,(C90-1)*2+1)*RWDI_FACTORS!$D$12*(1+$B$1*INDEX($AI$10:$BJ$14,$B96,(C90-1)*2+2)))</f>
        <v>1.0019870225514942</v>
      </c>
      <c r="K96" s="1016">
        <f ca="1">K$47/(INDEX($AI$10:$BJ$14,$B96,(C90-1)*2+1)*RWDI_FACTORS!$D$12*(1+$B$1*INDEX($AI$10:$BJ$14,$B96,(C90-1)*2+2)))</f>
        <v>0.96033794064246258</v>
      </c>
      <c r="L96" s="1016">
        <f ca="1">L$47/(INDEX($AI$10:$BJ$14,$B96,(C90-1)*2+1)*RWDI_FACTORS!$D$12*(1+$B$1*INDEX($AI$10:$BJ$14,$B96,(C90-1)*2+2)))</f>
        <v>0.89604820456935108</v>
      </c>
      <c r="M96" s="1016">
        <f ca="1">M$47/(INDEX($AI$10:$BJ$14,$B96,(C90-1)*2+1)*RWDI_FACTORS!$D$12*(1+$B$1*INDEX($AI$10:$BJ$14,$B96,(C90-1)*2+2)))</f>
        <v>1.0946990145046416</v>
      </c>
      <c r="N96" s="1016">
        <f ca="1">N$47/(INDEX($AI$10:$BJ$14,$B96,(C90-1)*2+1)*RWDI_FACTORS!$D$12*(1+$B$1*INDEX($AI$10:$BJ$14,$B96,(C90-1)*2+2)))</f>
        <v>1.0569138516824184</v>
      </c>
      <c r="O96" s="1016">
        <f ca="1">O$47/(INDEX($AI$10:$BJ$14,$B96,(C90-1)*2+1)*RWDI_FACTORS!$D$12*(1+$B$1*INDEX($AI$10:$BJ$14,$B96,(C90-1)*2+2)))</f>
        <v>1.0019870225514942</v>
      </c>
      <c r="P96" s="1016">
        <f ca="1">P$47/(INDEX($AI$10:$BJ$14,$B96,(C90-1)*2+1)*RWDI_FACTORS!$D$12*(1+$B$1*INDEX($AI$10:$BJ$14,$B96,(C90-1)*2+2)))</f>
        <v>0.96033794064246258</v>
      </c>
      <c r="Q96" s="1016">
        <f ca="1">Q$47/(INDEX($AI$10:$BJ$14,$B96,(C90-1)*2+1)*RWDI_FACTORS!$D$12*(1+$B$1*INDEX($AI$10:$BJ$14,$B96,(C90-1)*2+2)))</f>
        <v>0.89604820456935108</v>
      </c>
      <c r="R96" s="1016">
        <f ca="1">R$47/(INDEX($AI$10:$BJ$14,$B96,(C90-1)*2+1)*RWDI_FACTORS!$D$12*(1+$B$1*INDEX($AI$10:$BJ$14,$B96,(C90-1)*2+2)))</f>
        <v>0.92580268624057604</v>
      </c>
      <c r="S96" s="1016">
        <f ca="1">S$47/(INDEX($AI$10:$BJ$14,$B96,(C90-1)*2+1)*RWDI_FACTORS!$D$12*(1+$B$1*INDEX($AI$10:$BJ$14,$B96,(C90-1)*2+2)))</f>
        <v>0.94880022979847745</v>
      </c>
      <c r="T96" s="1016">
        <f ca="1">T$47/(INDEX($AI$10:$BJ$14,$B96,(C90-1)*2+1)*RWDI_FACTORS!$D$12*(1+$B$1*INDEX($AI$10:$BJ$14,$B96,(C90-1)*2+2)))</f>
        <v>0</v>
      </c>
      <c r="U96" s="1016">
        <f ca="1">U$47/(INDEX($AI$10:$BJ$14,$B96,(C90-1)*2+1)*RWDI_FACTORS!$D$12*(1+$B$1*INDEX($AI$10:$BJ$14,$B96,(C90-1)*2+2)))</f>
        <v>0</v>
      </c>
      <c r="V96" s="1016">
        <f ca="1">V$47/(INDEX($AI$10:$BJ$14,$B96,(C90-1)*2+1)*RWDI_FACTORS!$D$12*(1+$B$1*INDEX($AI$10:$BJ$14,$B96,(C90-1)*2+2)))</f>
        <v>0</v>
      </c>
      <c r="W96" s="1016">
        <f ca="1">W$47/(INDEX($AI$10:$BJ$14,$B96,(C90-1)*2+1)*RWDI_FACTORS!$D$12*(1+$B$1*INDEX($AI$10:$BJ$14,$B96,(C90-1)*2+2)))</f>
        <v>0</v>
      </c>
    </row>
    <row r="97" spans="1:23" x14ac:dyDescent="0.2">
      <c r="A97" s="577">
        <f>A87</f>
        <v>181</v>
      </c>
      <c r="B97" s="577">
        <v>5</v>
      </c>
      <c r="C97" s="1016">
        <f ca="1">C$48/(INDEX($AI$10:$BJ$14,$B97,(C90-1)*2+1)*RWDI_FACTORS!$D$12*(1+$B$1*INDEX($AI$10:$BJ$14,$B97,(C90-1)*2+2)))</f>
        <v>1.0640725128806097</v>
      </c>
      <c r="D97" s="1016">
        <f ca="1">D$48/(INDEX($AI$10:$BJ$14,$B97,(C90-1)*2+1)*RWDI_FACTORS!$D$12*(1+$B$1*INDEX($AI$10:$BJ$14,$B97,(C90-1)*2+2)))</f>
        <v>1.0305361181096335</v>
      </c>
      <c r="E97" s="1016">
        <f ca="1">E$48/(INDEX($AI$10:$BJ$14,$B97,(C90-1)*2+1)*RWDI_FACTORS!$D$12*(1+$B$1*INDEX($AI$10:$BJ$14,$B97,(C90-1)*2+2)))</f>
        <v>0.98197550923247889</v>
      </c>
      <c r="F97" s="1016">
        <f ca="1">F$48/(INDEX($AI$10:$BJ$14,$B97,(C90-1)*2+1)*RWDI_FACTORS!$D$12*(1+$B$1*INDEX($AI$10:$BJ$14,$B97,(C90-1)*2+2)))</f>
        <v>0.94614240237519165</v>
      </c>
      <c r="G97" s="1016">
        <f ca="1">G$48/(INDEX($AI$10:$BJ$14,$B97,(C90-1)*2+1)*RWDI_FACTORS!$D$12*(1+$B$1*INDEX($AI$10:$BJ$14,$B97,(C90-1)*2+2)))</f>
        <v>0.89273111118218207</v>
      </c>
      <c r="H97" s="1016">
        <f ca="1">H$48/(INDEX($AI$10:$BJ$14,$B97,(C90-1)*2+1)*RWDI_FACTORS!$D$12*(1+$B$1*INDEX($AI$10:$BJ$14,$B97,(C90-1)*2+2)))</f>
        <v>1.0640725128806097</v>
      </c>
      <c r="I97" s="1016">
        <f ca="1">I$48/(INDEX($AI$10:$BJ$14,$B97,(C90-1)*2+1)*RWDI_FACTORS!$D$12*(1+$B$1*INDEX($AI$10:$BJ$14,$B97,(C90-1)*2+2)))</f>
        <v>1.0305361181096335</v>
      </c>
      <c r="J97" s="1016">
        <f ca="1">J$48/(INDEX($AI$10:$BJ$14,$B97,(C90-1)*2+1)*RWDI_FACTORS!$D$12*(1+$B$1*INDEX($AI$10:$BJ$14,$B97,(C90-1)*2+2)))</f>
        <v>0.98197550923247889</v>
      </c>
      <c r="K97" s="1016">
        <f ca="1">K$48/(INDEX($AI$10:$BJ$14,$B97,(C90-1)*2+1)*RWDI_FACTORS!$D$12*(1+$B$1*INDEX($AI$10:$BJ$14,$B97,(C90-1)*2+2)))</f>
        <v>0.94614240237519165</v>
      </c>
      <c r="L97" s="1016">
        <f ca="1">L$48/(INDEX($AI$10:$BJ$14,$B97,(C90-1)*2+1)*RWDI_FACTORS!$D$12*(1+$B$1*INDEX($AI$10:$BJ$14,$B97,(C90-1)*2+2)))</f>
        <v>0.89273111118218207</v>
      </c>
      <c r="M97" s="1016">
        <f ca="1">M$48/(INDEX($AI$10:$BJ$14,$B97,(C90-1)*2+1)*RWDI_FACTORS!$D$12*(1+$B$1*INDEX($AI$10:$BJ$14,$B97,(C90-1)*2+2)))</f>
        <v>1.0640725128806097</v>
      </c>
      <c r="N97" s="1016">
        <f ca="1">N$48/(INDEX($AI$10:$BJ$14,$B97,(C90-1)*2+1)*RWDI_FACTORS!$D$12*(1+$B$1*INDEX($AI$10:$BJ$14,$B97,(C90-1)*2+2)))</f>
        <v>1.0305361181096335</v>
      </c>
      <c r="O97" s="1016">
        <f ca="1">O$48/(INDEX($AI$10:$BJ$14,$B97,(C90-1)*2+1)*RWDI_FACTORS!$D$12*(1+$B$1*INDEX($AI$10:$BJ$14,$B97,(C90-1)*2+2)))</f>
        <v>0.98197550923247889</v>
      </c>
      <c r="P97" s="1016">
        <f ca="1">P$48/(INDEX($AI$10:$BJ$14,$B97,(C90-1)*2+1)*RWDI_FACTORS!$D$12*(1+$B$1*INDEX($AI$10:$BJ$14,$B97,(C90-1)*2+2)))</f>
        <v>0.94614240237519165</v>
      </c>
      <c r="Q97" s="1016">
        <f ca="1">Q$48/(INDEX($AI$10:$BJ$14,$B97,(C90-1)*2+1)*RWDI_FACTORS!$D$12*(1+$B$1*INDEX($AI$10:$BJ$14,$B97,(C90-1)*2+2)))</f>
        <v>0.89273111118218207</v>
      </c>
      <c r="R97" s="1016">
        <f ca="1">R$48/(INDEX($AI$10:$BJ$14,$B97,(C90-1)*2+1)*RWDI_FACTORS!$D$12*(1+$B$1*INDEX($AI$10:$BJ$14,$B97,(C90-1)*2+2)))</f>
        <v>0.91717492005130952</v>
      </c>
      <c r="S97" s="1016">
        <f ca="1">S$48/(INDEX($AI$10:$BJ$14,$B97,(C90-1)*2+1)*RWDI_FACTORS!$D$12*(1+$B$1*INDEX($AI$10:$BJ$14,$B97,(C90-1)*2+2)))</f>
        <v>0.93628660538086417</v>
      </c>
      <c r="T97" s="1016">
        <f ca="1">T$48/(INDEX($AI$10:$BJ$14,$B97,(C90-1)*2+1)*RWDI_FACTORS!$D$12*(1+$B$1*INDEX($AI$10:$BJ$14,$B97,(C90-1)*2+2)))</f>
        <v>0</v>
      </c>
      <c r="U97" s="1016">
        <f ca="1">U$48/(INDEX($AI$10:$BJ$14,$B97,(C90-1)*2+1)*RWDI_FACTORS!$D$12*(1+$B$1*INDEX($AI$10:$BJ$14,$B97,(C90-1)*2+2)))</f>
        <v>0</v>
      </c>
      <c r="V97" s="1016">
        <f ca="1">V$48/(INDEX($AI$10:$BJ$14,$B97,(C90-1)*2+1)*RWDI_FACTORS!$D$12*(1+$B$1*INDEX($AI$10:$BJ$14,$B97,(C90-1)*2+2)))</f>
        <v>0</v>
      </c>
      <c r="W97" s="1016">
        <f ca="1">W$48/(INDEX($AI$10:$BJ$14,$B97,(C90-1)*2+1)*RWDI_FACTORS!$D$12*(1+$B$1*INDEX($AI$10:$BJ$14,$B97,(C90-1)*2+2)))</f>
        <v>0</v>
      </c>
    </row>
    <row r="98" spans="1:23" x14ac:dyDescent="0.2">
      <c r="B98" s="1019" t="s">
        <v>609</v>
      </c>
      <c r="C98" s="1011">
        <f t="shared" ref="C98:W98" ca="1" si="17">AVERAGE(C93:C97)</f>
        <v>1.1255121021108672</v>
      </c>
      <c r="D98" s="1011">
        <f t="shared" ca="1" si="17"/>
        <v>1.0813472744527308</v>
      </c>
      <c r="E98" s="1011">
        <f t="shared" ca="1" si="17"/>
        <v>1.0171620890884854</v>
      </c>
      <c r="F98" s="1011">
        <f t="shared" ca="1" si="17"/>
        <v>0.9676855844786505</v>
      </c>
      <c r="G98" s="1011">
        <f t="shared" ca="1" si="17"/>
        <v>0.88518560697460058</v>
      </c>
      <c r="H98" s="1011">
        <f t="shared" ca="1" si="17"/>
        <v>1.1255121021108672</v>
      </c>
      <c r="I98" s="1011">
        <f t="shared" ca="1" si="17"/>
        <v>1.0813472744527308</v>
      </c>
      <c r="J98" s="1011">
        <f t="shared" ca="1" si="17"/>
        <v>1.0171620890884854</v>
      </c>
      <c r="K98" s="1011">
        <f t="shared" ca="1" si="17"/>
        <v>0.9676855844786505</v>
      </c>
      <c r="L98" s="1011">
        <f t="shared" ca="1" si="17"/>
        <v>0.88518560697460058</v>
      </c>
      <c r="M98" s="1011">
        <f t="shared" ca="1" si="17"/>
        <v>1.1255121021108672</v>
      </c>
      <c r="N98" s="1011">
        <f t="shared" ca="1" si="17"/>
        <v>1.0813472744527308</v>
      </c>
      <c r="O98" s="1011">
        <f t="shared" ca="1" si="17"/>
        <v>1.0171620890884854</v>
      </c>
      <c r="P98" s="1011">
        <f t="shared" ca="1" si="17"/>
        <v>0.9676855844786505</v>
      </c>
      <c r="Q98" s="1011">
        <f t="shared" ca="1" si="17"/>
        <v>0.88518560697460058</v>
      </c>
      <c r="R98" s="1011">
        <f t="shared" ca="1" si="17"/>
        <v>0.92224839867368047</v>
      </c>
      <c r="S98" s="1011">
        <f t="shared" ca="1" si="17"/>
        <v>0.9538903086693894</v>
      </c>
      <c r="T98" s="1011">
        <f t="shared" ca="1" si="17"/>
        <v>0</v>
      </c>
      <c r="U98" s="1011">
        <f t="shared" ca="1" si="17"/>
        <v>0</v>
      </c>
      <c r="V98" s="1011">
        <f t="shared" ca="1" si="17"/>
        <v>0</v>
      </c>
      <c r="W98" s="1011">
        <f t="shared" ca="1" si="17"/>
        <v>0</v>
      </c>
    </row>
    <row r="99" spans="1:23" x14ac:dyDescent="0.2">
      <c r="B99" s="1019" t="s">
        <v>610</v>
      </c>
      <c r="C99" s="1011">
        <f t="shared" ref="C99:W99" ca="1" si="18">STDEV(C93:C97)/C98*100</f>
        <v>4.9333442340702129</v>
      </c>
      <c r="D99" s="1011">
        <f t="shared" ca="1" si="18"/>
        <v>4.1681824291227105</v>
      </c>
      <c r="E99" s="1011">
        <f t="shared" ca="1" si="18"/>
        <v>2.9416216025599171</v>
      </c>
      <c r="F99" s="1011">
        <f t="shared" ca="1" si="18"/>
        <v>1.7694972630868993</v>
      </c>
      <c r="G99" s="1011">
        <f t="shared" ca="1" si="18"/>
        <v>1.7081776569066474</v>
      </c>
      <c r="H99" s="1011">
        <f t="shared" ca="1" si="18"/>
        <v>4.9333442340702129</v>
      </c>
      <c r="I99" s="1011">
        <f t="shared" ca="1" si="18"/>
        <v>4.1681824291227105</v>
      </c>
      <c r="J99" s="1011">
        <f t="shared" ca="1" si="18"/>
        <v>2.9416216025599171</v>
      </c>
      <c r="K99" s="1011">
        <f t="shared" ca="1" si="18"/>
        <v>1.7694972630868993</v>
      </c>
      <c r="L99" s="1011">
        <f t="shared" ca="1" si="18"/>
        <v>1.7081776569066474</v>
      </c>
      <c r="M99" s="1011">
        <f t="shared" ca="1" si="18"/>
        <v>4.9333442340702129</v>
      </c>
      <c r="N99" s="1011">
        <f t="shared" ca="1" si="18"/>
        <v>4.1681824291227105</v>
      </c>
      <c r="O99" s="1011">
        <f t="shared" ca="1" si="18"/>
        <v>2.9416216025599171</v>
      </c>
      <c r="P99" s="1011">
        <f t="shared" ca="1" si="18"/>
        <v>1.7694972630868993</v>
      </c>
      <c r="Q99" s="1011">
        <f t="shared" ca="1" si="18"/>
        <v>1.7081776569066474</v>
      </c>
      <c r="R99" s="1011">
        <f t="shared" ca="1" si="18"/>
        <v>0.58082752394712078</v>
      </c>
      <c r="S99" s="1011">
        <f t="shared" ca="1" si="18"/>
        <v>1.3704270901633948</v>
      </c>
      <c r="T99" s="1011" t="e">
        <f t="shared" ca="1" si="18"/>
        <v>#DIV/0!</v>
      </c>
      <c r="U99" s="1011" t="e">
        <f t="shared" ca="1" si="18"/>
        <v>#DIV/0!</v>
      </c>
      <c r="V99" s="1011" t="e">
        <f t="shared" ca="1" si="18"/>
        <v>#DIV/0!</v>
      </c>
      <c r="W99" s="1011" t="e">
        <f t="shared" ca="1" si="18"/>
        <v>#DIV/0!</v>
      </c>
    </row>
    <row r="100" spans="1:23" x14ac:dyDescent="0.2">
      <c r="A100" s="1017" t="str">
        <f ca="1">INDEX($AI$7:$BJ$7,1,(C100-1)*2+1)</f>
        <v>Urban A24LE</v>
      </c>
      <c r="B100" s="1018"/>
      <c r="C100" s="577">
        <f>C90+1</f>
        <v>6</v>
      </c>
    </row>
    <row r="102" spans="1:23" x14ac:dyDescent="0.2">
      <c r="C102" s="577" t="s">
        <v>203</v>
      </c>
      <c r="D102" s="577" t="s">
        <v>204</v>
      </c>
      <c r="E102" s="577" t="s">
        <v>205</v>
      </c>
      <c r="F102" s="577" t="s">
        <v>206</v>
      </c>
      <c r="G102" s="577" t="s">
        <v>207</v>
      </c>
      <c r="H102" s="577" t="s">
        <v>266</v>
      </c>
      <c r="I102" s="577" t="s">
        <v>267</v>
      </c>
      <c r="J102" s="577" t="s">
        <v>268</v>
      </c>
      <c r="K102" s="577" t="s">
        <v>269</v>
      </c>
      <c r="L102" s="577" t="s">
        <v>270</v>
      </c>
      <c r="M102" s="577" t="s">
        <v>271</v>
      </c>
      <c r="N102" s="577" t="s">
        <v>272</v>
      </c>
      <c r="O102" s="577" t="s">
        <v>273</v>
      </c>
      <c r="P102" s="577" t="s">
        <v>274</v>
      </c>
      <c r="Q102" s="577" t="s">
        <v>275</v>
      </c>
      <c r="R102" s="577" t="s">
        <v>276</v>
      </c>
      <c r="S102" s="577" t="s">
        <v>277</v>
      </c>
      <c r="T102" s="577" t="s">
        <v>278</v>
      </c>
      <c r="U102" s="577" t="s">
        <v>279</v>
      </c>
      <c r="V102" s="577" t="s">
        <v>280</v>
      </c>
      <c r="W102" s="577" t="s">
        <v>297</v>
      </c>
    </row>
    <row r="103" spans="1:23" x14ac:dyDescent="0.2">
      <c r="A103" s="577">
        <f>A93</f>
        <v>54.3</v>
      </c>
      <c r="B103" s="577">
        <v>1</v>
      </c>
      <c r="C103" s="1016">
        <f ca="1">C$44/(INDEX($AI$10:$BJ$14,$B103,(C100-1)*2+1)*RWDI_FACTORS!$D$12*(1+$B$1*INDEX($AI$10:$BJ$14,$B103,(C100-1)*2+2)))</f>
        <v>1.2786858231789251</v>
      </c>
      <c r="D103" s="1016">
        <f ca="1">D$44/(INDEX($AI$10:$BJ$14,$B103,(C100-1)*2+1)*RWDI_FACTORS!$D$12*(1+$B$1*INDEX($AI$10:$BJ$14,$B103,(C100-1)*2+2)))</f>
        <v>1.2147016355250688</v>
      </c>
      <c r="E103" s="1016">
        <f ca="1">E$44/(INDEX($AI$10:$BJ$14,$B103,(C100-1)*2+1)*RWDI_FACTORS!$D$12*(1+$B$1*INDEX($AI$10:$BJ$14,$B103,(C100-1)*2+2)))</f>
        <v>1.1218034192664523</v>
      </c>
      <c r="F103" s="1016">
        <f ca="1">F$44/(INDEX($AI$10:$BJ$14,$B103,(C100-1)*2+1)*RWDI_FACTORS!$D$12*(1+$B$1*INDEX($AI$10:$BJ$14,$B103,(C100-1)*2+2)))</f>
        <v>1.0482719758145527</v>
      </c>
      <c r="G103" s="1016">
        <f ca="1">G$44/(INDEX($AI$10:$BJ$14,$B103,(C100-1)*2+1)*RWDI_FACTORS!$D$12*(1+$B$1*INDEX($AI$10:$BJ$14,$B103,(C100-1)*2+2)))</f>
        <v>0.9086451758728169</v>
      </c>
      <c r="H103" s="1016">
        <f ca="1">H$44/(INDEX($AI$10:$BJ$14,$B103,(C100-1)*2+1)*RWDI_FACTORS!$D$12*(1+$B$1*INDEX($AI$10:$BJ$14,$B103,(C100-1)*2+2)))</f>
        <v>1.2786858231789251</v>
      </c>
      <c r="I103" s="1016">
        <f ca="1">I$44/(INDEX($AI$10:$BJ$14,$B103,(C100-1)*2+1)*RWDI_FACTORS!$D$12*(1+$B$1*INDEX($AI$10:$BJ$14,$B103,(C100-1)*2+2)))</f>
        <v>1.2147016355250688</v>
      </c>
      <c r="J103" s="1016">
        <f ca="1">J$44/(INDEX($AI$10:$BJ$14,$B103,(C100-1)*2+1)*RWDI_FACTORS!$D$12*(1+$B$1*INDEX($AI$10:$BJ$14,$B103,(C100-1)*2+2)))</f>
        <v>1.1218034192664523</v>
      </c>
      <c r="K103" s="1016">
        <f ca="1">K$44/(INDEX($AI$10:$BJ$14,$B103,(C100-1)*2+1)*RWDI_FACTORS!$D$12*(1+$B$1*INDEX($AI$10:$BJ$14,$B103,(C100-1)*2+2)))</f>
        <v>1.0482719758145527</v>
      </c>
      <c r="L103" s="1016">
        <f ca="1">L$44/(INDEX($AI$10:$BJ$14,$B103,(C100-1)*2+1)*RWDI_FACTORS!$D$12*(1+$B$1*INDEX($AI$10:$BJ$14,$B103,(C100-1)*2+2)))</f>
        <v>0.9086451758728169</v>
      </c>
      <c r="M103" s="1016">
        <f ca="1">M$44/(INDEX($AI$10:$BJ$14,$B103,(C100-1)*2+1)*RWDI_FACTORS!$D$12*(1+$B$1*INDEX($AI$10:$BJ$14,$B103,(C100-1)*2+2)))</f>
        <v>1.2786858231789251</v>
      </c>
      <c r="N103" s="1016">
        <f ca="1">N$44/(INDEX($AI$10:$BJ$14,$B103,(C100-1)*2+1)*RWDI_FACTORS!$D$12*(1+$B$1*INDEX($AI$10:$BJ$14,$B103,(C100-1)*2+2)))</f>
        <v>1.2147016355250688</v>
      </c>
      <c r="O103" s="1016">
        <f ca="1">O$44/(INDEX($AI$10:$BJ$14,$B103,(C100-1)*2+1)*RWDI_FACTORS!$D$12*(1+$B$1*INDEX($AI$10:$BJ$14,$B103,(C100-1)*2+2)))</f>
        <v>1.1218034192664523</v>
      </c>
      <c r="P103" s="1016">
        <f ca="1">P$44/(INDEX($AI$10:$BJ$14,$B103,(C100-1)*2+1)*RWDI_FACTORS!$D$12*(1+$B$1*INDEX($AI$10:$BJ$14,$B103,(C100-1)*2+2)))</f>
        <v>1.0482719758145527</v>
      </c>
      <c r="Q103" s="1016">
        <f ca="1">Q$44/(INDEX($AI$10:$BJ$14,$B103,(C100-1)*2+1)*RWDI_FACTORS!$D$12*(1+$B$1*INDEX($AI$10:$BJ$14,$B103,(C100-1)*2+2)))</f>
        <v>0.9086451758728169</v>
      </c>
      <c r="R103" s="1016">
        <f ca="1">R$44/(INDEX($AI$10:$BJ$14,$B103,(C100-1)*2+1)*RWDI_FACTORS!$D$12*(1+$B$1*INDEX($AI$10:$BJ$14,$B103,(C100-1)*2+2)))</f>
        <v>0.97054950267991325</v>
      </c>
      <c r="S103" s="1016">
        <f ca="1">S$44/(INDEX($AI$10:$BJ$14,$B103,(C100-1)*2+1)*RWDI_FACTORS!$D$12*(1+$B$1*INDEX($AI$10:$BJ$14,$B103,(C100-1)*2+2)))</f>
        <v>1.0261777392564166</v>
      </c>
      <c r="T103" s="1016">
        <f ca="1">T$44/(INDEX($AI$10:$BJ$14,$B103,(C100-1)*2+1)*RWDI_FACTORS!$D$12*(1+$B$1*INDEX($AI$10:$BJ$14,$B103,(C100-1)*2+2)))</f>
        <v>0</v>
      </c>
      <c r="U103" s="1016">
        <f ca="1">U$44/(INDEX($AI$10:$BJ$14,$B103,(C100-1)*2+1)*RWDI_FACTORS!$D$12*(1+$B$1*INDEX($AI$10:$BJ$14,$B103,(C100-1)*2+2)))</f>
        <v>0</v>
      </c>
      <c r="V103" s="1016">
        <f ca="1">V$44/(INDEX($AI$10:$BJ$14,$B103,(C100-1)*2+1)*RWDI_FACTORS!$D$12*(1+$B$1*INDEX($AI$10:$BJ$14,$B103,(C100-1)*2+2)))</f>
        <v>0</v>
      </c>
      <c r="W103" s="1016">
        <f ca="1">W$44/(INDEX($AI$10:$BJ$14,$B103,(C100-1)*2+1)*RWDI_FACTORS!$D$12*(1+$B$1*INDEX($AI$10:$BJ$14,$B103,(C100-1)*2+2)))</f>
        <v>0</v>
      </c>
    </row>
    <row r="104" spans="1:23" x14ac:dyDescent="0.2">
      <c r="A104" s="577">
        <f>A94</f>
        <v>90.5</v>
      </c>
      <c r="B104" s="577">
        <v>2</v>
      </c>
      <c r="C104" s="1016">
        <f ca="1">C$45/(INDEX($AI$10:$BJ$14,$B104,(C100-1)*2+1)*RWDI_FACTORS!$D$12*(1+$B$1*INDEX($AI$10:$BJ$14,$B104,(C100-1)*2+2)))</f>
        <v>1.1827813850422926</v>
      </c>
      <c r="D104" s="1016">
        <f ca="1">D$45/(INDEX($AI$10:$BJ$14,$B104,(C100-1)*2+1)*RWDI_FACTORS!$D$12*(1+$B$1*INDEX($AI$10:$BJ$14,$B104,(C100-1)*2+2)))</f>
        <v>1.1336156006660454</v>
      </c>
      <c r="E104" s="1016">
        <f ca="1">E$45/(INDEX($AI$10:$BJ$14,$B104,(C100-1)*2+1)*RWDI_FACTORS!$D$12*(1+$B$1*INDEX($AI$10:$BJ$14,$B104,(C100-1)*2+2)))</f>
        <v>1.0620149919132527</v>
      </c>
      <c r="F104" s="1016">
        <f ca="1">F$45/(INDEX($AI$10:$BJ$14,$B104,(C100-1)*2+1)*RWDI_FACTORS!$D$12*(1+$B$1*INDEX($AI$10:$BJ$14,$B104,(C100-1)*2+2)))</f>
        <v>1.006339822690369</v>
      </c>
      <c r="G104" s="1016">
        <f ca="1">G$45/(INDEX($AI$10:$BJ$14,$B104,(C100-1)*2+1)*RWDI_FACTORS!$D$12*(1+$B$1*INDEX($AI$10:$BJ$14,$B104,(C100-1)*2+2)))</f>
        <v>0.91408392637890867</v>
      </c>
      <c r="H104" s="1016">
        <f ca="1">H$45/(INDEX($AI$10:$BJ$14,$B104,(C100-1)*2+1)*RWDI_FACTORS!$D$12*(1+$B$1*INDEX($AI$10:$BJ$14,$B104,(C100-1)*2+2)))</f>
        <v>1.1827813850422926</v>
      </c>
      <c r="I104" s="1016">
        <f ca="1">I$45/(INDEX($AI$10:$BJ$14,$B104,(C100-1)*2+1)*RWDI_FACTORS!$D$12*(1+$B$1*INDEX($AI$10:$BJ$14,$B104,(C100-1)*2+2)))</f>
        <v>1.1336156006660454</v>
      </c>
      <c r="J104" s="1016">
        <f ca="1">J$45/(INDEX($AI$10:$BJ$14,$B104,(C100-1)*2+1)*RWDI_FACTORS!$D$12*(1+$B$1*INDEX($AI$10:$BJ$14,$B104,(C100-1)*2+2)))</f>
        <v>1.0620149919132527</v>
      </c>
      <c r="K104" s="1016">
        <f ca="1">K$45/(INDEX($AI$10:$BJ$14,$B104,(C100-1)*2+1)*RWDI_FACTORS!$D$12*(1+$B$1*INDEX($AI$10:$BJ$14,$B104,(C100-1)*2+2)))</f>
        <v>1.006339822690369</v>
      </c>
      <c r="L104" s="1016">
        <f ca="1">L$45/(INDEX($AI$10:$BJ$14,$B104,(C100-1)*2+1)*RWDI_FACTORS!$D$12*(1+$B$1*INDEX($AI$10:$BJ$14,$B104,(C100-1)*2+2)))</f>
        <v>0.91408392637890867</v>
      </c>
      <c r="M104" s="1016">
        <f ca="1">M$45/(INDEX($AI$10:$BJ$14,$B104,(C100-1)*2+1)*RWDI_FACTORS!$D$12*(1+$B$1*INDEX($AI$10:$BJ$14,$B104,(C100-1)*2+2)))</f>
        <v>1.1827813850422926</v>
      </c>
      <c r="N104" s="1016">
        <f ca="1">N$45/(INDEX($AI$10:$BJ$14,$B104,(C100-1)*2+1)*RWDI_FACTORS!$D$12*(1+$B$1*INDEX($AI$10:$BJ$14,$B104,(C100-1)*2+2)))</f>
        <v>1.1336156006660454</v>
      </c>
      <c r="O104" s="1016">
        <f ca="1">O$45/(INDEX($AI$10:$BJ$14,$B104,(C100-1)*2+1)*RWDI_FACTORS!$D$12*(1+$B$1*INDEX($AI$10:$BJ$14,$B104,(C100-1)*2+2)))</f>
        <v>1.0620149919132527</v>
      </c>
      <c r="P104" s="1016">
        <f ca="1">P$45/(INDEX($AI$10:$BJ$14,$B104,(C100-1)*2+1)*RWDI_FACTORS!$D$12*(1+$B$1*INDEX($AI$10:$BJ$14,$B104,(C100-1)*2+2)))</f>
        <v>1.006339822690369</v>
      </c>
      <c r="Q104" s="1016">
        <f ca="1">Q$45/(INDEX($AI$10:$BJ$14,$B104,(C100-1)*2+1)*RWDI_FACTORS!$D$12*(1+$B$1*INDEX($AI$10:$BJ$14,$B104,(C100-1)*2+2)))</f>
        <v>0.91408392637890867</v>
      </c>
      <c r="R104" s="1016">
        <f ca="1">R$45/(INDEX($AI$10:$BJ$14,$B104,(C100-1)*2+1)*RWDI_FACTORS!$D$12*(1+$B$1*INDEX($AI$10:$BJ$14,$B104,(C100-1)*2+2)))</f>
        <v>0.95442614168390683</v>
      </c>
      <c r="S104" s="1016">
        <f ca="1">S$45/(INDEX($AI$10:$BJ$14,$B104,(C100-1)*2+1)*RWDI_FACTORS!$D$12*(1+$B$1*INDEX($AI$10:$BJ$14,$B104,(C100-1)*2+2)))</f>
        <v>0.99189343725155243</v>
      </c>
      <c r="T104" s="1016">
        <f ca="1">T$45/(INDEX($AI$10:$BJ$14,$B104,(C100-1)*2+1)*RWDI_FACTORS!$D$12*(1+$B$1*INDEX($AI$10:$BJ$14,$B104,(C100-1)*2+2)))</f>
        <v>0</v>
      </c>
      <c r="U104" s="1016">
        <f ca="1">U$45/(INDEX($AI$10:$BJ$14,$B104,(C100-1)*2+1)*RWDI_FACTORS!$D$12*(1+$B$1*INDEX($AI$10:$BJ$14,$B104,(C100-1)*2+2)))</f>
        <v>0</v>
      </c>
      <c r="V104" s="1016">
        <f ca="1">V$45/(INDEX($AI$10:$BJ$14,$B104,(C100-1)*2+1)*RWDI_FACTORS!$D$12*(1+$B$1*INDEX($AI$10:$BJ$14,$B104,(C100-1)*2+2)))</f>
        <v>0</v>
      </c>
      <c r="W104" s="1016">
        <f ca="1">W$45/(INDEX($AI$10:$BJ$14,$B104,(C100-1)*2+1)*RWDI_FACTORS!$D$12*(1+$B$1*INDEX($AI$10:$BJ$14,$B104,(C100-1)*2+2)))</f>
        <v>0</v>
      </c>
    </row>
    <row r="105" spans="1:23" x14ac:dyDescent="0.2">
      <c r="A105" s="577">
        <f>A95</f>
        <v>120.7</v>
      </c>
      <c r="B105" s="577">
        <v>3</v>
      </c>
      <c r="C105" s="1016">
        <f ca="1">C$46/(INDEX($AI$10:$BJ$14,$B105,(C100-1)*2+1)*RWDI_FACTORS!$D$12*(1+$B$1*INDEX($AI$10:$BJ$14,$B105,(C100-1)*2+2)))</f>
        <v>1.1432963888893619</v>
      </c>
      <c r="D105" s="1016">
        <f ca="1">D$46/(INDEX($AI$10:$BJ$14,$B105,(C100-1)*2+1)*RWDI_FACTORS!$D$12*(1+$B$1*INDEX($AI$10:$BJ$14,$B105,(C100-1)*2+2)))</f>
        <v>1.1008313586918266</v>
      </c>
      <c r="E105" s="1016">
        <f ca="1">E$46/(INDEX($AI$10:$BJ$14,$B105,(C100-1)*2+1)*RWDI_FACTORS!$D$12*(1+$B$1*INDEX($AI$10:$BJ$14,$B105,(C100-1)*2+2)))</f>
        <v>1.0390053259625904</v>
      </c>
      <c r="F105" s="1016">
        <f ca="1">F$46/(INDEX($AI$10:$BJ$14,$B105,(C100-1)*2+1)*RWDI_FACTORS!$D$12*(1+$B$1*INDEX($AI$10:$BJ$14,$B105,(C100-1)*2+2)))</f>
        <v>0.99134251302468301</v>
      </c>
      <c r="G105" s="1016">
        <f ca="1">G$46/(INDEX($AI$10:$BJ$14,$B105,(C100-1)*2+1)*RWDI_FACTORS!$D$12*(1+$B$1*INDEX($AI$10:$BJ$14,$B105,(C100-1)*2+2)))</f>
        <v>0.91602228443222689</v>
      </c>
      <c r="H105" s="1016">
        <f ca="1">H$46/(INDEX($AI$10:$BJ$14,$B105,(C100-1)*2+1)*RWDI_FACTORS!$D$12*(1+$B$1*INDEX($AI$10:$BJ$14,$B105,(C100-1)*2+2)))</f>
        <v>1.1432963888893619</v>
      </c>
      <c r="I105" s="1016">
        <f ca="1">I$46/(INDEX($AI$10:$BJ$14,$B105,(C100-1)*2+1)*RWDI_FACTORS!$D$12*(1+$B$1*INDEX($AI$10:$BJ$14,$B105,(C100-1)*2+2)))</f>
        <v>1.1008313586918266</v>
      </c>
      <c r="J105" s="1016">
        <f ca="1">J$46/(INDEX($AI$10:$BJ$14,$B105,(C100-1)*2+1)*RWDI_FACTORS!$D$12*(1+$B$1*INDEX($AI$10:$BJ$14,$B105,(C100-1)*2+2)))</f>
        <v>1.0390053259625904</v>
      </c>
      <c r="K105" s="1016">
        <f ca="1">K$46/(INDEX($AI$10:$BJ$14,$B105,(C100-1)*2+1)*RWDI_FACTORS!$D$12*(1+$B$1*INDEX($AI$10:$BJ$14,$B105,(C100-1)*2+2)))</f>
        <v>0.99134251302468301</v>
      </c>
      <c r="L105" s="1016">
        <f ca="1">L$46/(INDEX($AI$10:$BJ$14,$B105,(C100-1)*2+1)*RWDI_FACTORS!$D$12*(1+$B$1*INDEX($AI$10:$BJ$14,$B105,(C100-1)*2+2)))</f>
        <v>0.91602228443222689</v>
      </c>
      <c r="M105" s="1016">
        <f ca="1">M$46/(INDEX($AI$10:$BJ$14,$B105,(C100-1)*2+1)*RWDI_FACTORS!$D$12*(1+$B$1*INDEX($AI$10:$BJ$14,$B105,(C100-1)*2+2)))</f>
        <v>1.1432963888893619</v>
      </c>
      <c r="N105" s="1016">
        <f ca="1">N$46/(INDEX($AI$10:$BJ$14,$B105,(C100-1)*2+1)*RWDI_FACTORS!$D$12*(1+$B$1*INDEX($AI$10:$BJ$14,$B105,(C100-1)*2+2)))</f>
        <v>1.1008313586918266</v>
      </c>
      <c r="O105" s="1016">
        <f ca="1">O$46/(INDEX($AI$10:$BJ$14,$B105,(C100-1)*2+1)*RWDI_FACTORS!$D$12*(1+$B$1*INDEX($AI$10:$BJ$14,$B105,(C100-1)*2+2)))</f>
        <v>1.0390053259625904</v>
      </c>
      <c r="P105" s="1016">
        <f ca="1">P$46/(INDEX($AI$10:$BJ$14,$B105,(C100-1)*2+1)*RWDI_FACTORS!$D$12*(1+$B$1*INDEX($AI$10:$BJ$14,$B105,(C100-1)*2+2)))</f>
        <v>0.99134251302468301</v>
      </c>
      <c r="Q105" s="1016">
        <f ca="1">Q$46/(INDEX($AI$10:$BJ$14,$B105,(C100-1)*2+1)*RWDI_FACTORS!$D$12*(1+$B$1*INDEX($AI$10:$BJ$14,$B105,(C100-1)*2+2)))</f>
        <v>0.91602228443222689</v>
      </c>
      <c r="R105" s="1016">
        <f ca="1">R$46/(INDEX($AI$10:$BJ$14,$B105,(C100-1)*2+1)*RWDI_FACTORS!$D$12*(1+$B$1*INDEX($AI$10:$BJ$14,$B105,(C100-1)*2+2)))</f>
        <v>0.95039106100458348</v>
      </c>
      <c r="S105" s="1016">
        <f ca="1">S$46/(INDEX($AI$10:$BJ$14,$B105,(C100-1)*2+1)*RWDI_FACTORS!$D$12*(1+$B$1*INDEX($AI$10:$BJ$14,$B105,(C100-1)*2+2)))</f>
        <v>0.97831924747175747</v>
      </c>
      <c r="T105" s="1016">
        <f ca="1">T$46/(INDEX($AI$10:$BJ$14,$B105,(C100-1)*2+1)*RWDI_FACTORS!$D$12*(1+$B$1*INDEX($AI$10:$BJ$14,$B105,(C100-1)*2+2)))</f>
        <v>0</v>
      </c>
      <c r="U105" s="1016">
        <f ca="1">U$46/(INDEX($AI$10:$BJ$14,$B105,(C100-1)*2+1)*RWDI_FACTORS!$D$12*(1+$B$1*INDEX($AI$10:$BJ$14,$B105,(C100-1)*2+2)))</f>
        <v>0</v>
      </c>
      <c r="V105" s="1016">
        <f ca="1">V$46/(INDEX($AI$10:$BJ$14,$B105,(C100-1)*2+1)*RWDI_FACTORS!$D$12*(1+$B$1*INDEX($AI$10:$BJ$14,$B105,(C100-1)*2+2)))</f>
        <v>0</v>
      </c>
      <c r="W105" s="1016">
        <f ca="1">W$46/(INDEX($AI$10:$BJ$14,$B105,(C100-1)*2+1)*RWDI_FACTORS!$D$12*(1+$B$1*INDEX($AI$10:$BJ$14,$B105,(C100-1)*2+2)))</f>
        <v>0</v>
      </c>
    </row>
    <row r="106" spans="1:23" x14ac:dyDescent="0.2">
      <c r="A106" s="577">
        <f>A96</f>
        <v>144.80000000000001</v>
      </c>
      <c r="B106" s="577">
        <v>4</v>
      </c>
      <c r="C106" s="1016">
        <f ca="1">C$47/(INDEX($AI$10:$BJ$14,$B106,(C100-1)*2+1)*RWDI_FACTORS!$D$12*(1+$B$1*INDEX($AI$10:$BJ$14,$B106,(C100-1)*2+2)))</f>
        <v>1.1197148152908625</v>
      </c>
      <c r="D106" s="1016">
        <f ca="1">D$47/(INDEX($AI$10:$BJ$14,$B106,(C100-1)*2+1)*RWDI_FACTORS!$D$12*(1+$B$1*INDEX($AI$10:$BJ$14,$B106,(C100-1)*2+2)))</f>
        <v>1.081066194939847</v>
      </c>
      <c r="E106" s="1016">
        <f ca="1">E$47/(INDEX($AI$10:$BJ$14,$B106,(C100-1)*2+1)*RWDI_FACTORS!$D$12*(1+$B$1*INDEX($AI$10:$BJ$14,$B106,(C100-1)*2+2)))</f>
        <v>1.0248841910100492</v>
      </c>
      <c r="F106" s="1016">
        <f ca="1">F$47/(INDEX($AI$10:$BJ$14,$B106,(C100-1)*2+1)*RWDI_FACTORS!$D$12*(1+$B$1*INDEX($AI$10:$BJ$14,$B106,(C100-1)*2+2)))</f>
        <v>0.98228335421482471</v>
      </c>
      <c r="G106" s="1016">
        <f ca="1">G$47/(INDEX($AI$10:$BJ$14,$B106,(C100-1)*2+1)*RWDI_FACTORS!$D$12*(1+$B$1*INDEX($AI$10:$BJ$14,$B106,(C100-1)*2+2)))</f>
        <v>0.91652448442651435</v>
      </c>
      <c r="H106" s="1016">
        <f ca="1">H$47/(INDEX($AI$10:$BJ$14,$B106,(C100-1)*2+1)*RWDI_FACTORS!$D$12*(1+$B$1*INDEX($AI$10:$BJ$14,$B106,(C100-1)*2+2)))</f>
        <v>1.1197148152908625</v>
      </c>
      <c r="I106" s="1016">
        <f ca="1">I$47/(INDEX($AI$10:$BJ$14,$B106,(C100-1)*2+1)*RWDI_FACTORS!$D$12*(1+$B$1*INDEX($AI$10:$BJ$14,$B106,(C100-1)*2+2)))</f>
        <v>1.081066194939847</v>
      </c>
      <c r="J106" s="1016">
        <f ca="1">J$47/(INDEX($AI$10:$BJ$14,$B106,(C100-1)*2+1)*RWDI_FACTORS!$D$12*(1+$B$1*INDEX($AI$10:$BJ$14,$B106,(C100-1)*2+2)))</f>
        <v>1.0248841910100492</v>
      </c>
      <c r="K106" s="1016">
        <f ca="1">K$47/(INDEX($AI$10:$BJ$14,$B106,(C100-1)*2+1)*RWDI_FACTORS!$D$12*(1+$B$1*INDEX($AI$10:$BJ$14,$B106,(C100-1)*2+2)))</f>
        <v>0.98228335421482471</v>
      </c>
      <c r="L106" s="1016">
        <f ca="1">L$47/(INDEX($AI$10:$BJ$14,$B106,(C100-1)*2+1)*RWDI_FACTORS!$D$12*(1+$B$1*INDEX($AI$10:$BJ$14,$B106,(C100-1)*2+2)))</f>
        <v>0.91652448442651435</v>
      </c>
      <c r="M106" s="1016">
        <f ca="1">M$47/(INDEX($AI$10:$BJ$14,$B106,(C100-1)*2+1)*RWDI_FACTORS!$D$12*(1+$B$1*INDEX($AI$10:$BJ$14,$B106,(C100-1)*2+2)))</f>
        <v>1.1197148152908625</v>
      </c>
      <c r="N106" s="1016">
        <f ca="1">N$47/(INDEX($AI$10:$BJ$14,$B106,(C100-1)*2+1)*RWDI_FACTORS!$D$12*(1+$B$1*INDEX($AI$10:$BJ$14,$B106,(C100-1)*2+2)))</f>
        <v>1.081066194939847</v>
      </c>
      <c r="O106" s="1016">
        <f ca="1">O$47/(INDEX($AI$10:$BJ$14,$B106,(C100-1)*2+1)*RWDI_FACTORS!$D$12*(1+$B$1*INDEX($AI$10:$BJ$14,$B106,(C100-1)*2+2)))</f>
        <v>1.0248841910100492</v>
      </c>
      <c r="P106" s="1016">
        <f ca="1">P$47/(INDEX($AI$10:$BJ$14,$B106,(C100-1)*2+1)*RWDI_FACTORS!$D$12*(1+$B$1*INDEX($AI$10:$BJ$14,$B106,(C100-1)*2+2)))</f>
        <v>0.98228335421482471</v>
      </c>
      <c r="Q106" s="1016">
        <f ca="1">Q$47/(INDEX($AI$10:$BJ$14,$B106,(C100-1)*2+1)*RWDI_FACTORS!$D$12*(1+$B$1*INDEX($AI$10:$BJ$14,$B106,(C100-1)*2+2)))</f>
        <v>0.91652448442651435</v>
      </c>
      <c r="R106" s="1016">
        <f ca="1">R$47/(INDEX($AI$10:$BJ$14,$B106,(C100-1)*2+1)*RWDI_FACTORS!$D$12*(1+$B$1*INDEX($AI$10:$BJ$14,$B106,(C100-1)*2+2)))</f>
        <v>0.94695890841624175</v>
      </c>
      <c r="S106" s="1016">
        <f ca="1">S$47/(INDEX($AI$10:$BJ$14,$B106,(C100-1)*2+1)*RWDI_FACTORS!$D$12*(1+$B$1*INDEX($AI$10:$BJ$14,$B106,(C100-1)*2+2)))</f>
        <v>0.97048198635445604</v>
      </c>
      <c r="T106" s="1016">
        <f ca="1">T$47/(INDEX($AI$10:$BJ$14,$B106,(C100-1)*2+1)*RWDI_FACTORS!$D$12*(1+$B$1*INDEX($AI$10:$BJ$14,$B106,(C100-1)*2+2)))</f>
        <v>0</v>
      </c>
      <c r="U106" s="1016">
        <f ca="1">U$47/(INDEX($AI$10:$BJ$14,$B106,(C100-1)*2+1)*RWDI_FACTORS!$D$12*(1+$B$1*INDEX($AI$10:$BJ$14,$B106,(C100-1)*2+2)))</f>
        <v>0</v>
      </c>
      <c r="V106" s="1016">
        <f ca="1">V$47/(INDEX($AI$10:$BJ$14,$B106,(C100-1)*2+1)*RWDI_FACTORS!$D$12*(1+$B$1*INDEX($AI$10:$BJ$14,$B106,(C100-1)*2+2)))</f>
        <v>0</v>
      </c>
      <c r="W106" s="1016">
        <f ca="1">W$47/(INDEX($AI$10:$BJ$14,$B106,(C100-1)*2+1)*RWDI_FACTORS!$D$12*(1+$B$1*INDEX($AI$10:$BJ$14,$B106,(C100-1)*2+2)))</f>
        <v>0</v>
      </c>
    </row>
    <row r="107" spans="1:23" x14ac:dyDescent="0.2">
      <c r="A107" s="577">
        <f>A97</f>
        <v>181</v>
      </c>
      <c r="B107" s="577">
        <v>5</v>
      </c>
      <c r="C107" s="1016">
        <f ca="1">C$48/(INDEX($AI$10:$BJ$14,$B107,(C100-1)*2+1)*RWDI_FACTORS!$D$12*(1+$B$1*INDEX($AI$10:$BJ$14,$B107,(C100-1)*2+2)))</f>
        <v>1.0863731901285676</v>
      </c>
      <c r="D107" s="1016">
        <f ca="1">D$48/(INDEX($AI$10:$BJ$14,$B107,(C100-1)*2+1)*RWDI_FACTORS!$D$12*(1+$B$1*INDEX($AI$10:$BJ$14,$B107,(C100-1)*2+2)))</f>
        <v>1.0521339444646358</v>
      </c>
      <c r="E107" s="1016">
        <f ca="1">E$48/(INDEX($AI$10:$BJ$14,$B107,(C100-1)*2+1)*RWDI_FACTORS!$D$12*(1+$B$1*INDEX($AI$10:$BJ$14,$B107,(C100-1)*2+2)))</f>
        <v>1.0025556093964325</v>
      </c>
      <c r="F107" s="1016">
        <f ca="1">F$48/(INDEX($AI$10:$BJ$14,$B107,(C100-1)*2+1)*RWDI_FACTORS!$D$12*(1+$B$1*INDEX($AI$10:$BJ$14,$B107,(C100-1)*2+2)))</f>
        <v>0.96597151748771048</v>
      </c>
      <c r="G107" s="1016">
        <f ca="1">G$48/(INDEX($AI$10:$BJ$14,$B107,(C100-1)*2+1)*RWDI_FACTORS!$D$12*(1+$B$1*INDEX($AI$10:$BJ$14,$B107,(C100-1)*2+2)))</f>
        <v>0.9114408402078753</v>
      </c>
      <c r="H107" s="1016">
        <f ca="1">H$48/(INDEX($AI$10:$BJ$14,$B107,(C100-1)*2+1)*RWDI_FACTORS!$D$12*(1+$B$1*INDEX($AI$10:$BJ$14,$B107,(C100-1)*2+2)))</f>
        <v>1.0863731901285676</v>
      </c>
      <c r="I107" s="1016">
        <f ca="1">I$48/(INDEX($AI$10:$BJ$14,$B107,(C100-1)*2+1)*RWDI_FACTORS!$D$12*(1+$B$1*INDEX($AI$10:$BJ$14,$B107,(C100-1)*2+2)))</f>
        <v>1.0521339444646358</v>
      </c>
      <c r="J107" s="1016">
        <f ca="1">J$48/(INDEX($AI$10:$BJ$14,$B107,(C100-1)*2+1)*RWDI_FACTORS!$D$12*(1+$B$1*INDEX($AI$10:$BJ$14,$B107,(C100-1)*2+2)))</f>
        <v>1.0025556093964325</v>
      </c>
      <c r="K107" s="1016">
        <f ca="1">K$48/(INDEX($AI$10:$BJ$14,$B107,(C100-1)*2+1)*RWDI_FACTORS!$D$12*(1+$B$1*INDEX($AI$10:$BJ$14,$B107,(C100-1)*2+2)))</f>
        <v>0.96597151748771048</v>
      </c>
      <c r="L107" s="1016">
        <f ca="1">L$48/(INDEX($AI$10:$BJ$14,$B107,(C100-1)*2+1)*RWDI_FACTORS!$D$12*(1+$B$1*INDEX($AI$10:$BJ$14,$B107,(C100-1)*2+2)))</f>
        <v>0.9114408402078753</v>
      </c>
      <c r="M107" s="1016">
        <f ca="1">M$48/(INDEX($AI$10:$BJ$14,$B107,(C100-1)*2+1)*RWDI_FACTORS!$D$12*(1+$B$1*INDEX($AI$10:$BJ$14,$B107,(C100-1)*2+2)))</f>
        <v>1.0863731901285676</v>
      </c>
      <c r="N107" s="1016">
        <f ca="1">N$48/(INDEX($AI$10:$BJ$14,$B107,(C100-1)*2+1)*RWDI_FACTORS!$D$12*(1+$B$1*INDEX($AI$10:$BJ$14,$B107,(C100-1)*2+2)))</f>
        <v>1.0521339444646358</v>
      </c>
      <c r="O107" s="1016">
        <f ca="1">O$48/(INDEX($AI$10:$BJ$14,$B107,(C100-1)*2+1)*RWDI_FACTORS!$D$12*(1+$B$1*INDEX($AI$10:$BJ$14,$B107,(C100-1)*2+2)))</f>
        <v>1.0025556093964325</v>
      </c>
      <c r="P107" s="1016">
        <f ca="1">P$48/(INDEX($AI$10:$BJ$14,$B107,(C100-1)*2+1)*RWDI_FACTORS!$D$12*(1+$B$1*INDEX($AI$10:$BJ$14,$B107,(C100-1)*2+2)))</f>
        <v>0.96597151748771048</v>
      </c>
      <c r="Q107" s="1016">
        <f ca="1">Q$48/(INDEX($AI$10:$BJ$14,$B107,(C100-1)*2+1)*RWDI_FACTORS!$D$12*(1+$B$1*INDEX($AI$10:$BJ$14,$B107,(C100-1)*2+2)))</f>
        <v>0.9114408402078753</v>
      </c>
      <c r="R107" s="1016">
        <f ca="1">R$48/(INDEX($AI$10:$BJ$14,$B107,(C100-1)*2+1)*RWDI_FACTORS!$D$12*(1+$B$1*INDEX($AI$10:$BJ$14,$B107,(C100-1)*2+2)))</f>
        <v>0.93639693887464581</v>
      </c>
      <c r="S107" s="1016">
        <f ca="1">S$48/(INDEX($AI$10:$BJ$14,$B107,(C100-1)*2+1)*RWDI_FACTORS!$D$12*(1+$B$1*INDEX($AI$10:$BJ$14,$B107,(C100-1)*2+2)))</f>
        <v>0.95590916413079374</v>
      </c>
      <c r="T107" s="1016">
        <f ca="1">T$48/(INDEX($AI$10:$BJ$14,$B107,(C100-1)*2+1)*RWDI_FACTORS!$D$12*(1+$B$1*INDEX($AI$10:$BJ$14,$B107,(C100-1)*2+2)))</f>
        <v>0</v>
      </c>
      <c r="U107" s="1016">
        <f ca="1">U$48/(INDEX($AI$10:$BJ$14,$B107,(C100-1)*2+1)*RWDI_FACTORS!$D$12*(1+$B$1*INDEX($AI$10:$BJ$14,$B107,(C100-1)*2+2)))</f>
        <v>0</v>
      </c>
      <c r="V107" s="1016">
        <f ca="1">V$48/(INDEX($AI$10:$BJ$14,$B107,(C100-1)*2+1)*RWDI_FACTORS!$D$12*(1+$B$1*INDEX($AI$10:$BJ$14,$B107,(C100-1)*2+2)))</f>
        <v>0</v>
      </c>
      <c r="W107" s="1016">
        <f ca="1">W$48/(INDEX($AI$10:$BJ$14,$B107,(C100-1)*2+1)*RWDI_FACTORS!$D$12*(1+$B$1*INDEX($AI$10:$BJ$14,$B107,(C100-1)*2+2)))</f>
        <v>0</v>
      </c>
    </row>
    <row r="108" spans="1:23" x14ac:dyDescent="0.2">
      <c r="B108" s="1019" t="s">
        <v>609</v>
      </c>
      <c r="C108" s="1011">
        <f t="shared" ref="C108:W108" ca="1" si="19">AVERAGE(C103:C107)</f>
        <v>1.1621703205060019</v>
      </c>
      <c r="D108" s="1011">
        <f t="shared" ca="1" si="19"/>
        <v>1.1164697468574849</v>
      </c>
      <c r="E108" s="1011">
        <f t="shared" ca="1" si="19"/>
        <v>1.0500527075097554</v>
      </c>
      <c r="F108" s="1011">
        <f t="shared" ca="1" si="19"/>
        <v>0.99884183664642789</v>
      </c>
      <c r="G108" s="1011">
        <f t="shared" ca="1" si="19"/>
        <v>0.91334334226366853</v>
      </c>
      <c r="H108" s="1011">
        <f t="shared" ca="1" si="19"/>
        <v>1.1621703205060019</v>
      </c>
      <c r="I108" s="1011">
        <f t="shared" ca="1" si="19"/>
        <v>1.1164697468574849</v>
      </c>
      <c r="J108" s="1011">
        <f t="shared" ca="1" si="19"/>
        <v>1.0500527075097554</v>
      </c>
      <c r="K108" s="1011">
        <f t="shared" ca="1" si="19"/>
        <v>0.99884183664642789</v>
      </c>
      <c r="L108" s="1011">
        <f t="shared" ca="1" si="19"/>
        <v>0.91334334226366853</v>
      </c>
      <c r="M108" s="1011">
        <f t="shared" ca="1" si="19"/>
        <v>1.1621703205060019</v>
      </c>
      <c r="N108" s="1011">
        <f t="shared" ca="1" si="19"/>
        <v>1.1164697468574849</v>
      </c>
      <c r="O108" s="1011">
        <f t="shared" ca="1" si="19"/>
        <v>1.0500527075097554</v>
      </c>
      <c r="P108" s="1011">
        <f t="shared" ca="1" si="19"/>
        <v>0.99884183664642789</v>
      </c>
      <c r="Q108" s="1011">
        <f t="shared" ca="1" si="19"/>
        <v>0.91334334226366853</v>
      </c>
      <c r="R108" s="1011">
        <f t="shared" ca="1" si="19"/>
        <v>0.95174451053185827</v>
      </c>
      <c r="S108" s="1011">
        <f t="shared" ca="1" si="19"/>
        <v>0.98455631489299533</v>
      </c>
      <c r="T108" s="1011">
        <f t="shared" ca="1" si="19"/>
        <v>0</v>
      </c>
      <c r="U108" s="1011">
        <f t="shared" ca="1" si="19"/>
        <v>0</v>
      </c>
      <c r="V108" s="1011">
        <f t="shared" ca="1" si="19"/>
        <v>0</v>
      </c>
      <c r="W108" s="1011">
        <f t="shared" ca="1" si="19"/>
        <v>0</v>
      </c>
    </row>
    <row r="109" spans="1:23" x14ac:dyDescent="0.2">
      <c r="B109" s="1019" t="s">
        <v>610</v>
      </c>
      <c r="C109" s="1011">
        <f t="shared" ref="C109:W109" ca="1" si="20">STDEV(C103:C107)/C108*100</f>
        <v>6.3674812498631814</v>
      </c>
      <c r="D109" s="1011">
        <f t="shared" ca="1" si="20"/>
        <v>5.5900339130324213</v>
      </c>
      <c r="E109" s="1011">
        <f t="shared" ca="1" si="20"/>
        <v>4.3387983812607365</v>
      </c>
      <c r="F109" s="1011">
        <f t="shared" ca="1" si="20"/>
        <v>3.1303007624192705</v>
      </c>
      <c r="G109" s="1011">
        <f t="shared" ca="1" si="20"/>
        <v>0.36121510237310794</v>
      </c>
      <c r="H109" s="1011">
        <f t="shared" ca="1" si="20"/>
        <v>6.3674812498631814</v>
      </c>
      <c r="I109" s="1011">
        <f t="shared" ca="1" si="20"/>
        <v>5.5900339130324213</v>
      </c>
      <c r="J109" s="1011">
        <f t="shared" ca="1" si="20"/>
        <v>4.3387983812607365</v>
      </c>
      <c r="K109" s="1011">
        <f t="shared" ca="1" si="20"/>
        <v>3.1303007624192705</v>
      </c>
      <c r="L109" s="1011">
        <f t="shared" ca="1" si="20"/>
        <v>0.36121510237310794</v>
      </c>
      <c r="M109" s="1011">
        <f t="shared" ca="1" si="20"/>
        <v>6.3674812498631814</v>
      </c>
      <c r="N109" s="1011">
        <f t="shared" ca="1" si="20"/>
        <v>5.5900339130324213</v>
      </c>
      <c r="O109" s="1011">
        <f t="shared" ca="1" si="20"/>
        <v>4.3387983812607365</v>
      </c>
      <c r="P109" s="1011">
        <f t="shared" ca="1" si="20"/>
        <v>3.1303007624192705</v>
      </c>
      <c r="Q109" s="1011">
        <f t="shared" ca="1" si="20"/>
        <v>0.36121510237310794</v>
      </c>
      <c r="R109" s="1011">
        <f t="shared" ca="1" si="20"/>
        <v>1.3092742112019167</v>
      </c>
      <c r="S109" s="1011">
        <f t="shared" ca="1" si="20"/>
        <v>2.7082000838469384</v>
      </c>
      <c r="T109" s="1011" t="e">
        <f t="shared" ca="1" si="20"/>
        <v>#DIV/0!</v>
      </c>
      <c r="U109" s="1011" t="e">
        <f t="shared" ca="1" si="20"/>
        <v>#DIV/0!</v>
      </c>
      <c r="V109" s="1011" t="e">
        <f t="shared" ca="1" si="20"/>
        <v>#DIV/0!</v>
      </c>
      <c r="W109" s="1011" t="e">
        <f t="shared" ca="1" si="20"/>
        <v>#DIV/0!</v>
      </c>
    </row>
    <row r="110" spans="1:23" x14ac:dyDescent="0.2">
      <c r="A110" s="1017" t="e">
        <f ca="1">INDEX($AI$7:$BJ$7,1,(C110-1)*2+1)</f>
        <v>#REF!</v>
      </c>
      <c r="B110" s="1018"/>
      <c r="C110" s="577">
        <f>C100+1</f>
        <v>7</v>
      </c>
    </row>
    <row r="112" spans="1:23" x14ac:dyDescent="0.2">
      <c r="C112" s="577" t="s">
        <v>203</v>
      </c>
      <c r="D112" s="577" t="s">
        <v>204</v>
      </c>
      <c r="E112" s="577" t="s">
        <v>205</v>
      </c>
      <c r="F112" s="577" t="s">
        <v>206</v>
      </c>
      <c r="G112" s="577" t="s">
        <v>207</v>
      </c>
      <c r="H112" s="577" t="s">
        <v>266</v>
      </c>
      <c r="I112" s="577" t="s">
        <v>267</v>
      </c>
      <c r="J112" s="577" t="s">
        <v>268</v>
      </c>
      <c r="K112" s="577" t="s">
        <v>269</v>
      </c>
      <c r="L112" s="577" t="s">
        <v>270</v>
      </c>
      <c r="M112" s="577" t="s">
        <v>271</v>
      </c>
      <c r="N112" s="577" t="s">
        <v>272</v>
      </c>
      <c r="O112" s="577" t="s">
        <v>273</v>
      </c>
      <c r="P112" s="577" t="s">
        <v>274</v>
      </c>
      <c r="Q112" s="577" t="s">
        <v>275</v>
      </c>
      <c r="R112" s="577" t="s">
        <v>276</v>
      </c>
      <c r="S112" s="577" t="s">
        <v>277</v>
      </c>
      <c r="T112" s="577" t="s">
        <v>278</v>
      </c>
      <c r="U112" s="577" t="s">
        <v>279</v>
      </c>
      <c r="V112" s="577" t="s">
        <v>280</v>
      </c>
      <c r="W112" s="577" t="s">
        <v>297</v>
      </c>
    </row>
    <row r="113" spans="1:23" x14ac:dyDescent="0.2">
      <c r="A113" s="577">
        <f>A103</f>
        <v>54.3</v>
      </c>
      <c r="B113" s="577">
        <v>1</v>
      </c>
      <c r="C113" s="1016" t="e">
        <f ca="1">C$44/(INDEX($AI$10:$BJ$14,$B113,(C110-1)*2+1)*RWDI_FACTORS!$D$12*(1+$B$1*INDEX($AI$10:$BJ$14,$B113,(C110-1)*2+2)))</f>
        <v>#VALUE!</v>
      </c>
      <c r="D113" s="1016" t="e">
        <f ca="1">D$44/(INDEX($AI$10:$BJ$14,$B113,(C110-1)*2+1)*RWDI_FACTORS!$D$12*(1+$B$1*INDEX($AI$10:$BJ$14,$B113,(C110-1)*2+2)))</f>
        <v>#VALUE!</v>
      </c>
      <c r="E113" s="1016" t="e">
        <f ca="1">E$44/(INDEX($AI$10:$BJ$14,$B113,(C110-1)*2+1)*RWDI_FACTORS!$D$12*(1+$B$1*INDEX($AI$10:$BJ$14,$B113,(C110-1)*2+2)))</f>
        <v>#VALUE!</v>
      </c>
      <c r="F113" s="1016" t="e">
        <f ca="1">F$44/(INDEX($AI$10:$BJ$14,$B113,(C110-1)*2+1)*RWDI_FACTORS!$D$12*(1+$B$1*INDEX($AI$10:$BJ$14,$B113,(C110-1)*2+2)))</f>
        <v>#VALUE!</v>
      </c>
      <c r="G113" s="1016" t="e">
        <f ca="1">G$44/(INDEX($AI$10:$BJ$14,$B113,(C110-1)*2+1)*RWDI_FACTORS!$D$12*(1+$B$1*INDEX($AI$10:$BJ$14,$B113,(C110-1)*2+2)))</f>
        <v>#VALUE!</v>
      </c>
      <c r="H113" s="1016" t="e">
        <f ca="1">H$44/(INDEX($AI$10:$BJ$14,$B113,(C110-1)*2+1)*RWDI_FACTORS!$D$12*(1+$B$1*INDEX($AI$10:$BJ$14,$B113,(C110-1)*2+2)))</f>
        <v>#VALUE!</v>
      </c>
      <c r="I113" s="1016" t="e">
        <f ca="1">I$44/(INDEX($AI$10:$BJ$14,$B113,(C110-1)*2+1)*RWDI_FACTORS!$D$12*(1+$B$1*INDEX($AI$10:$BJ$14,$B113,(C110-1)*2+2)))</f>
        <v>#VALUE!</v>
      </c>
      <c r="J113" s="1016" t="e">
        <f ca="1">J$44/(INDEX($AI$10:$BJ$14,$B113,(C110-1)*2+1)*RWDI_FACTORS!$D$12*(1+$B$1*INDEX($AI$10:$BJ$14,$B113,(C110-1)*2+2)))</f>
        <v>#VALUE!</v>
      </c>
      <c r="K113" s="1016" t="e">
        <f ca="1">K$44/(INDEX($AI$10:$BJ$14,$B113,(C110-1)*2+1)*RWDI_FACTORS!$D$12*(1+$B$1*INDEX($AI$10:$BJ$14,$B113,(C110-1)*2+2)))</f>
        <v>#VALUE!</v>
      </c>
      <c r="L113" s="1016" t="e">
        <f ca="1">L$44/(INDEX($AI$10:$BJ$14,$B113,(C110-1)*2+1)*RWDI_FACTORS!$D$12*(1+$B$1*INDEX($AI$10:$BJ$14,$B113,(C110-1)*2+2)))</f>
        <v>#VALUE!</v>
      </c>
      <c r="M113" s="1016" t="e">
        <f ca="1">M$44/(INDEX($AI$10:$BJ$14,$B113,(C110-1)*2+1)*RWDI_FACTORS!$D$12*(1+$B$1*INDEX($AI$10:$BJ$14,$B113,(C110-1)*2+2)))</f>
        <v>#VALUE!</v>
      </c>
      <c r="N113" s="1016" t="e">
        <f ca="1">N$44/(INDEX($AI$10:$BJ$14,$B113,(C110-1)*2+1)*RWDI_FACTORS!$D$12*(1+$B$1*INDEX($AI$10:$BJ$14,$B113,(C110-1)*2+2)))</f>
        <v>#VALUE!</v>
      </c>
      <c r="O113" s="1016" t="e">
        <f ca="1">O$44/(INDEX($AI$10:$BJ$14,$B113,(C110-1)*2+1)*RWDI_FACTORS!$D$12*(1+$B$1*INDEX($AI$10:$BJ$14,$B113,(C110-1)*2+2)))</f>
        <v>#VALUE!</v>
      </c>
      <c r="P113" s="1016" t="e">
        <f ca="1">P$44/(INDEX($AI$10:$BJ$14,$B113,(C110-1)*2+1)*RWDI_FACTORS!$D$12*(1+$B$1*INDEX($AI$10:$BJ$14,$B113,(C110-1)*2+2)))</f>
        <v>#VALUE!</v>
      </c>
      <c r="Q113" s="1016" t="e">
        <f ca="1">Q$44/(INDEX($AI$10:$BJ$14,$B113,(C110-1)*2+1)*RWDI_FACTORS!$D$12*(1+$B$1*INDEX($AI$10:$BJ$14,$B113,(C110-1)*2+2)))</f>
        <v>#VALUE!</v>
      </c>
      <c r="R113" s="1016" t="e">
        <f ca="1">R$44/(INDEX($AI$10:$BJ$14,$B113,(C110-1)*2+1)*RWDI_FACTORS!$D$12*(1+$B$1*INDEX($AI$10:$BJ$14,$B113,(C110-1)*2+2)))</f>
        <v>#VALUE!</v>
      </c>
      <c r="S113" s="1016" t="e">
        <f ca="1">S$44/(INDEX($AI$10:$BJ$14,$B113,(C110-1)*2+1)*RWDI_FACTORS!$D$12*(1+$B$1*INDEX($AI$10:$BJ$14,$B113,(C110-1)*2+2)))</f>
        <v>#VALUE!</v>
      </c>
      <c r="T113" s="1016" t="e">
        <f ca="1">T$44/(INDEX($AI$10:$BJ$14,$B113,(C110-1)*2+1)*RWDI_FACTORS!$D$12*(1+$B$1*INDEX($AI$10:$BJ$14,$B113,(C110-1)*2+2)))</f>
        <v>#VALUE!</v>
      </c>
      <c r="U113" s="1016" t="e">
        <f ca="1">U$44/(INDEX($AI$10:$BJ$14,$B113,(C110-1)*2+1)*RWDI_FACTORS!$D$12*(1+$B$1*INDEX($AI$10:$BJ$14,$B113,(C110-1)*2+2)))</f>
        <v>#VALUE!</v>
      </c>
      <c r="V113" s="1016" t="e">
        <f ca="1">V$44/(INDEX($AI$10:$BJ$14,$B113,(C110-1)*2+1)*RWDI_FACTORS!$D$12*(1+$B$1*INDEX($AI$10:$BJ$14,$B113,(C110-1)*2+2)))</f>
        <v>#VALUE!</v>
      </c>
      <c r="W113" s="1016" t="e">
        <f ca="1">W$44/(INDEX($AI$10:$BJ$14,$B113,(C110-1)*2+1)*RWDI_FACTORS!$D$12*(1+$B$1*INDEX($AI$10:$BJ$14,$B113,(C110-1)*2+2)))</f>
        <v>#VALUE!</v>
      </c>
    </row>
    <row r="114" spans="1:23" x14ac:dyDescent="0.2">
      <c r="A114" s="577">
        <f>A104</f>
        <v>90.5</v>
      </c>
      <c r="B114" s="577">
        <v>2</v>
      </c>
      <c r="C114" s="1016" t="e">
        <f ca="1">C$45/(INDEX($AI$10:$BJ$14,$B114,(C110-1)*2+1)*RWDI_FACTORS!$D$12*(1+$B$1*INDEX($AI$10:$BJ$14,$B114,(C110-1)*2+2)))</f>
        <v>#VALUE!</v>
      </c>
      <c r="D114" s="1016" t="e">
        <f ca="1">D$45/(INDEX($AI$10:$BJ$14,$B114,(C110-1)*2+1)*RWDI_FACTORS!$D$12*(1+$B$1*INDEX($AI$10:$BJ$14,$B114,(C110-1)*2+2)))</f>
        <v>#VALUE!</v>
      </c>
      <c r="E114" s="1016" t="e">
        <f ca="1">E$45/(INDEX($AI$10:$BJ$14,$B114,(C110-1)*2+1)*RWDI_FACTORS!$D$12*(1+$B$1*INDEX($AI$10:$BJ$14,$B114,(C110-1)*2+2)))</f>
        <v>#VALUE!</v>
      </c>
      <c r="F114" s="1016" t="e">
        <f ca="1">F$45/(INDEX($AI$10:$BJ$14,$B114,(C110-1)*2+1)*RWDI_FACTORS!$D$12*(1+$B$1*INDEX($AI$10:$BJ$14,$B114,(C110-1)*2+2)))</f>
        <v>#VALUE!</v>
      </c>
      <c r="G114" s="1016" t="e">
        <f ca="1">G$45/(INDEX($AI$10:$BJ$14,$B114,(C110-1)*2+1)*RWDI_FACTORS!$D$12*(1+$B$1*INDEX($AI$10:$BJ$14,$B114,(C110-1)*2+2)))</f>
        <v>#VALUE!</v>
      </c>
      <c r="H114" s="1016" t="e">
        <f ca="1">H$45/(INDEX($AI$10:$BJ$14,$B114,(C110-1)*2+1)*RWDI_FACTORS!$D$12*(1+$B$1*INDEX($AI$10:$BJ$14,$B114,(C110-1)*2+2)))</f>
        <v>#VALUE!</v>
      </c>
      <c r="I114" s="1016" t="e">
        <f ca="1">I$45/(INDEX($AI$10:$BJ$14,$B114,(C110-1)*2+1)*RWDI_FACTORS!$D$12*(1+$B$1*INDEX($AI$10:$BJ$14,$B114,(C110-1)*2+2)))</f>
        <v>#VALUE!</v>
      </c>
      <c r="J114" s="1016" t="e">
        <f ca="1">J$45/(INDEX($AI$10:$BJ$14,$B114,(C110-1)*2+1)*RWDI_FACTORS!$D$12*(1+$B$1*INDEX($AI$10:$BJ$14,$B114,(C110-1)*2+2)))</f>
        <v>#VALUE!</v>
      </c>
      <c r="K114" s="1016" t="e">
        <f ca="1">K$45/(INDEX($AI$10:$BJ$14,$B114,(C110-1)*2+1)*RWDI_FACTORS!$D$12*(1+$B$1*INDEX($AI$10:$BJ$14,$B114,(C110-1)*2+2)))</f>
        <v>#VALUE!</v>
      </c>
      <c r="L114" s="1016" t="e">
        <f ca="1">L$45/(INDEX($AI$10:$BJ$14,$B114,(C110-1)*2+1)*RWDI_FACTORS!$D$12*(1+$B$1*INDEX($AI$10:$BJ$14,$B114,(C110-1)*2+2)))</f>
        <v>#VALUE!</v>
      </c>
      <c r="M114" s="1016" t="e">
        <f ca="1">M$45/(INDEX($AI$10:$BJ$14,$B114,(C110-1)*2+1)*RWDI_FACTORS!$D$12*(1+$B$1*INDEX($AI$10:$BJ$14,$B114,(C110-1)*2+2)))</f>
        <v>#VALUE!</v>
      </c>
      <c r="N114" s="1016" t="e">
        <f ca="1">N$45/(INDEX($AI$10:$BJ$14,$B114,(C110-1)*2+1)*RWDI_FACTORS!$D$12*(1+$B$1*INDEX($AI$10:$BJ$14,$B114,(C110-1)*2+2)))</f>
        <v>#VALUE!</v>
      </c>
      <c r="O114" s="1016" t="e">
        <f ca="1">O$45/(INDEX($AI$10:$BJ$14,$B114,(C110-1)*2+1)*RWDI_FACTORS!$D$12*(1+$B$1*INDEX($AI$10:$BJ$14,$B114,(C110-1)*2+2)))</f>
        <v>#VALUE!</v>
      </c>
      <c r="P114" s="1016" t="e">
        <f ca="1">P$45/(INDEX($AI$10:$BJ$14,$B114,(C110-1)*2+1)*RWDI_FACTORS!$D$12*(1+$B$1*INDEX($AI$10:$BJ$14,$B114,(C110-1)*2+2)))</f>
        <v>#VALUE!</v>
      </c>
      <c r="Q114" s="1016" t="e">
        <f ca="1">Q$45/(INDEX($AI$10:$BJ$14,$B114,(C110-1)*2+1)*RWDI_FACTORS!$D$12*(1+$B$1*INDEX($AI$10:$BJ$14,$B114,(C110-1)*2+2)))</f>
        <v>#VALUE!</v>
      </c>
      <c r="R114" s="1016" t="e">
        <f ca="1">R$45/(INDEX($AI$10:$BJ$14,$B114,(C110-1)*2+1)*RWDI_FACTORS!$D$12*(1+$B$1*INDEX($AI$10:$BJ$14,$B114,(C110-1)*2+2)))</f>
        <v>#VALUE!</v>
      </c>
      <c r="S114" s="1016" t="e">
        <f ca="1">S$45/(INDEX($AI$10:$BJ$14,$B114,(C110-1)*2+1)*RWDI_FACTORS!$D$12*(1+$B$1*INDEX($AI$10:$BJ$14,$B114,(C110-1)*2+2)))</f>
        <v>#VALUE!</v>
      </c>
      <c r="T114" s="1016" t="e">
        <f ca="1">T$45/(INDEX($AI$10:$BJ$14,$B114,(C110-1)*2+1)*RWDI_FACTORS!$D$12*(1+$B$1*INDEX($AI$10:$BJ$14,$B114,(C110-1)*2+2)))</f>
        <v>#VALUE!</v>
      </c>
      <c r="U114" s="1016" t="e">
        <f ca="1">U$45/(INDEX($AI$10:$BJ$14,$B114,(C110-1)*2+1)*RWDI_FACTORS!$D$12*(1+$B$1*INDEX($AI$10:$BJ$14,$B114,(C110-1)*2+2)))</f>
        <v>#VALUE!</v>
      </c>
      <c r="V114" s="1016" t="e">
        <f ca="1">V$45/(INDEX($AI$10:$BJ$14,$B114,(C110-1)*2+1)*RWDI_FACTORS!$D$12*(1+$B$1*INDEX($AI$10:$BJ$14,$B114,(C110-1)*2+2)))</f>
        <v>#VALUE!</v>
      </c>
      <c r="W114" s="1016" t="e">
        <f ca="1">W$45/(INDEX($AI$10:$BJ$14,$B114,(C110-1)*2+1)*RWDI_FACTORS!$D$12*(1+$B$1*INDEX($AI$10:$BJ$14,$B114,(C110-1)*2+2)))</f>
        <v>#VALUE!</v>
      </c>
    </row>
    <row r="115" spans="1:23" x14ac:dyDescent="0.2">
      <c r="A115" s="577">
        <f>A105</f>
        <v>120.7</v>
      </c>
      <c r="B115" s="577">
        <v>3</v>
      </c>
      <c r="C115" s="1016" t="e">
        <f ca="1">C$46/(INDEX($AI$10:$BJ$14,$B115,(C110-1)*2+1)*RWDI_FACTORS!$D$12*(1+$B$1*INDEX($AI$10:$BJ$14,$B115,(C110-1)*2+2)))</f>
        <v>#VALUE!</v>
      </c>
      <c r="D115" s="1016" t="e">
        <f ca="1">D$46/(INDEX($AI$10:$BJ$14,$B115,(C110-1)*2+1)*RWDI_FACTORS!$D$12*(1+$B$1*INDEX($AI$10:$BJ$14,$B115,(C110-1)*2+2)))</f>
        <v>#VALUE!</v>
      </c>
      <c r="E115" s="1016" t="e">
        <f ca="1">E$46/(INDEX($AI$10:$BJ$14,$B115,(C110-1)*2+1)*RWDI_FACTORS!$D$12*(1+$B$1*INDEX($AI$10:$BJ$14,$B115,(C110-1)*2+2)))</f>
        <v>#VALUE!</v>
      </c>
      <c r="F115" s="1016" t="e">
        <f ca="1">F$46/(INDEX($AI$10:$BJ$14,$B115,(C110-1)*2+1)*RWDI_FACTORS!$D$12*(1+$B$1*INDEX($AI$10:$BJ$14,$B115,(C110-1)*2+2)))</f>
        <v>#VALUE!</v>
      </c>
      <c r="G115" s="1016" t="e">
        <f ca="1">G$46/(INDEX($AI$10:$BJ$14,$B115,(C110-1)*2+1)*RWDI_FACTORS!$D$12*(1+$B$1*INDEX($AI$10:$BJ$14,$B115,(C110-1)*2+2)))</f>
        <v>#VALUE!</v>
      </c>
      <c r="H115" s="1016" t="e">
        <f ca="1">H$46/(INDEX($AI$10:$BJ$14,$B115,(C110-1)*2+1)*RWDI_FACTORS!$D$12*(1+$B$1*INDEX($AI$10:$BJ$14,$B115,(C110-1)*2+2)))</f>
        <v>#VALUE!</v>
      </c>
      <c r="I115" s="1016" t="e">
        <f ca="1">I$46/(INDEX($AI$10:$BJ$14,$B115,(C110-1)*2+1)*RWDI_FACTORS!$D$12*(1+$B$1*INDEX($AI$10:$BJ$14,$B115,(C110-1)*2+2)))</f>
        <v>#VALUE!</v>
      </c>
      <c r="J115" s="1016" t="e">
        <f ca="1">J$46/(INDEX($AI$10:$BJ$14,$B115,(C110-1)*2+1)*RWDI_FACTORS!$D$12*(1+$B$1*INDEX($AI$10:$BJ$14,$B115,(C110-1)*2+2)))</f>
        <v>#VALUE!</v>
      </c>
      <c r="K115" s="1016" t="e">
        <f ca="1">K$46/(INDEX($AI$10:$BJ$14,$B115,(C110-1)*2+1)*RWDI_FACTORS!$D$12*(1+$B$1*INDEX($AI$10:$BJ$14,$B115,(C110-1)*2+2)))</f>
        <v>#VALUE!</v>
      </c>
      <c r="L115" s="1016" t="e">
        <f ca="1">L$46/(INDEX($AI$10:$BJ$14,$B115,(C110-1)*2+1)*RWDI_FACTORS!$D$12*(1+$B$1*INDEX($AI$10:$BJ$14,$B115,(C110-1)*2+2)))</f>
        <v>#VALUE!</v>
      </c>
      <c r="M115" s="1016" t="e">
        <f ca="1">M$46/(INDEX($AI$10:$BJ$14,$B115,(C110-1)*2+1)*RWDI_FACTORS!$D$12*(1+$B$1*INDEX($AI$10:$BJ$14,$B115,(C110-1)*2+2)))</f>
        <v>#VALUE!</v>
      </c>
      <c r="N115" s="1016" t="e">
        <f ca="1">N$46/(INDEX($AI$10:$BJ$14,$B115,(C110-1)*2+1)*RWDI_FACTORS!$D$12*(1+$B$1*INDEX($AI$10:$BJ$14,$B115,(C110-1)*2+2)))</f>
        <v>#VALUE!</v>
      </c>
      <c r="O115" s="1016" t="e">
        <f ca="1">O$46/(INDEX($AI$10:$BJ$14,$B115,(C110-1)*2+1)*RWDI_FACTORS!$D$12*(1+$B$1*INDEX($AI$10:$BJ$14,$B115,(C110-1)*2+2)))</f>
        <v>#VALUE!</v>
      </c>
      <c r="P115" s="1016" t="e">
        <f ca="1">P$46/(INDEX($AI$10:$BJ$14,$B115,(C110-1)*2+1)*RWDI_FACTORS!$D$12*(1+$B$1*INDEX($AI$10:$BJ$14,$B115,(C110-1)*2+2)))</f>
        <v>#VALUE!</v>
      </c>
      <c r="Q115" s="1016" t="e">
        <f ca="1">Q$46/(INDEX($AI$10:$BJ$14,$B115,(C110-1)*2+1)*RWDI_FACTORS!$D$12*(1+$B$1*INDEX($AI$10:$BJ$14,$B115,(C110-1)*2+2)))</f>
        <v>#VALUE!</v>
      </c>
      <c r="R115" s="1016" t="e">
        <f ca="1">R$46/(INDEX($AI$10:$BJ$14,$B115,(C110-1)*2+1)*RWDI_FACTORS!$D$12*(1+$B$1*INDEX($AI$10:$BJ$14,$B115,(C110-1)*2+2)))</f>
        <v>#VALUE!</v>
      </c>
      <c r="S115" s="1016" t="e">
        <f ca="1">S$46/(INDEX($AI$10:$BJ$14,$B115,(C110-1)*2+1)*RWDI_FACTORS!$D$12*(1+$B$1*INDEX($AI$10:$BJ$14,$B115,(C110-1)*2+2)))</f>
        <v>#VALUE!</v>
      </c>
      <c r="T115" s="1016" t="e">
        <f ca="1">T$46/(INDEX($AI$10:$BJ$14,$B115,(C110-1)*2+1)*RWDI_FACTORS!$D$12*(1+$B$1*INDEX($AI$10:$BJ$14,$B115,(C110-1)*2+2)))</f>
        <v>#VALUE!</v>
      </c>
      <c r="U115" s="1016" t="e">
        <f ca="1">U$46/(INDEX($AI$10:$BJ$14,$B115,(C110-1)*2+1)*RWDI_FACTORS!$D$12*(1+$B$1*INDEX($AI$10:$BJ$14,$B115,(C110-1)*2+2)))</f>
        <v>#VALUE!</v>
      </c>
      <c r="V115" s="1016" t="e">
        <f ca="1">V$46/(INDEX($AI$10:$BJ$14,$B115,(C110-1)*2+1)*RWDI_FACTORS!$D$12*(1+$B$1*INDEX($AI$10:$BJ$14,$B115,(C110-1)*2+2)))</f>
        <v>#VALUE!</v>
      </c>
      <c r="W115" s="1016" t="e">
        <f ca="1">W$46/(INDEX($AI$10:$BJ$14,$B115,(C110-1)*2+1)*RWDI_FACTORS!$D$12*(1+$B$1*INDEX($AI$10:$BJ$14,$B115,(C110-1)*2+2)))</f>
        <v>#VALUE!</v>
      </c>
    </row>
    <row r="116" spans="1:23" x14ac:dyDescent="0.2">
      <c r="A116" s="577">
        <f>A106</f>
        <v>144.80000000000001</v>
      </c>
      <c r="B116" s="577">
        <v>4</v>
      </c>
      <c r="C116" s="1016" t="e">
        <f ca="1">C$47/(INDEX($AI$10:$BJ$14,$B116,(C110-1)*2+1)*RWDI_FACTORS!$D$12*(1+$B$1*INDEX($AI$10:$BJ$14,$B116,(C110-1)*2+2)))</f>
        <v>#VALUE!</v>
      </c>
      <c r="D116" s="1016" t="e">
        <f ca="1">D$47/(INDEX($AI$10:$BJ$14,$B116,(C110-1)*2+1)*RWDI_FACTORS!$D$12*(1+$B$1*INDEX($AI$10:$BJ$14,$B116,(C110-1)*2+2)))</f>
        <v>#VALUE!</v>
      </c>
      <c r="E116" s="1016" t="e">
        <f ca="1">E$47/(INDEX($AI$10:$BJ$14,$B116,(C110-1)*2+1)*RWDI_FACTORS!$D$12*(1+$B$1*INDEX($AI$10:$BJ$14,$B116,(C110-1)*2+2)))</f>
        <v>#VALUE!</v>
      </c>
      <c r="F116" s="1016" t="e">
        <f ca="1">F$47/(INDEX($AI$10:$BJ$14,$B116,(C110-1)*2+1)*RWDI_FACTORS!$D$12*(1+$B$1*INDEX($AI$10:$BJ$14,$B116,(C110-1)*2+2)))</f>
        <v>#VALUE!</v>
      </c>
      <c r="G116" s="1016" t="e">
        <f ca="1">G$47/(INDEX($AI$10:$BJ$14,$B116,(C110-1)*2+1)*RWDI_FACTORS!$D$12*(1+$B$1*INDEX($AI$10:$BJ$14,$B116,(C110-1)*2+2)))</f>
        <v>#VALUE!</v>
      </c>
      <c r="H116" s="1016" t="e">
        <f ca="1">H$47/(INDEX($AI$10:$BJ$14,$B116,(C110-1)*2+1)*RWDI_FACTORS!$D$12*(1+$B$1*INDEX($AI$10:$BJ$14,$B116,(C110-1)*2+2)))</f>
        <v>#VALUE!</v>
      </c>
      <c r="I116" s="1016" t="e">
        <f ca="1">I$47/(INDEX($AI$10:$BJ$14,$B116,(C110-1)*2+1)*RWDI_FACTORS!$D$12*(1+$B$1*INDEX($AI$10:$BJ$14,$B116,(C110-1)*2+2)))</f>
        <v>#VALUE!</v>
      </c>
      <c r="J116" s="1016" t="e">
        <f ca="1">J$47/(INDEX($AI$10:$BJ$14,$B116,(C110-1)*2+1)*RWDI_FACTORS!$D$12*(1+$B$1*INDEX($AI$10:$BJ$14,$B116,(C110-1)*2+2)))</f>
        <v>#VALUE!</v>
      </c>
      <c r="K116" s="1016" t="e">
        <f ca="1">K$47/(INDEX($AI$10:$BJ$14,$B116,(C110-1)*2+1)*RWDI_FACTORS!$D$12*(1+$B$1*INDEX($AI$10:$BJ$14,$B116,(C110-1)*2+2)))</f>
        <v>#VALUE!</v>
      </c>
      <c r="L116" s="1016" t="e">
        <f ca="1">L$47/(INDEX($AI$10:$BJ$14,$B116,(C110-1)*2+1)*RWDI_FACTORS!$D$12*(1+$B$1*INDEX($AI$10:$BJ$14,$B116,(C110-1)*2+2)))</f>
        <v>#VALUE!</v>
      </c>
      <c r="M116" s="1016" t="e">
        <f ca="1">M$47/(INDEX($AI$10:$BJ$14,$B116,(C110-1)*2+1)*RWDI_FACTORS!$D$12*(1+$B$1*INDEX($AI$10:$BJ$14,$B116,(C110-1)*2+2)))</f>
        <v>#VALUE!</v>
      </c>
      <c r="N116" s="1016" t="e">
        <f ca="1">N$47/(INDEX($AI$10:$BJ$14,$B116,(C110-1)*2+1)*RWDI_FACTORS!$D$12*(1+$B$1*INDEX($AI$10:$BJ$14,$B116,(C110-1)*2+2)))</f>
        <v>#VALUE!</v>
      </c>
      <c r="O116" s="1016" t="e">
        <f ca="1">O$47/(INDEX($AI$10:$BJ$14,$B116,(C110-1)*2+1)*RWDI_FACTORS!$D$12*(1+$B$1*INDEX($AI$10:$BJ$14,$B116,(C110-1)*2+2)))</f>
        <v>#VALUE!</v>
      </c>
      <c r="P116" s="1016" t="e">
        <f ca="1">P$47/(INDEX($AI$10:$BJ$14,$B116,(C110-1)*2+1)*RWDI_FACTORS!$D$12*(1+$B$1*INDEX($AI$10:$BJ$14,$B116,(C110-1)*2+2)))</f>
        <v>#VALUE!</v>
      </c>
      <c r="Q116" s="1016" t="e">
        <f ca="1">Q$47/(INDEX($AI$10:$BJ$14,$B116,(C110-1)*2+1)*RWDI_FACTORS!$D$12*(1+$B$1*INDEX($AI$10:$BJ$14,$B116,(C110-1)*2+2)))</f>
        <v>#VALUE!</v>
      </c>
      <c r="R116" s="1016" t="e">
        <f ca="1">R$47/(INDEX($AI$10:$BJ$14,$B116,(C110-1)*2+1)*RWDI_FACTORS!$D$12*(1+$B$1*INDEX($AI$10:$BJ$14,$B116,(C110-1)*2+2)))</f>
        <v>#VALUE!</v>
      </c>
      <c r="S116" s="1016" t="e">
        <f ca="1">S$47/(INDEX($AI$10:$BJ$14,$B116,(C110-1)*2+1)*RWDI_FACTORS!$D$12*(1+$B$1*INDEX($AI$10:$BJ$14,$B116,(C110-1)*2+2)))</f>
        <v>#VALUE!</v>
      </c>
      <c r="T116" s="1016" t="e">
        <f ca="1">T$47/(INDEX($AI$10:$BJ$14,$B116,(C110-1)*2+1)*RWDI_FACTORS!$D$12*(1+$B$1*INDEX($AI$10:$BJ$14,$B116,(C110-1)*2+2)))</f>
        <v>#VALUE!</v>
      </c>
      <c r="U116" s="1016" t="e">
        <f ca="1">U$47/(INDEX($AI$10:$BJ$14,$B116,(C110-1)*2+1)*RWDI_FACTORS!$D$12*(1+$B$1*INDEX($AI$10:$BJ$14,$B116,(C110-1)*2+2)))</f>
        <v>#VALUE!</v>
      </c>
      <c r="V116" s="1016" t="e">
        <f ca="1">V$47/(INDEX($AI$10:$BJ$14,$B116,(C110-1)*2+1)*RWDI_FACTORS!$D$12*(1+$B$1*INDEX($AI$10:$BJ$14,$B116,(C110-1)*2+2)))</f>
        <v>#VALUE!</v>
      </c>
      <c r="W116" s="1016" t="e">
        <f ca="1">W$47/(INDEX($AI$10:$BJ$14,$B116,(C110-1)*2+1)*RWDI_FACTORS!$D$12*(1+$B$1*INDEX($AI$10:$BJ$14,$B116,(C110-1)*2+2)))</f>
        <v>#VALUE!</v>
      </c>
    </row>
    <row r="117" spans="1:23" x14ac:dyDescent="0.2">
      <c r="A117" s="577">
        <f>A107</f>
        <v>181</v>
      </c>
      <c r="B117" s="577">
        <v>5</v>
      </c>
      <c r="C117" s="1016" t="e">
        <f ca="1">C$48/(INDEX($AI$10:$BJ$14,$B117,(C110-1)*2+1)*RWDI_FACTORS!$D$12*(1+$B$1*INDEX($AI$10:$BJ$14,$B117,(C110-1)*2+2)))</f>
        <v>#VALUE!</v>
      </c>
      <c r="D117" s="1016" t="e">
        <f ca="1">D$48/(INDEX($AI$10:$BJ$14,$B117,(C110-1)*2+1)*RWDI_FACTORS!$D$12*(1+$B$1*INDEX($AI$10:$BJ$14,$B117,(C110-1)*2+2)))</f>
        <v>#VALUE!</v>
      </c>
      <c r="E117" s="1016" t="e">
        <f ca="1">E$48/(INDEX($AI$10:$BJ$14,$B117,(C110-1)*2+1)*RWDI_FACTORS!$D$12*(1+$B$1*INDEX($AI$10:$BJ$14,$B117,(C110-1)*2+2)))</f>
        <v>#VALUE!</v>
      </c>
      <c r="F117" s="1016" t="e">
        <f ca="1">F$48/(INDEX($AI$10:$BJ$14,$B117,(C110-1)*2+1)*RWDI_FACTORS!$D$12*(1+$B$1*INDEX($AI$10:$BJ$14,$B117,(C110-1)*2+2)))</f>
        <v>#VALUE!</v>
      </c>
      <c r="G117" s="1016" t="e">
        <f ca="1">G$48/(INDEX($AI$10:$BJ$14,$B117,(C110-1)*2+1)*RWDI_FACTORS!$D$12*(1+$B$1*INDEX($AI$10:$BJ$14,$B117,(C110-1)*2+2)))</f>
        <v>#VALUE!</v>
      </c>
      <c r="H117" s="1016" t="e">
        <f ca="1">H$48/(INDEX($AI$10:$BJ$14,$B117,(C110-1)*2+1)*RWDI_FACTORS!$D$12*(1+$B$1*INDEX($AI$10:$BJ$14,$B117,(C110-1)*2+2)))</f>
        <v>#VALUE!</v>
      </c>
      <c r="I117" s="1016" t="e">
        <f ca="1">I$48/(INDEX($AI$10:$BJ$14,$B117,(C110-1)*2+1)*RWDI_FACTORS!$D$12*(1+$B$1*INDEX($AI$10:$BJ$14,$B117,(C110-1)*2+2)))</f>
        <v>#VALUE!</v>
      </c>
      <c r="J117" s="1016" t="e">
        <f ca="1">J$48/(INDEX($AI$10:$BJ$14,$B117,(C110-1)*2+1)*RWDI_FACTORS!$D$12*(1+$B$1*INDEX($AI$10:$BJ$14,$B117,(C110-1)*2+2)))</f>
        <v>#VALUE!</v>
      </c>
      <c r="K117" s="1016" t="e">
        <f ca="1">K$48/(INDEX($AI$10:$BJ$14,$B117,(C110-1)*2+1)*RWDI_FACTORS!$D$12*(1+$B$1*INDEX($AI$10:$BJ$14,$B117,(C110-1)*2+2)))</f>
        <v>#VALUE!</v>
      </c>
      <c r="L117" s="1016" t="e">
        <f ca="1">L$48/(INDEX($AI$10:$BJ$14,$B117,(C110-1)*2+1)*RWDI_FACTORS!$D$12*(1+$B$1*INDEX($AI$10:$BJ$14,$B117,(C110-1)*2+2)))</f>
        <v>#VALUE!</v>
      </c>
      <c r="M117" s="1016" t="e">
        <f ca="1">M$48/(INDEX($AI$10:$BJ$14,$B117,(C110-1)*2+1)*RWDI_FACTORS!$D$12*(1+$B$1*INDEX($AI$10:$BJ$14,$B117,(C110-1)*2+2)))</f>
        <v>#VALUE!</v>
      </c>
      <c r="N117" s="1016" t="e">
        <f ca="1">N$48/(INDEX($AI$10:$BJ$14,$B117,(C110-1)*2+1)*RWDI_FACTORS!$D$12*(1+$B$1*INDEX($AI$10:$BJ$14,$B117,(C110-1)*2+2)))</f>
        <v>#VALUE!</v>
      </c>
      <c r="O117" s="1016" t="e">
        <f ca="1">O$48/(INDEX($AI$10:$BJ$14,$B117,(C110-1)*2+1)*RWDI_FACTORS!$D$12*(1+$B$1*INDEX($AI$10:$BJ$14,$B117,(C110-1)*2+2)))</f>
        <v>#VALUE!</v>
      </c>
      <c r="P117" s="1016" t="e">
        <f ca="1">P$48/(INDEX($AI$10:$BJ$14,$B117,(C110-1)*2+1)*RWDI_FACTORS!$D$12*(1+$B$1*INDEX($AI$10:$BJ$14,$B117,(C110-1)*2+2)))</f>
        <v>#VALUE!</v>
      </c>
      <c r="Q117" s="1016" t="e">
        <f ca="1">Q$48/(INDEX($AI$10:$BJ$14,$B117,(C110-1)*2+1)*RWDI_FACTORS!$D$12*(1+$B$1*INDEX($AI$10:$BJ$14,$B117,(C110-1)*2+2)))</f>
        <v>#VALUE!</v>
      </c>
      <c r="R117" s="1016" t="e">
        <f ca="1">R$48/(INDEX($AI$10:$BJ$14,$B117,(C110-1)*2+1)*RWDI_FACTORS!$D$12*(1+$B$1*INDEX($AI$10:$BJ$14,$B117,(C110-1)*2+2)))</f>
        <v>#VALUE!</v>
      </c>
      <c r="S117" s="1016" t="e">
        <f ca="1">S$48/(INDEX($AI$10:$BJ$14,$B117,(C110-1)*2+1)*RWDI_FACTORS!$D$12*(1+$B$1*INDEX($AI$10:$BJ$14,$B117,(C110-1)*2+2)))</f>
        <v>#VALUE!</v>
      </c>
      <c r="T117" s="1016" t="e">
        <f ca="1">T$48/(INDEX($AI$10:$BJ$14,$B117,(C110-1)*2+1)*RWDI_FACTORS!$D$12*(1+$B$1*INDEX($AI$10:$BJ$14,$B117,(C110-1)*2+2)))</f>
        <v>#VALUE!</v>
      </c>
      <c r="U117" s="1016" t="e">
        <f ca="1">U$48/(INDEX($AI$10:$BJ$14,$B117,(C110-1)*2+1)*RWDI_FACTORS!$D$12*(1+$B$1*INDEX($AI$10:$BJ$14,$B117,(C110-1)*2+2)))</f>
        <v>#VALUE!</v>
      </c>
      <c r="V117" s="1016" t="e">
        <f ca="1">V$48/(INDEX($AI$10:$BJ$14,$B117,(C110-1)*2+1)*RWDI_FACTORS!$D$12*(1+$B$1*INDEX($AI$10:$BJ$14,$B117,(C110-1)*2+2)))</f>
        <v>#VALUE!</v>
      </c>
      <c r="W117" s="1016" t="e">
        <f ca="1">W$48/(INDEX($AI$10:$BJ$14,$B117,(C110-1)*2+1)*RWDI_FACTORS!$D$12*(1+$B$1*INDEX($AI$10:$BJ$14,$B117,(C110-1)*2+2)))</f>
        <v>#VALUE!</v>
      </c>
    </row>
    <row r="118" spans="1:23" x14ac:dyDescent="0.2">
      <c r="B118" s="1019" t="s">
        <v>609</v>
      </c>
      <c r="C118" s="1011" t="e">
        <f t="shared" ref="C118:W118" ca="1" si="21">AVERAGE(C113:C117)</f>
        <v>#VALUE!</v>
      </c>
      <c r="D118" s="1011" t="e">
        <f t="shared" ca="1" si="21"/>
        <v>#VALUE!</v>
      </c>
      <c r="E118" s="1011" t="e">
        <f t="shared" ca="1" si="21"/>
        <v>#VALUE!</v>
      </c>
      <c r="F118" s="1011" t="e">
        <f t="shared" ca="1" si="21"/>
        <v>#VALUE!</v>
      </c>
      <c r="G118" s="1011" t="e">
        <f t="shared" ca="1" si="21"/>
        <v>#VALUE!</v>
      </c>
      <c r="H118" s="1011" t="e">
        <f t="shared" ca="1" si="21"/>
        <v>#VALUE!</v>
      </c>
      <c r="I118" s="1011" t="e">
        <f t="shared" ca="1" si="21"/>
        <v>#VALUE!</v>
      </c>
      <c r="J118" s="1011" t="e">
        <f t="shared" ca="1" si="21"/>
        <v>#VALUE!</v>
      </c>
      <c r="K118" s="1011" t="e">
        <f t="shared" ca="1" si="21"/>
        <v>#VALUE!</v>
      </c>
      <c r="L118" s="1011" t="e">
        <f t="shared" ca="1" si="21"/>
        <v>#VALUE!</v>
      </c>
      <c r="M118" s="1011" t="e">
        <f t="shared" ca="1" si="21"/>
        <v>#VALUE!</v>
      </c>
      <c r="N118" s="1011" t="e">
        <f t="shared" ca="1" si="21"/>
        <v>#VALUE!</v>
      </c>
      <c r="O118" s="1011" t="e">
        <f t="shared" ca="1" si="21"/>
        <v>#VALUE!</v>
      </c>
      <c r="P118" s="1011" t="e">
        <f t="shared" ca="1" si="21"/>
        <v>#VALUE!</v>
      </c>
      <c r="Q118" s="1011" t="e">
        <f t="shared" ca="1" si="21"/>
        <v>#VALUE!</v>
      </c>
      <c r="R118" s="1011" t="e">
        <f t="shared" ca="1" si="21"/>
        <v>#VALUE!</v>
      </c>
      <c r="S118" s="1011" t="e">
        <f t="shared" ca="1" si="21"/>
        <v>#VALUE!</v>
      </c>
      <c r="T118" s="1011" t="e">
        <f t="shared" ca="1" si="21"/>
        <v>#VALUE!</v>
      </c>
      <c r="U118" s="1011" t="e">
        <f t="shared" ca="1" si="21"/>
        <v>#VALUE!</v>
      </c>
      <c r="V118" s="1011" t="e">
        <f t="shared" ca="1" si="21"/>
        <v>#VALUE!</v>
      </c>
      <c r="W118" s="1011" t="e">
        <f t="shared" ca="1" si="21"/>
        <v>#VALUE!</v>
      </c>
    </row>
    <row r="119" spans="1:23" x14ac:dyDescent="0.2">
      <c r="B119" s="1019" t="s">
        <v>610</v>
      </c>
      <c r="C119" s="1011" t="e">
        <f t="shared" ref="C119:W119" ca="1" si="22">STDEV(C113:C117)/C118*100</f>
        <v>#VALUE!</v>
      </c>
      <c r="D119" s="1011" t="e">
        <f t="shared" ca="1" si="22"/>
        <v>#VALUE!</v>
      </c>
      <c r="E119" s="1011" t="e">
        <f t="shared" ca="1" si="22"/>
        <v>#VALUE!</v>
      </c>
      <c r="F119" s="1011" t="e">
        <f t="shared" ca="1" si="22"/>
        <v>#VALUE!</v>
      </c>
      <c r="G119" s="1011" t="e">
        <f t="shared" ca="1" si="22"/>
        <v>#VALUE!</v>
      </c>
      <c r="H119" s="1011" t="e">
        <f t="shared" ca="1" si="22"/>
        <v>#VALUE!</v>
      </c>
      <c r="I119" s="1011" t="e">
        <f t="shared" ca="1" si="22"/>
        <v>#VALUE!</v>
      </c>
      <c r="J119" s="1011" t="e">
        <f t="shared" ca="1" si="22"/>
        <v>#VALUE!</v>
      </c>
      <c r="K119" s="1011" t="e">
        <f t="shared" ca="1" si="22"/>
        <v>#VALUE!</v>
      </c>
      <c r="L119" s="1011" t="e">
        <f t="shared" ca="1" si="22"/>
        <v>#VALUE!</v>
      </c>
      <c r="M119" s="1011" t="e">
        <f t="shared" ca="1" si="22"/>
        <v>#VALUE!</v>
      </c>
      <c r="N119" s="1011" t="e">
        <f t="shared" ca="1" si="22"/>
        <v>#VALUE!</v>
      </c>
      <c r="O119" s="1011" t="e">
        <f t="shared" ca="1" si="22"/>
        <v>#VALUE!</v>
      </c>
      <c r="P119" s="1011" t="e">
        <f t="shared" ca="1" si="22"/>
        <v>#VALUE!</v>
      </c>
      <c r="Q119" s="1011" t="e">
        <f t="shared" ca="1" si="22"/>
        <v>#VALUE!</v>
      </c>
      <c r="R119" s="1011" t="e">
        <f t="shared" ca="1" si="22"/>
        <v>#VALUE!</v>
      </c>
      <c r="S119" s="1011" t="e">
        <f t="shared" ca="1" si="22"/>
        <v>#VALUE!</v>
      </c>
      <c r="T119" s="1011" t="e">
        <f t="shared" ca="1" si="22"/>
        <v>#VALUE!</v>
      </c>
      <c r="U119" s="1011" t="e">
        <f t="shared" ca="1" si="22"/>
        <v>#VALUE!</v>
      </c>
      <c r="V119" s="1011" t="e">
        <f t="shared" ca="1" si="22"/>
        <v>#VALUE!</v>
      </c>
      <c r="W119" s="1011" t="e">
        <f t="shared" ca="1" si="22"/>
        <v>#VALUE!</v>
      </c>
    </row>
    <row r="120" spans="1:23" x14ac:dyDescent="0.2">
      <c r="A120" s="1017" t="e">
        <f ca="1">INDEX($AI$7:$BJ$7,1,(C120-1)*2+1)</f>
        <v>#REF!</v>
      </c>
      <c r="B120" s="1018"/>
      <c r="C120" s="577">
        <f>C110+1</f>
        <v>8</v>
      </c>
    </row>
    <row r="122" spans="1:23" x14ac:dyDescent="0.2">
      <c r="C122" s="577" t="s">
        <v>203</v>
      </c>
      <c r="D122" s="577" t="s">
        <v>204</v>
      </c>
      <c r="E122" s="577" t="s">
        <v>205</v>
      </c>
      <c r="F122" s="577" t="s">
        <v>206</v>
      </c>
      <c r="G122" s="577" t="s">
        <v>207</v>
      </c>
      <c r="H122" s="577" t="s">
        <v>266</v>
      </c>
      <c r="I122" s="577" t="s">
        <v>267</v>
      </c>
      <c r="J122" s="577" t="s">
        <v>268</v>
      </c>
      <c r="K122" s="577" t="s">
        <v>269</v>
      </c>
      <c r="L122" s="577" t="s">
        <v>270</v>
      </c>
      <c r="M122" s="577" t="s">
        <v>271</v>
      </c>
      <c r="N122" s="577" t="s">
        <v>272</v>
      </c>
      <c r="O122" s="577" t="s">
        <v>273</v>
      </c>
      <c r="P122" s="577" t="s">
        <v>274</v>
      </c>
      <c r="Q122" s="577" t="s">
        <v>275</v>
      </c>
      <c r="R122" s="577" t="s">
        <v>276</v>
      </c>
      <c r="S122" s="577" t="s">
        <v>277</v>
      </c>
      <c r="T122" s="577" t="s">
        <v>278</v>
      </c>
      <c r="U122" s="577" t="s">
        <v>279</v>
      </c>
      <c r="V122" s="577" t="s">
        <v>280</v>
      </c>
      <c r="W122" s="577" t="s">
        <v>297</v>
      </c>
    </row>
    <row r="123" spans="1:23" x14ac:dyDescent="0.2">
      <c r="A123" s="577">
        <f>A113</f>
        <v>54.3</v>
      </c>
      <c r="B123" s="577">
        <v>1</v>
      </c>
      <c r="C123" s="1016" t="e">
        <f ca="1">C$44/(INDEX($AI$10:$BJ$14,$B123,(C120-1)*2+1)*RWDI_FACTORS!$D$12*(1+$B$1*INDEX($AI$10:$BJ$14,$B123,(C120-1)*2+2)))</f>
        <v>#VALUE!</v>
      </c>
      <c r="D123" s="1016" t="e">
        <f ca="1">D$44/(INDEX($AI$10:$BJ$14,$B123,(C120-1)*2+1)*RWDI_FACTORS!$D$12*(1+$B$1*INDEX($AI$10:$BJ$14,$B123,(C120-1)*2+2)))</f>
        <v>#VALUE!</v>
      </c>
      <c r="E123" s="1016" t="e">
        <f ca="1">E$44/(INDEX($AI$10:$BJ$14,$B123,(C120-1)*2+1)*RWDI_FACTORS!$D$12*(1+$B$1*INDEX($AI$10:$BJ$14,$B123,(C120-1)*2+2)))</f>
        <v>#VALUE!</v>
      </c>
      <c r="F123" s="1016" t="e">
        <f ca="1">F$44/(INDEX($AI$10:$BJ$14,$B123,(C120-1)*2+1)*RWDI_FACTORS!$D$12*(1+$B$1*INDEX($AI$10:$BJ$14,$B123,(C120-1)*2+2)))</f>
        <v>#VALUE!</v>
      </c>
      <c r="G123" s="1016" t="e">
        <f ca="1">G$44/(INDEX($AI$10:$BJ$14,$B123,(C120-1)*2+1)*RWDI_FACTORS!$D$12*(1+$B$1*INDEX($AI$10:$BJ$14,$B123,(C120-1)*2+2)))</f>
        <v>#VALUE!</v>
      </c>
      <c r="H123" s="1016" t="e">
        <f ca="1">H$44/(INDEX($AI$10:$BJ$14,$B123,(C120-1)*2+1)*RWDI_FACTORS!$D$12*(1+$B$1*INDEX($AI$10:$BJ$14,$B123,(C120-1)*2+2)))</f>
        <v>#VALUE!</v>
      </c>
      <c r="I123" s="1016" t="e">
        <f ca="1">I$44/(INDEX($AI$10:$BJ$14,$B123,(C120-1)*2+1)*RWDI_FACTORS!$D$12*(1+$B$1*INDEX($AI$10:$BJ$14,$B123,(C120-1)*2+2)))</f>
        <v>#VALUE!</v>
      </c>
      <c r="J123" s="1016" t="e">
        <f ca="1">J$44/(INDEX($AI$10:$BJ$14,$B123,(C120-1)*2+1)*RWDI_FACTORS!$D$12*(1+$B$1*INDEX($AI$10:$BJ$14,$B123,(C120-1)*2+2)))</f>
        <v>#VALUE!</v>
      </c>
      <c r="K123" s="1016" t="e">
        <f ca="1">K$44/(INDEX($AI$10:$BJ$14,$B123,(C120-1)*2+1)*RWDI_FACTORS!$D$12*(1+$B$1*INDEX($AI$10:$BJ$14,$B123,(C120-1)*2+2)))</f>
        <v>#VALUE!</v>
      </c>
      <c r="L123" s="1016" t="e">
        <f ca="1">L$44/(INDEX($AI$10:$BJ$14,$B123,(C120-1)*2+1)*RWDI_FACTORS!$D$12*(1+$B$1*INDEX($AI$10:$BJ$14,$B123,(C120-1)*2+2)))</f>
        <v>#VALUE!</v>
      </c>
      <c r="M123" s="1016" t="e">
        <f ca="1">M$44/(INDEX($AI$10:$BJ$14,$B123,(C120-1)*2+1)*RWDI_FACTORS!$D$12*(1+$B$1*INDEX($AI$10:$BJ$14,$B123,(C120-1)*2+2)))</f>
        <v>#VALUE!</v>
      </c>
      <c r="N123" s="1016" t="e">
        <f ca="1">N$44/(INDEX($AI$10:$BJ$14,$B123,(C120-1)*2+1)*RWDI_FACTORS!$D$12*(1+$B$1*INDEX($AI$10:$BJ$14,$B123,(C120-1)*2+2)))</f>
        <v>#VALUE!</v>
      </c>
      <c r="O123" s="1016" t="e">
        <f ca="1">O$44/(INDEX($AI$10:$BJ$14,$B123,(C120-1)*2+1)*RWDI_FACTORS!$D$12*(1+$B$1*INDEX($AI$10:$BJ$14,$B123,(C120-1)*2+2)))</f>
        <v>#VALUE!</v>
      </c>
      <c r="P123" s="1016" t="e">
        <f ca="1">P$44/(INDEX($AI$10:$BJ$14,$B123,(C120-1)*2+1)*RWDI_FACTORS!$D$12*(1+$B$1*INDEX($AI$10:$BJ$14,$B123,(C120-1)*2+2)))</f>
        <v>#VALUE!</v>
      </c>
      <c r="Q123" s="1016" t="e">
        <f ca="1">Q$44/(INDEX($AI$10:$BJ$14,$B123,(C120-1)*2+1)*RWDI_FACTORS!$D$12*(1+$B$1*INDEX($AI$10:$BJ$14,$B123,(C120-1)*2+2)))</f>
        <v>#VALUE!</v>
      </c>
      <c r="R123" s="1016" t="e">
        <f ca="1">R$44/(INDEX($AI$10:$BJ$14,$B123,(C120-1)*2+1)*RWDI_FACTORS!$D$12*(1+$B$1*INDEX($AI$10:$BJ$14,$B123,(C120-1)*2+2)))</f>
        <v>#VALUE!</v>
      </c>
      <c r="S123" s="1016" t="e">
        <f ca="1">S$44/(INDEX($AI$10:$BJ$14,$B123,(C120-1)*2+1)*RWDI_FACTORS!$D$12*(1+$B$1*INDEX($AI$10:$BJ$14,$B123,(C120-1)*2+2)))</f>
        <v>#VALUE!</v>
      </c>
      <c r="T123" s="1016" t="e">
        <f ca="1">T$44/(INDEX($AI$10:$BJ$14,$B123,(C120-1)*2+1)*RWDI_FACTORS!$D$12*(1+$B$1*INDEX($AI$10:$BJ$14,$B123,(C120-1)*2+2)))</f>
        <v>#VALUE!</v>
      </c>
      <c r="U123" s="1016" t="e">
        <f ca="1">U$44/(INDEX($AI$10:$BJ$14,$B123,(C120-1)*2+1)*RWDI_FACTORS!$D$12*(1+$B$1*INDEX($AI$10:$BJ$14,$B123,(C120-1)*2+2)))</f>
        <v>#VALUE!</v>
      </c>
      <c r="V123" s="1016" t="e">
        <f ca="1">V$44/(INDEX($AI$10:$BJ$14,$B123,(C120-1)*2+1)*RWDI_FACTORS!$D$12*(1+$B$1*INDEX($AI$10:$BJ$14,$B123,(C120-1)*2+2)))</f>
        <v>#VALUE!</v>
      </c>
      <c r="W123" s="1016" t="e">
        <f ca="1">W$44/(INDEX($AI$10:$BJ$14,$B123,(C120-1)*2+1)*RWDI_FACTORS!$D$12*(1+$B$1*INDEX($AI$10:$BJ$14,$B123,(C120-1)*2+2)))</f>
        <v>#VALUE!</v>
      </c>
    </row>
    <row r="124" spans="1:23" x14ac:dyDescent="0.2">
      <c r="A124" s="577">
        <f>A114</f>
        <v>90.5</v>
      </c>
      <c r="B124" s="577">
        <v>2</v>
      </c>
      <c r="C124" s="1016" t="e">
        <f ca="1">C$45/(INDEX($AI$10:$BJ$14,$B124,(C120-1)*2+1)*RWDI_FACTORS!$D$12*(1+$B$1*INDEX($AI$10:$BJ$14,$B124,(C120-1)*2+2)))</f>
        <v>#VALUE!</v>
      </c>
      <c r="D124" s="1016" t="e">
        <f ca="1">D$45/(INDEX($AI$10:$BJ$14,$B124,(C120-1)*2+1)*RWDI_FACTORS!$D$12*(1+$B$1*INDEX($AI$10:$BJ$14,$B124,(C120-1)*2+2)))</f>
        <v>#VALUE!</v>
      </c>
      <c r="E124" s="1016" t="e">
        <f ca="1">E$45/(INDEX($AI$10:$BJ$14,$B124,(C120-1)*2+1)*RWDI_FACTORS!$D$12*(1+$B$1*INDEX($AI$10:$BJ$14,$B124,(C120-1)*2+2)))</f>
        <v>#VALUE!</v>
      </c>
      <c r="F124" s="1016" t="e">
        <f ca="1">F$45/(INDEX($AI$10:$BJ$14,$B124,(C120-1)*2+1)*RWDI_FACTORS!$D$12*(1+$B$1*INDEX($AI$10:$BJ$14,$B124,(C120-1)*2+2)))</f>
        <v>#VALUE!</v>
      </c>
      <c r="G124" s="1016" t="e">
        <f ca="1">G$45/(INDEX($AI$10:$BJ$14,$B124,(C120-1)*2+1)*RWDI_FACTORS!$D$12*(1+$B$1*INDEX($AI$10:$BJ$14,$B124,(C120-1)*2+2)))</f>
        <v>#VALUE!</v>
      </c>
      <c r="H124" s="1016" t="e">
        <f ca="1">H$45/(INDEX($AI$10:$BJ$14,$B124,(C120-1)*2+1)*RWDI_FACTORS!$D$12*(1+$B$1*INDEX($AI$10:$BJ$14,$B124,(C120-1)*2+2)))</f>
        <v>#VALUE!</v>
      </c>
      <c r="I124" s="1016" t="e">
        <f ca="1">I$45/(INDEX($AI$10:$BJ$14,$B124,(C120-1)*2+1)*RWDI_FACTORS!$D$12*(1+$B$1*INDEX($AI$10:$BJ$14,$B124,(C120-1)*2+2)))</f>
        <v>#VALUE!</v>
      </c>
      <c r="J124" s="1016" t="e">
        <f ca="1">J$45/(INDEX($AI$10:$BJ$14,$B124,(C120-1)*2+1)*RWDI_FACTORS!$D$12*(1+$B$1*INDEX($AI$10:$BJ$14,$B124,(C120-1)*2+2)))</f>
        <v>#VALUE!</v>
      </c>
      <c r="K124" s="1016" t="e">
        <f ca="1">K$45/(INDEX($AI$10:$BJ$14,$B124,(C120-1)*2+1)*RWDI_FACTORS!$D$12*(1+$B$1*INDEX($AI$10:$BJ$14,$B124,(C120-1)*2+2)))</f>
        <v>#VALUE!</v>
      </c>
      <c r="L124" s="1016" t="e">
        <f ca="1">L$45/(INDEX($AI$10:$BJ$14,$B124,(C120-1)*2+1)*RWDI_FACTORS!$D$12*(1+$B$1*INDEX($AI$10:$BJ$14,$B124,(C120-1)*2+2)))</f>
        <v>#VALUE!</v>
      </c>
      <c r="M124" s="1016" t="e">
        <f ca="1">M$45/(INDEX($AI$10:$BJ$14,$B124,(C120-1)*2+1)*RWDI_FACTORS!$D$12*(1+$B$1*INDEX($AI$10:$BJ$14,$B124,(C120-1)*2+2)))</f>
        <v>#VALUE!</v>
      </c>
      <c r="N124" s="1016" t="e">
        <f ca="1">N$45/(INDEX($AI$10:$BJ$14,$B124,(C120-1)*2+1)*RWDI_FACTORS!$D$12*(1+$B$1*INDEX($AI$10:$BJ$14,$B124,(C120-1)*2+2)))</f>
        <v>#VALUE!</v>
      </c>
      <c r="O124" s="1016" t="e">
        <f ca="1">O$45/(INDEX($AI$10:$BJ$14,$B124,(C120-1)*2+1)*RWDI_FACTORS!$D$12*(1+$B$1*INDEX($AI$10:$BJ$14,$B124,(C120-1)*2+2)))</f>
        <v>#VALUE!</v>
      </c>
      <c r="P124" s="1016" t="e">
        <f ca="1">P$45/(INDEX($AI$10:$BJ$14,$B124,(C120-1)*2+1)*RWDI_FACTORS!$D$12*(1+$B$1*INDEX($AI$10:$BJ$14,$B124,(C120-1)*2+2)))</f>
        <v>#VALUE!</v>
      </c>
      <c r="Q124" s="1016" t="e">
        <f ca="1">Q$45/(INDEX($AI$10:$BJ$14,$B124,(C120-1)*2+1)*RWDI_FACTORS!$D$12*(1+$B$1*INDEX($AI$10:$BJ$14,$B124,(C120-1)*2+2)))</f>
        <v>#VALUE!</v>
      </c>
      <c r="R124" s="1016" t="e">
        <f ca="1">R$45/(INDEX($AI$10:$BJ$14,$B124,(C120-1)*2+1)*RWDI_FACTORS!$D$12*(1+$B$1*INDEX($AI$10:$BJ$14,$B124,(C120-1)*2+2)))</f>
        <v>#VALUE!</v>
      </c>
      <c r="S124" s="1016" t="e">
        <f ca="1">S$45/(INDEX($AI$10:$BJ$14,$B124,(C120-1)*2+1)*RWDI_FACTORS!$D$12*(1+$B$1*INDEX($AI$10:$BJ$14,$B124,(C120-1)*2+2)))</f>
        <v>#VALUE!</v>
      </c>
      <c r="T124" s="1016" t="e">
        <f ca="1">T$45/(INDEX($AI$10:$BJ$14,$B124,(C120-1)*2+1)*RWDI_FACTORS!$D$12*(1+$B$1*INDEX($AI$10:$BJ$14,$B124,(C120-1)*2+2)))</f>
        <v>#VALUE!</v>
      </c>
      <c r="U124" s="1016" t="e">
        <f ca="1">U$45/(INDEX($AI$10:$BJ$14,$B124,(C120-1)*2+1)*RWDI_FACTORS!$D$12*(1+$B$1*INDEX($AI$10:$BJ$14,$B124,(C120-1)*2+2)))</f>
        <v>#VALUE!</v>
      </c>
      <c r="V124" s="1016" t="e">
        <f ca="1">V$45/(INDEX($AI$10:$BJ$14,$B124,(C120-1)*2+1)*RWDI_FACTORS!$D$12*(1+$B$1*INDEX($AI$10:$BJ$14,$B124,(C120-1)*2+2)))</f>
        <v>#VALUE!</v>
      </c>
      <c r="W124" s="1016" t="e">
        <f ca="1">W$45/(INDEX($AI$10:$BJ$14,$B124,(C120-1)*2+1)*RWDI_FACTORS!$D$12*(1+$B$1*INDEX($AI$10:$BJ$14,$B124,(C120-1)*2+2)))</f>
        <v>#VALUE!</v>
      </c>
    </row>
    <row r="125" spans="1:23" x14ac:dyDescent="0.2">
      <c r="A125" s="577">
        <f>A115</f>
        <v>120.7</v>
      </c>
      <c r="B125" s="577">
        <v>3</v>
      </c>
      <c r="C125" s="1016" t="e">
        <f ca="1">C$46/(INDEX($AI$10:$BJ$14,$B125,(C120-1)*2+1)*RWDI_FACTORS!$D$12*(1+$B$1*INDEX($AI$10:$BJ$14,$B125,(C120-1)*2+2)))</f>
        <v>#VALUE!</v>
      </c>
      <c r="D125" s="1016" t="e">
        <f ca="1">D$46/(INDEX($AI$10:$BJ$14,$B125,(C120-1)*2+1)*RWDI_FACTORS!$D$12*(1+$B$1*INDEX($AI$10:$BJ$14,$B125,(C120-1)*2+2)))</f>
        <v>#VALUE!</v>
      </c>
      <c r="E125" s="1016" t="e">
        <f ca="1">E$46/(INDEX($AI$10:$BJ$14,$B125,(C120-1)*2+1)*RWDI_FACTORS!$D$12*(1+$B$1*INDEX($AI$10:$BJ$14,$B125,(C120-1)*2+2)))</f>
        <v>#VALUE!</v>
      </c>
      <c r="F125" s="1016" t="e">
        <f ca="1">F$46/(INDEX($AI$10:$BJ$14,$B125,(C120-1)*2+1)*RWDI_FACTORS!$D$12*(1+$B$1*INDEX($AI$10:$BJ$14,$B125,(C120-1)*2+2)))</f>
        <v>#VALUE!</v>
      </c>
      <c r="G125" s="1016" t="e">
        <f ca="1">G$46/(INDEX($AI$10:$BJ$14,$B125,(C120-1)*2+1)*RWDI_FACTORS!$D$12*(1+$B$1*INDEX($AI$10:$BJ$14,$B125,(C120-1)*2+2)))</f>
        <v>#VALUE!</v>
      </c>
      <c r="H125" s="1016" t="e">
        <f ca="1">H$46/(INDEX($AI$10:$BJ$14,$B125,(C120-1)*2+1)*RWDI_FACTORS!$D$12*(1+$B$1*INDEX($AI$10:$BJ$14,$B125,(C120-1)*2+2)))</f>
        <v>#VALUE!</v>
      </c>
      <c r="I125" s="1016" t="e">
        <f ca="1">I$46/(INDEX($AI$10:$BJ$14,$B125,(C120-1)*2+1)*RWDI_FACTORS!$D$12*(1+$B$1*INDEX($AI$10:$BJ$14,$B125,(C120-1)*2+2)))</f>
        <v>#VALUE!</v>
      </c>
      <c r="J125" s="1016" t="e">
        <f ca="1">J$46/(INDEX($AI$10:$BJ$14,$B125,(C120-1)*2+1)*RWDI_FACTORS!$D$12*(1+$B$1*INDEX($AI$10:$BJ$14,$B125,(C120-1)*2+2)))</f>
        <v>#VALUE!</v>
      </c>
      <c r="K125" s="1016" t="e">
        <f ca="1">K$46/(INDEX($AI$10:$BJ$14,$B125,(C120-1)*2+1)*RWDI_FACTORS!$D$12*(1+$B$1*INDEX($AI$10:$BJ$14,$B125,(C120-1)*2+2)))</f>
        <v>#VALUE!</v>
      </c>
      <c r="L125" s="1016" t="e">
        <f ca="1">L$46/(INDEX($AI$10:$BJ$14,$B125,(C120-1)*2+1)*RWDI_FACTORS!$D$12*(1+$B$1*INDEX($AI$10:$BJ$14,$B125,(C120-1)*2+2)))</f>
        <v>#VALUE!</v>
      </c>
      <c r="M125" s="1016" t="e">
        <f ca="1">M$46/(INDEX($AI$10:$BJ$14,$B125,(C120-1)*2+1)*RWDI_FACTORS!$D$12*(1+$B$1*INDEX($AI$10:$BJ$14,$B125,(C120-1)*2+2)))</f>
        <v>#VALUE!</v>
      </c>
      <c r="N125" s="1016" t="e">
        <f ca="1">N$46/(INDEX($AI$10:$BJ$14,$B125,(C120-1)*2+1)*RWDI_FACTORS!$D$12*(1+$B$1*INDEX($AI$10:$BJ$14,$B125,(C120-1)*2+2)))</f>
        <v>#VALUE!</v>
      </c>
      <c r="O125" s="1016" t="e">
        <f ca="1">O$46/(INDEX($AI$10:$BJ$14,$B125,(C120-1)*2+1)*RWDI_FACTORS!$D$12*(1+$B$1*INDEX($AI$10:$BJ$14,$B125,(C120-1)*2+2)))</f>
        <v>#VALUE!</v>
      </c>
      <c r="P125" s="1016" t="e">
        <f ca="1">P$46/(INDEX($AI$10:$BJ$14,$B125,(C120-1)*2+1)*RWDI_FACTORS!$D$12*(1+$B$1*INDEX($AI$10:$BJ$14,$B125,(C120-1)*2+2)))</f>
        <v>#VALUE!</v>
      </c>
      <c r="Q125" s="1016" t="e">
        <f ca="1">Q$46/(INDEX($AI$10:$BJ$14,$B125,(C120-1)*2+1)*RWDI_FACTORS!$D$12*(1+$B$1*INDEX($AI$10:$BJ$14,$B125,(C120-1)*2+2)))</f>
        <v>#VALUE!</v>
      </c>
      <c r="R125" s="1016" t="e">
        <f ca="1">R$46/(INDEX($AI$10:$BJ$14,$B125,(C120-1)*2+1)*RWDI_FACTORS!$D$12*(1+$B$1*INDEX($AI$10:$BJ$14,$B125,(C120-1)*2+2)))</f>
        <v>#VALUE!</v>
      </c>
      <c r="S125" s="1016" t="e">
        <f ca="1">S$46/(INDEX($AI$10:$BJ$14,$B125,(C120-1)*2+1)*RWDI_FACTORS!$D$12*(1+$B$1*INDEX($AI$10:$BJ$14,$B125,(C120-1)*2+2)))</f>
        <v>#VALUE!</v>
      </c>
      <c r="T125" s="1016" t="e">
        <f ca="1">T$46/(INDEX($AI$10:$BJ$14,$B125,(C120-1)*2+1)*RWDI_FACTORS!$D$12*(1+$B$1*INDEX($AI$10:$BJ$14,$B125,(C120-1)*2+2)))</f>
        <v>#VALUE!</v>
      </c>
      <c r="U125" s="1016" t="e">
        <f ca="1">U$46/(INDEX($AI$10:$BJ$14,$B125,(C120-1)*2+1)*RWDI_FACTORS!$D$12*(1+$B$1*INDEX($AI$10:$BJ$14,$B125,(C120-1)*2+2)))</f>
        <v>#VALUE!</v>
      </c>
      <c r="V125" s="1016" t="e">
        <f ca="1">V$46/(INDEX($AI$10:$BJ$14,$B125,(C120-1)*2+1)*RWDI_FACTORS!$D$12*(1+$B$1*INDEX($AI$10:$BJ$14,$B125,(C120-1)*2+2)))</f>
        <v>#VALUE!</v>
      </c>
      <c r="W125" s="1016" t="e">
        <f ca="1">W$46/(INDEX($AI$10:$BJ$14,$B125,(C120-1)*2+1)*RWDI_FACTORS!$D$12*(1+$B$1*INDEX($AI$10:$BJ$14,$B125,(C120-1)*2+2)))</f>
        <v>#VALUE!</v>
      </c>
    </row>
    <row r="126" spans="1:23" x14ac:dyDescent="0.2">
      <c r="A126" s="577">
        <f>A116</f>
        <v>144.80000000000001</v>
      </c>
      <c r="B126" s="577">
        <v>4</v>
      </c>
      <c r="C126" s="1016" t="e">
        <f ca="1">C$47/(INDEX($AI$10:$BJ$14,$B126,(C120-1)*2+1)*RWDI_FACTORS!$D$12*(1+$B$1*INDEX($AI$10:$BJ$14,$B126,(C120-1)*2+2)))</f>
        <v>#VALUE!</v>
      </c>
      <c r="D126" s="1016" t="e">
        <f ca="1">D$47/(INDEX($AI$10:$BJ$14,$B126,(C120-1)*2+1)*RWDI_FACTORS!$D$12*(1+$B$1*INDEX($AI$10:$BJ$14,$B126,(C120-1)*2+2)))</f>
        <v>#VALUE!</v>
      </c>
      <c r="E126" s="1016" t="e">
        <f ca="1">E$47/(INDEX($AI$10:$BJ$14,$B126,(C120-1)*2+1)*RWDI_FACTORS!$D$12*(1+$B$1*INDEX($AI$10:$BJ$14,$B126,(C120-1)*2+2)))</f>
        <v>#VALUE!</v>
      </c>
      <c r="F126" s="1016" t="e">
        <f ca="1">F$47/(INDEX($AI$10:$BJ$14,$B126,(C120-1)*2+1)*RWDI_FACTORS!$D$12*(1+$B$1*INDEX($AI$10:$BJ$14,$B126,(C120-1)*2+2)))</f>
        <v>#VALUE!</v>
      </c>
      <c r="G126" s="1016" t="e">
        <f ca="1">G$47/(INDEX($AI$10:$BJ$14,$B126,(C120-1)*2+1)*RWDI_FACTORS!$D$12*(1+$B$1*INDEX($AI$10:$BJ$14,$B126,(C120-1)*2+2)))</f>
        <v>#VALUE!</v>
      </c>
      <c r="H126" s="1016" t="e">
        <f ca="1">H$47/(INDEX($AI$10:$BJ$14,$B126,(C120-1)*2+1)*RWDI_FACTORS!$D$12*(1+$B$1*INDEX($AI$10:$BJ$14,$B126,(C120-1)*2+2)))</f>
        <v>#VALUE!</v>
      </c>
      <c r="I126" s="1016" t="e">
        <f ca="1">I$47/(INDEX($AI$10:$BJ$14,$B126,(C120-1)*2+1)*RWDI_FACTORS!$D$12*(1+$B$1*INDEX($AI$10:$BJ$14,$B126,(C120-1)*2+2)))</f>
        <v>#VALUE!</v>
      </c>
      <c r="J126" s="1016" t="e">
        <f ca="1">J$47/(INDEX($AI$10:$BJ$14,$B126,(C120-1)*2+1)*RWDI_FACTORS!$D$12*(1+$B$1*INDEX($AI$10:$BJ$14,$B126,(C120-1)*2+2)))</f>
        <v>#VALUE!</v>
      </c>
      <c r="K126" s="1016" t="e">
        <f ca="1">K$47/(INDEX($AI$10:$BJ$14,$B126,(C120-1)*2+1)*RWDI_FACTORS!$D$12*(1+$B$1*INDEX($AI$10:$BJ$14,$B126,(C120-1)*2+2)))</f>
        <v>#VALUE!</v>
      </c>
      <c r="L126" s="1016" t="e">
        <f ca="1">L$47/(INDEX($AI$10:$BJ$14,$B126,(C120-1)*2+1)*RWDI_FACTORS!$D$12*(1+$B$1*INDEX($AI$10:$BJ$14,$B126,(C120-1)*2+2)))</f>
        <v>#VALUE!</v>
      </c>
      <c r="M126" s="1016" t="e">
        <f ca="1">M$47/(INDEX($AI$10:$BJ$14,$B126,(C120-1)*2+1)*RWDI_FACTORS!$D$12*(1+$B$1*INDEX($AI$10:$BJ$14,$B126,(C120-1)*2+2)))</f>
        <v>#VALUE!</v>
      </c>
      <c r="N126" s="1016" t="e">
        <f ca="1">N$47/(INDEX($AI$10:$BJ$14,$B126,(C120-1)*2+1)*RWDI_FACTORS!$D$12*(1+$B$1*INDEX($AI$10:$BJ$14,$B126,(C120-1)*2+2)))</f>
        <v>#VALUE!</v>
      </c>
      <c r="O126" s="1016" t="e">
        <f ca="1">O$47/(INDEX($AI$10:$BJ$14,$B126,(C120-1)*2+1)*RWDI_FACTORS!$D$12*(1+$B$1*INDEX($AI$10:$BJ$14,$B126,(C120-1)*2+2)))</f>
        <v>#VALUE!</v>
      </c>
      <c r="P126" s="1016" t="e">
        <f ca="1">P$47/(INDEX($AI$10:$BJ$14,$B126,(C120-1)*2+1)*RWDI_FACTORS!$D$12*(1+$B$1*INDEX($AI$10:$BJ$14,$B126,(C120-1)*2+2)))</f>
        <v>#VALUE!</v>
      </c>
      <c r="Q126" s="1016" t="e">
        <f ca="1">Q$47/(INDEX($AI$10:$BJ$14,$B126,(C120-1)*2+1)*RWDI_FACTORS!$D$12*(1+$B$1*INDEX($AI$10:$BJ$14,$B126,(C120-1)*2+2)))</f>
        <v>#VALUE!</v>
      </c>
      <c r="R126" s="1016" t="e">
        <f ca="1">R$47/(INDEX($AI$10:$BJ$14,$B126,(C120-1)*2+1)*RWDI_FACTORS!$D$12*(1+$B$1*INDEX($AI$10:$BJ$14,$B126,(C120-1)*2+2)))</f>
        <v>#VALUE!</v>
      </c>
      <c r="S126" s="1016" t="e">
        <f ca="1">S$47/(INDEX($AI$10:$BJ$14,$B126,(C120-1)*2+1)*RWDI_FACTORS!$D$12*(1+$B$1*INDEX($AI$10:$BJ$14,$B126,(C120-1)*2+2)))</f>
        <v>#VALUE!</v>
      </c>
      <c r="T126" s="1016" t="e">
        <f ca="1">T$47/(INDEX($AI$10:$BJ$14,$B126,(C120-1)*2+1)*RWDI_FACTORS!$D$12*(1+$B$1*INDEX($AI$10:$BJ$14,$B126,(C120-1)*2+2)))</f>
        <v>#VALUE!</v>
      </c>
      <c r="U126" s="1016" t="e">
        <f ca="1">U$47/(INDEX($AI$10:$BJ$14,$B126,(C120-1)*2+1)*RWDI_FACTORS!$D$12*(1+$B$1*INDEX($AI$10:$BJ$14,$B126,(C120-1)*2+2)))</f>
        <v>#VALUE!</v>
      </c>
      <c r="V126" s="1016" t="e">
        <f ca="1">V$47/(INDEX($AI$10:$BJ$14,$B126,(C120-1)*2+1)*RWDI_FACTORS!$D$12*(1+$B$1*INDEX($AI$10:$BJ$14,$B126,(C120-1)*2+2)))</f>
        <v>#VALUE!</v>
      </c>
      <c r="W126" s="1016" t="e">
        <f ca="1">W$47/(INDEX($AI$10:$BJ$14,$B126,(C120-1)*2+1)*RWDI_FACTORS!$D$12*(1+$B$1*INDEX($AI$10:$BJ$14,$B126,(C120-1)*2+2)))</f>
        <v>#VALUE!</v>
      </c>
    </row>
    <row r="127" spans="1:23" x14ac:dyDescent="0.2">
      <c r="A127" s="577">
        <f>A117</f>
        <v>181</v>
      </c>
      <c r="B127" s="577">
        <v>5</v>
      </c>
      <c r="C127" s="1016" t="e">
        <f ca="1">C$48/(INDEX($AI$10:$BJ$14,$B127,(C120-1)*2+1)*RWDI_FACTORS!$D$12*(1+$B$1*INDEX($AI$10:$BJ$14,$B127,(C120-1)*2+2)))</f>
        <v>#VALUE!</v>
      </c>
      <c r="D127" s="1016" t="e">
        <f ca="1">D$48/(INDEX($AI$10:$BJ$14,$B127,(C120-1)*2+1)*RWDI_FACTORS!$D$12*(1+$B$1*INDEX($AI$10:$BJ$14,$B127,(C120-1)*2+2)))</f>
        <v>#VALUE!</v>
      </c>
      <c r="E127" s="1016" t="e">
        <f ca="1">E$48/(INDEX($AI$10:$BJ$14,$B127,(C120-1)*2+1)*RWDI_FACTORS!$D$12*(1+$B$1*INDEX($AI$10:$BJ$14,$B127,(C120-1)*2+2)))</f>
        <v>#VALUE!</v>
      </c>
      <c r="F127" s="1016" t="e">
        <f ca="1">F$48/(INDEX($AI$10:$BJ$14,$B127,(C120-1)*2+1)*RWDI_FACTORS!$D$12*(1+$B$1*INDEX($AI$10:$BJ$14,$B127,(C120-1)*2+2)))</f>
        <v>#VALUE!</v>
      </c>
      <c r="G127" s="1016" t="e">
        <f ca="1">G$48/(INDEX($AI$10:$BJ$14,$B127,(C120-1)*2+1)*RWDI_FACTORS!$D$12*(1+$B$1*INDEX($AI$10:$BJ$14,$B127,(C120-1)*2+2)))</f>
        <v>#VALUE!</v>
      </c>
      <c r="H127" s="1016" t="e">
        <f ca="1">H$48/(INDEX($AI$10:$BJ$14,$B127,(C120-1)*2+1)*RWDI_FACTORS!$D$12*(1+$B$1*INDEX($AI$10:$BJ$14,$B127,(C120-1)*2+2)))</f>
        <v>#VALUE!</v>
      </c>
      <c r="I127" s="1016" t="e">
        <f ca="1">I$48/(INDEX($AI$10:$BJ$14,$B127,(C120-1)*2+1)*RWDI_FACTORS!$D$12*(1+$B$1*INDEX($AI$10:$BJ$14,$B127,(C120-1)*2+2)))</f>
        <v>#VALUE!</v>
      </c>
      <c r="J127" s="1016" t="e">
        <f ca="1">J$48/(INDEX($AI$10:$BJ$14,$B127,(C120-1)*2+1)*RWDI_FACTORS!$D$12*(1+$B$1*INDEX($AI$10:$BJ$14,$B127,(C120-1)*2+2)))</f>
        <v>#VALUE!</v>
      </c>
      <c r="K127" s="1016" t="e">
        <f ca="1">K$48/(INDEX($AI$10:$BJ$14,$B127,(C120-1)*2+1)*RWDI_FACTORS!$D$12*(1+$B$1*INDEX($AI$10:$BJ$14,$B127,(C120-1)*2+2)))</f>
        <v>#VALUE!</v>
      </c>
      <c r="L127" s="1016" t="e">
        <f ca="1">L$48/(INDEX($AI$10:$BJ$14,$B127,(C120-1)*2+1)*RWDI_FACTORS!$D$12*(1+$B$1*INDEX($AI$10:$BJ$14,$B127,(C120-1)*2+2)))</f>
        <v>#VALUE!</v>
      </c>
      <c r="M127" s="1016" t="e">
        <f ca="1">M$48/(INDEX($AI$10:$BJ$14,$B127,(C120-1)*2+1)*RWDI_FACTORS!$D$12*(1+$B$1*INDEX($AI$10:$BJ$14,$B127,(C120-1)*2+2)))</f>
        <v>#VALUE!</v>
      </c>
      <c r="N127" s="1016" t="e">
        <f ca="1">N$48/(INDEX($AI$10:$BJ$14,$B127,(C120-1)*2+1)*RWDI_FACTORS!$D$12*(1+$B$1*INDEX($AI$10:$BJ$14,$B127,(C120-1)*2+2)))</f>
        <v>#VALUE!</v>
      </c>
      <c r="O127" s="1016" t="e">
        <f ca="1">O$48/(INDEX($AI$10:$BJ$14,$B127,(C120-1)*2+1)*RWDI_FACTORS!$D$12*(1+$B$1*INDEX($AI$10:$BJ$14,$B127,(C120-1)*2+2)))</f>
        <v>#VALUE!</v>
      </c>
      <c r="P127" s="1016" t="e">
        <f ca="1">P$48/(INDEX($AI$10:$BJ$14,$B127,(C120-1)*2+1)*RWDI_FACTORS!$D$12*(1+$B$1*INDEX($AI$10:$BJ$14,$B127,(C120-1)*2+2)))</f>
        <v>#VALUE!</v>
      </c>
      <c r="Q127" s="1016" t="e">
        <f ca="1">Q$48/(INDEX($AI$10:$BJ$14,$B127,(C120-1)*2+1)*RWDI_FACTORS!$D$12*(1+$B$1*INDEX($AI$10:$BJ$14,$B127,(C120-1)*2+2)))</f>
        <v>#VALUE!</v>
      </c>
      <c r="R127" s="1016" t="e">
        <f ca="1">R$48/(INDEX($AI$10:$BJ$14,$B127,(C120-1)*2+1)*RWDI_FACTORS!$D$12*(1+$B$1*INDEX($AI$10:$BJ$14,$B127,(C120-1)*2+2)))</f>
        <v>#VALUE!</v>
      </c>
      <c r="S127" s="1016" t="e">
        <f ca="1">S$48/(INDEX($AI$10:$BJ$14,$B127,(C120-1)*2+1)*RWDI_FACTORS!$D$12*(1+$B$1*INDEX($AI$10:$BJ$14,$B127,(C120-1)*2+2)))</f>
        <v>#VALUE!</v>
      </c>
      <c r="T127" s="1016" t="e">
        <f ca="1">T$48/(INDEX($AI$10:$BJ$14,$B127,(C120-1)*2+1)*RWDI_FACTORS!$D$12*(1+$B$1*INDEX($AI$10:$BJ$14,$B127,(C120-1)*2+2)))</f>
        <v>#VALUE!</v>
      </c>
      <c r="U127" s="1016" t="e">
        <f ca="1">U$48/(INDEX($AI$10:$BJ$14,$B127,(C120-1)*2+1)*RWDI_FACTORS!$D$12*(1+$B$1*INDEX($AI$10:$BJ$14,$B127,(C120-1)*2+2)))</f>
        <v>#VALUE!</v>
      </c>
      <c r="V127" s="1016" t="e">
        <f ca="1">V$48/(INDEX($AI$10:$BJ$14,$B127,(C120-1)*2+1)*RWDI_FACTORS!$D$12*(1+$B$1*INDEX($AI$10:$BJ$14,$B127,(C120-1)*2+2)))</f>
        <v>#VALUE!</v>
      </c>
      <c r="W127" s="1016" t="e">
        <f ca="1">W$48/(INDEX($AI$10:$BJ$14,$B127,(C120-1)*2+1)*RWDI_FACTORS!$D$12*(1+$B$1*INDEX($AI$10:$BJ$14,$B127,(C120-1)*2+2)))</f>
        <v>#VALUE!</v>
      </c>
    </row>
    <row r="128" spans="1:23" x14ac:dyDescent="0.2">
      <c r="B128" s="1019" t="s">
        <v>609</v>
      </c>
      <c r="C128" s="1011" t="e">
        <f t="shared" ref="C128:W128" ca="1" si="23">AVERAGE(C123:C127)</f>
        <v>#VALUE!</v>
      </c>
      <c r="D128" s="1011" t="e">
        <f t="shared" ca="1" si="23"/>
        <v>#VALUE!</v>
      </c>
      <c r="E128" s="1011" t="e">
        <f t="shared" ca="1" si="23"/>
        <v>#VALUE!</v>
      </c>
      <c r="F128" s="1011" t="e">
        <f t="shared" ca="1" si="23"/>
        <v>#VALUE!</v>
      </c>
      <c r="G128" s="1011" t="e">
        <f t="shared" ca="1" si="23"/>
        <v>#VALUE!</v>
      </c>
      <c r="H128" s="1011" t="e">
        <f t="shared" ca="1" si="23"/>
        <v>#VALUE!</v>
      </c>
      <c r="I128" s="1011" t="e">
        <f t="shared" ca="1" si="23"/>
        <v>#VALUE!</v>
      </c>
      <c r="J128" s="1011" t="e">
        <f t="shared" ca="1" si="23"/>
        <v>#VALUE!</v>
      </c>
      <c r="K128" s="1011" t="e">
        <f t="shared" ca="1" si="23"/>
        <v>#VALUE!</v>
      </c>
      <c r="L128" s="1011" t="e">
        <f t="shared" ca="1" si="23"/>
        <v>#VALUE!</v>
      </c>
      <c r="M128" s="1011" t="e">
        <f t="shared" ca="1" si="23"/>
        <v>#VALUE!</v>
      </c>
      <c r="N128" s="1011" t="e">
        <f t="shared" ca="1" si="23"/>
        <v>#VALUE!</v>
      </c>
      <c r="O128" s="1011" t="e">
        <f t="shared" ca="1" si="23"/>
        <v>#VALUE!</v>
      </c>
      <c r="P128" s="1011" t="e">
        <f t="shared" ca="1" si="23"/>
        <v>#VALUE!</v>
      </c>
      <c r="Q128" s="1011" t="e">
        <f t="shared" ca="1" si="23"/>
        <v>#VALUE!</v>
      </c>
      <c r="R128" s="1011" t="e">
        <f t="shared" ca="1" si="23"/>
        <v>#VALUE!</v>
      </c>
      <c r="S128" s="1011" t="e">
        <f t="shared" ca="1" si="23"/>
        <v>#VALUE!</v>
      </c>
      <c r="T128" s="1011" t="e">
        <f t="shared" ca="1" si="23"/>
        <v>#VALUE!</v>
      </c>
      <c r="U128" s="1011" t="e">
        <f t="shared" ca="1" si="23"/>
        <v>#VALUE!</v>
      </c>
      <c r="V128" s="1011" t="e">
        <f t="shared" ca="1" si="23"/>
        <v>#VALUE!</v>
      </c>
      <c r="W128" s="1011" t="e">
        <f t="shared" ca="1" si="23"/>
        <v>#VALUE!</v>
      </c>
    </row>
    <row r="129" spans="1:23" x14ac:dyDescent="0.2">
      <c r="B129" s="1019" t="s">
        <v>610</v>
      </c>
      <c r="C129" s="1011" t="e">
        <f t="shared" ref="C129:W129" ca="1" si="24">STDEV(C123:C127)/C128*100</f>
        <v>#VALUE!</v>
      </c>
      <c r="D129" s="1011" t="e">
        <f t="shared" ca="1" si="24"/>
        <v>#VALUE!</v>
      </c>
      <c r="E129" s="1011" t="e">
        <f t="shared" ca="1" si="24"/>
        <v>#VALUE!</v>
      </c>
      <c r="F129" s="1011" t="e">
        <f t="shared" ca="1" si="24"/>
        <v>#VALUE!</v>
      </c>
      <c r="G129" s="1011" t="e">
        <f t="shared" ca="1" si="24"/>
        <v>#VALUE!</v>
      </c>
      <c r="H129" s="1011" t="e">
        <f t="shared" ca="1" si="24"/>
        <v>#VALUE!</v>
      </c>
      <c r="I129" s="1011" t="e">
        <f t="shared" ca="1" si="24"/>
        <v>#VALUE!</v>
      </c>
      <c r="J129" s="1011" t="e">
        <f t="shared" ca="1" si="24"/>
        <v>#VALUE!</v>
      </c>
      <c r="K129" s="1011" t="e">
        <f t="shared" ca="1" si="24"/>
        <v>#VALUE!</v>
      </c>
      <c r="L129" s="1011" t="e">
        <f t="shared" ca="1" si="24"/>
        <v>#VALUE!</v>
      </c>
      <c r="M129" s="1011" t="e">
        <f t="shared" ca="1" si="24"/>
        <v>#VALUE!</v>
      </c>
      <c r="N129" s="1011" t="e">
        <f t="shared" ca="1" si="24"/>
        <v>#VALUE!</v>
      </c>
      <c r="O129" s="1011" t="e">
        <f t="shared" ca="1" si="24"/>
        <v>#VALUE!</v>
      </c>
      <c r="P129" s="1011" t="e">
        <f t="shared" ca="1" si="24"/>
        <v>#VALUE!</v>
      </c>
      <c r="Q129" s="1011" t="e">
        <f t="shared" ca="1" si="24"/>
        <v>#VALUE!</v>
      </c>
      <c r="R129" s="1011" t="e">
        <f t="shared" ca="1" si="24"/>
        <v>#VALUE!</v>
      </c>
      <c r="S129" s="1011" t="e">
        <f t="shared" ca="1" si="24"/>
        <v>#VALUE!</v>
      </c>
      <c r="T129" s="1011" t="e">
        <f t="shared" ca="1" si="24"/>
        <v>#VALUE!</v>
      </c>
      <c r="U129" s="1011" t="e">
        <f t="shared" ca="1" si="24"/>
        <v>#VALUE!</v>
      </c>
      <c r="V129" s="1011" t="e">
        <f t="shared" ca="1" si="24"/>
        <v>#VALUE!</v>
      </c>
      <c r="W129" s="1011" t="e">
        <f t="shared" ca="1" si="24"/>
        <v>#VALUE!</v>
      </c>
    </row>
    <row r="130" spans="1:23" x14ac:dyDescent="0.2">
      <c r="A130" s="1017" t="e">
        <f ca="1">INDEX($AI$7:$BJ$7,1,(C130-1)*2+1)</f>
        <v>#REF!</v>
      </c>
      <c r="B130" s="1018"/>
      <c r="C130" s="577">
        <f>C120+1</f>
        <v>9</v>
      </c>
    </row>
    <row r="132" spans="1:23" x14ac:dyDescent="0.2">
      <c r="C132" s="577" t="s">
        <v>203</v>
      </c>
      <c r="D132" s="577" t="s">
        <v>204</v>
      </c>
      <c r="E132" s="577" t="s">
        <v>205</v>
      </c>
      <c r="F132" s="577" t="s">
        <v>206</v>
      </c>
      <c r="G132" s="577" t="s">
        <v>207</v>
      </c>
      <c r="H132" s="577" t="s">
        <v>266</v>
      </c>
      <c r="I132" s="577" t="s">
        <v>267</v>
      </c>
      <c r="J132" s="577" t="s">
        <v>268</v>
      </c>
      <c r="K132" s="577" t="s">
        <v>269</v>
      </c>
      <c r="L132" s="577" t="s">
        <v>270</v>
      </c>
      <c r="M132" s="577" t="s">
        <v>271</v>
      </c>
      <c r="N132" s="577" t="s">
        <v>272</v>
      </c>
      <c r="O132" s="577" t="s">
        <v>273</v>
      </c>
      <c r="P132" s="577" t="s">
        <v>274</v>
      </c>
      <c r="Q132" s="577" t="s">
        <v>275</v>
      </c>
      <c r="R132" s="577" t="s">
        <v>276</v>
      </c>
      <c r="S132" s="577" t="s">
        <v>277</v>
      </c>
      <c r="T132" s="577" t="s">
        <v>278</v>
      </c>
      <c r="U132" s="577" t="s">
        <v>279</v>
      </c>
      <c r="V132" s="577" t="s">
        <v>280</v>
      </c>
      <c r="W132" s="577" t="s">
        <v>297</v>
      </c>
    </row>
    <row r="133" spans="1:23" x14ac:dyDescent="0.2">
      <c r="A133" s="577">
        <f>A123</f>
        <v>54.3</v>
      </c>
      <c r="B133" s="577">
        <v>1</v>
      </c>
      <c r="C133" s="1016" t="e">
        <f ca="1">C$44/(INDEX($AI$10:$BJ$14,$B133,(C130-1)*2+1)*RWDI_FACTORS!$D$12*(1+$B$1*INDEX($AI$10:$BJ$14,$B133,(C130-1)*2+2)))</f>
        <v>#VALUE!</v>
      </c>
      <c r="D133" s="1016" t="e">
        <f ca="1">D$44/(INDEX($AI$10:$BJ$14,$B133,(C130-1)*2+1)*RWDI_FACTORS!$D$12*(1+$B$1*INDEX($AI$10:$BJ$14,$B133,(C130-1)*2+2)))</f>
        <v>#VALUE!</v>
      </c>
      <c r="E133" s="1016" t="e">
        <f ca="1">E$44/(INDEX($AI$10:$BJ$14,$B133,(C130-1)*2+1)*RWDI_FACTORS!$D$12*(1+$B$1*INDEX($AI$10:$BJ$14,$B133,(C130-1)*2+2)))</f>
        <v>#VALUE!</v>
      </c>
      <c r="F133" s="1016" t="e">
        <f ca="1">F$44/(INDEX($AI$10:$BJ$14,$B133,(C130-1)*2+1)*RWDI_FACTORS!$D$12*(1+$B$1*INDEX($AI$10:$BJ$14,$B133,(C130-1)*2+2)))</f>
        <v>#VALUE!</v>
      </c>
      <c r="G133" s="1016" t="e">
        <f ca="1">G$44/(INDEX($AI$10:$BJ$14,$B133,(C130-1)*2+1)*RWDI_FACTORS!$D$12*(1+$B$1*INDEX($AI$10:$BJ$14,$B133,(C130-1)*2+2)))</f>
        <v>#VALUE!</v>
      </c>
      <c r="H133" s="1016" t="e">
        <f ca="1">H$44/(INDEX($AI$10:$BJ$14,$B133,(C130-1)*2+1)*RWDI_FACTORS!$D$12*(1+$B$1*INDEX($AI$10:$BJ$14,$B133,(C130-1)*2+2)))</f>
        <v>#VALUE!</v>
      </c>
      <c r="I133" s="1016" t="e">
        <f ca="1">I$44/(INDEX($AI$10:$BJ$14,$B133,(C130-1)*2+1)*RWDI_FACTORS!$D$12*(1+$B$1*INDEX($AI$10:$BJ$14,$B133,(C130-1)*2+2)))</f>
        <v>#VALUE!</v>
      </c>
      <c r="J133" s="1016" t="e">
        <f ca="1">J$44/(INDEX($AI$10:$BJ$14,$B133,(C130-1)*2+1)*RWDI_FACTORS!$D$12*(1+$B$1*INDEX($AI$10:$BJ$14,$B133,(C130-1)*2+2)))</f>
        <v>#VALUE!</v>
      </c>
      <c r="K133" s="1016" t="e">
        <f ca="1">K$44/(INDEX($AI$10:$BJ$14,$B133,(C130-1)*2+1)*RWDI_FACTORS!$D$12*(1+$B$1*INDEX($AI$10:$BJ$14,$B133,(C130-1)*2+2)))</f>
        <v>#VALUE!</v>
      </c>
      <c r="L133" s="1016" t="e">
        <f ca="1">L$44/(INDEX($AI$10:$BJ$14,$B133,(C130-1)*2+1)*RWDI_FACTORS!$D$12*(1+$B$1*INDEX($AI$10:$BJ$14,$B133,(C130-1)*2+2)))</f>
        <v>#VALUE!</v>
      </c>
      <c r="M133" s="1016" t="e">
        <f ca="1">M$44/(INDEX($AI$10:$BJ$14,$B133,(C130-1)*2+1)*RWDI_FACTORS!$D$12*(1+$B$1*INDEX($AI$10:$BJ$14,$B133,(C130-1)*2+2)))</f>
        <v>#VALUE!</v>
      </c>
      <c r="N133" s="1016" t="e">
        <f ca="1">N$44/(INDEX($AI$10:$BJ$14,$B133,(C130-1)*2+1)*RWDI_FACTORS!$D$12*(1+$B$1*INDEX($AI$10:$BJ$14,$B133,(C130-1)*2+2)))</f>
        <v>#VALUE!</v>
      </c>
      <c r="O133" s="1016" t="e">
        <f ca="1">O$44/(INDEX($AI$10:$BJ$14,$B133,(C130-1)*2+1)*RWDI_FACTORS!$D$12*(1+$B$1*INDEX($AI$10:$BJ$14,$B133,(C130-1)*2+2)))</f>
        <v>#VALUE!</v>
      </c>
      <c r="P133" s="1016" t="e">
        <f ca="1">P$44/(INDEX($AI$10:$BJ$14,$B133,(C130-1)*2+1)*RWDI_FACTORS!$D$12*(1+$B$1*INDEX($AI$10:$BJ$14,$B133,(C130-1)*2+2)))</f>
        <v>#VALUE!</v>
      </c>
      <c r="Q133" s="1016" t="e">
        <f ca="1">Q$44/(INDEX($AI$10:$BJ$14,$B133,(C130-1)*2+1)*RWDI_FACTORS!$D$12*(1+$B$1*INDEX($AI$10:$BJ$14,$B133,(C130-1)*2+2)))</f>
        <v>#VALUE!</v>
      </c>
      <c r="R133" s="1016" t="e">
        <f ca="1">R$44/(INDEX($AI$10:$BJ$14,$B133,(C130-1)*2+1)*RWDI_FACTORS!$D$12*(1+$B$1*INDEX($AI$10:$BJ$14,$B133,(C130-1)*2+2)))</f>
        <v>#VALUE!</v>
      </c>
      <c r="S133" s="1016" t="e">
        <f ca="1">S$44/(INDEX($AI$10:$BJ$14,$B133,(C130-1)*2+1)*RWDI_FACTORS!$D$12*(1+$B$1*INDEX($AI$10:$BJ$14,$B133,(C130-1)*2+2)))</f>
        <v>#VALUE!</v>
      </c>
      <c r="T133" s="1016" t="e">
        <f ca="1">T$44/(INDEX($AI$10:$BJ$14,$B133,(C130-1)*2+1)*RWDI_FACTORS!$D$12*(1+$B$1*INDEX($AI$10:$BJ$14,$B133,(C130-1)*2+2)))</f>
        <v>#VALUE!</v>
      </c>
      <c r="U133" s="1016" t="e">
        <f ca="1">U$44/(INDEX($AI$10:$BJ$14,$B133,(C130-1)*2+1)*RWDI_FACTORS!$D$12*(1+$B$1*INDEX($AI$10:$BJ$14,$B133,(C130-1)*2+2)))</f>
        <v>#VALUE!</v>
      </c>
      <c r="V133" s="1016" t="e">
        <f ca="1">V$44/(INDEX($AI$10:$BJ$14,$B133,(C130-1)*2+1)*RWDI_FACTORS!$D$12*(1+$B$1*INDEX($AI$10:$BJ$14,$B133,(C130-1)*2+2)))</f>
        <v>#VALUE!</v>
      </c>
      <c r="W133" s="1016" t="e">
        <f ca="1">W$44/(INDEX($AI$10:$BJ$14,$B133,(C130-1)*2+1)*RWDI_FACTORS!$D$12*(1+$B$1*INDEX($AI$10:$BJ$14,$B133,(C130-1)*2+2)))</f>
        <v>#VALUE!</v>
      </c>
    </row>
    <row r="134" spans="1:23" x14ac:dyDescent="0.2">
      <c r="A134" s="577">
        <f>A124</f>
        <v>90.5</v>
      </c>
      <c r="B134" s="577">
        <v>2</v>
      </c>
      <c r="C134" s="1016" t="e">
        <f ca="1">C$45/(INDEX($AI$10:$BJ$14,$B134,(C130-1)*2+1)*RWDI_FACTORS!$D$12*(1+$B$1*INDEX($AI$10:$BJ$14,$B134,(C130-1)*2+2)))</f>
        <v>#VALUE!</v>
      </c>
      <c r="D134" s="1016" t="e">
        <f ca="1">D$45/(INDEX($AI$10:$BJ$14,$B134,(C130-1)*2+1)*RWDI_FACTORS!$D$12*(1+$B$1*INDEX($AI$10:$BJ$14,$B134,(C130-1)*2+2)))</f>
        <v>#VALUE!</v>
      </c>
      <c r="E134" s="1016" t="e">
        <f ca="1">E$45/(INDEX($AI$10:$BJ$14,$B134,(C130-1)*2+1)*RWDI_FACTORS!$D$12*(1+$B$1*INDEX($AI$10:$BJ$14,$B134,(C130-1)*2+2)))</f>
        <v>#VALUE!</v>
      </c>
      <c r="F134" s="1016" t="e">
        <f ca="1">F$45/(INDEX($AI$10:$BJ$14,$B134,(C130-1)*2+1)*RWDI_FACTORS!$D$12*(1+$B$1*INDEX($AI$10:$BJ$14,$B134,(C130-1)*2+2)))</f>
        <v>#VALUE!</v>
      </c>
      <c r="G134" s="1016" t="e">
        <f ca="1">G$45/(INDEX($AI$10:$BJ$14,$B134,(C130-1)*2+1)*RWDI_FACTORS!$D$12*(1+$B$1*INDEX($AI$10:$BJ$14,$B134,(C130-1)*2+2)))</f>
        <v>#VALUE!</v>
      </c>
      <c r="H134" s="1016" t="e">
        <f ca="1">H$45/(INDEX($AI$10:$BJ$14,$B134,(C130-1)*2+1)*RWDI_FACTORS!$D$12*(1+$B$1*INDEX($AI$10:$BJ$14,$B134,(C130-1)*2+2)))</f>
        <v>#VALUE!</v>
      </c>
      <c r="I134" s="1016" t="e">
        <f ca="1">I$45/(INDEX($AI$10:$BJ$14,$B134,(C130-1)*2+1)*RWDI_FACTORS!$D$12*(1+$B$1*INDEX($AI$10:$BJ$14,$B134,(C130-1)*2+2)))</f>
        <v>#VALUE!</v>
      </c>
      <c r="J134" s="1016" t="e">
        <f ca="1">J$45/(INDEX($AI$10:$BJ$14,$B134,(C130-1)*2+1)*RWDI_FACTORS!$D$12*(1+$B$1*INDEX($AI$10:$BJ$14,$B134,(C130-1)*2+2)))</f>
        <v>#VALUE!</v>
      </c>
      <c r="K134" s="1016" t="e">
        <f ca="1">K$45/(INDEX($AI$10:$BJ$14,$B134,(C130-1)*2+1)*RWDI_FACTORS!$D$12*(1+$B$1*INDEX($AI$10:$BJ$14,$B134,(C130-1)*2+2)))</f>
        <v>#VALUE!</v>
      </c>
      <c r="L134" s="1016" t="e">
        <f ca="1">L$45/(INDEX($AI$10:$BJ$14,$B134,(C130-1)*2+1)*RWDI_FACTORS!$D$12*(1+$B$1*INDEX($AI$10:$BJ$14,$B134,(C130-1)*2+2)))</f>
        <v>#VALUE!</v>
      </c>
      <c r="M134" s="1016" t="e">
        <f ca="1">M$45/(INDEX($AI$10:$BJ$14,$B134,(C130-1)*2+1)*RWDI_FACTORS!$D$12*(1+$B$1*INDEX($AI$10:$BJ$14,$B134,(C130-1)*2+2)))</f>
        <v>#VALUE!</v>
      </c>
      <c r="N134" s="1016" t="e">
        <f ca="1">N$45/(INDEX($AI$10:$BJ$14,$B134,(C130-1)*2+1)*RWDI_FACTORS!$D$12*(1+$B$1*INDEX($AI$10:$BJ$14,$B134,(C130-1)*2+2)))</f>
        <v>#VALUE!</v>
      </c>
      <c r="O134" s="1016" t="e">
        <f ca="1">O$45/(INDEX($AI$10:$BJ$14,$B134,(C130-1)*2+1)*RWDI_FACTORS!$D$12*(1+$B$1*INDEX($AI$10:$BJ$14,$B134,(C130-1)*2+2)))</f>
        <v>#VALUE!</v>
      </c>
      <c r="P134" s="1016" t="e">
        <f ca="1">P$45/(INDEX($AI$10:$BJ$14,$B134,(C130-1)*2+1)*RWDI_FACTORS!$D$12*(1+$B$1*INDEX($AI$10:$BJ$14,$B134,(C130-1)*2+2)))</f>
        <v>#VALUE!</v>
      </c>
      <c r="Q134" s="1016" t="e">
        <f ca="1">Q$45/(INDEX($AI$10:$BJ$14,$B134,(C130-1)*2+1)*RWDI_FACTORS!$D$12*(1+$B$1*INDEX($AI$10:$BJ$14,$B134,(C130-1)*2+2)))</f>
        <v>#VALUE!</v>
      </c>
      <c r="R134" s="1016" t="e">
        <f ca="1">R$45/(INDEX($AI$10:$BJ$14,$B134,(C130-1)*2+1)*RWDI_FACTORS!$D$12*(1+$B$1*INDEX($AI$10:$BJ$14,$B134,(C130-1)*2+2)))</f>
        <v>#VALUE!</v>
      </c>
      <c r="S134" s="1016" t="e">
        <f ca="1">S$45/(INDEX($AI$10:$BJ$14,$B134,(C130-1)*2+1)*RWDI_FACTORS!$D$12*(1+$B$1*INDEX($AI$10:$BJ$14,$B134,(C130-1)*2+2)))</f>
        <v>#VALUE!</v>
      </c>
      <c r="T134" s="1016" t="e">
        <f ca="1">T$45/(INDEX($AI$10:$BJ$14,$B134,(C130-1)*2+1)*RWDI_FACTORS!$D$12*(1+$B$1*INDEX($AI$10:$BJ$14,$B134,(C130-1)*2+2)))</f>
        <v>#VALUE!</v>
      </c>
      <c r="U134" s="1016" t="e">
        <f ca="1">U$45/(INDEX($AI$10:$BJ$14,$B134,(C130-1)*2+1)*RWDI_FACTORS!$D$12*(1+$B$1*INDEX($AI$10:$BJ$14,$B134,(C130-1)*2+2)))</f>
        <v>#VALUE!</v>
      </c>
      <c r="V134" s="1016" t="e">
        <f ca="1">V$45/(INDEX($AI$10:$BJ$14,$B134,(C130-1)*2+1)*RWDI_FACTORS!$D$12*(1+$B$1*INDEX($AI$10:$BJ$14,$B134,(C130-1)*2+2)))</f>
        <v>#VALUE!</v>
      </c>
      <c r="W134" s="1016" t="e">
        <f ca="1">W$45/(INDEX($AI$10:$BJ$14,$B134,(C130-1)*2+1)*RWDI_FACTORS!$D$12*(1+$B$1*INDEX($AI$10:$BJ$14,$B134,(C130-1)*2+2)))</f>
        <v>#VALUE!</v>
      </c>
    </row>
    <row r="135" spans="1:23" x14ac:dyDescent="0.2">
      <c r="A135" s="577">
        <f>A125</f>
        <v>120.7</v>
      </c>
      <c r="B135" s="577">
        <v>3</v>
      </c>
      <c r="C135" s="1016" t="e">
        <f ca="1">C$46/(INDEX($AI$10:$BJ$14,$B135,(C130-1)*2+1)*RWDI_FACTORS!$D$12*(1+$B$1*INDEX($AI$10:$BJ$14,$B135,(C130-1)*2+2)))</f>
        <v>#VALUE!</v>
      </c>
      <c r="D135" s="1016" t="e">
        <f ca="1">D$46/(INDEX($AI$10:$BJ$14,$B135,(C130-1)*2+1)*RWDI_FACTORS!$D$12*(1+$B$1*INDEX($AI$10:$BJ$14,$B135,(C130-1)*2+2)))</f>
        <v>#VALUE!</v>
      </c>
      <c r="E135" s="1016" t="e">
        <f ca="1">E$46/(INDEX($AI$10:$BJ$14,$B135,(C130-1)*2+1)*RWDI_FACTORS!$D$12*(1+$B$1*INDEX($AI$10:$BJ$14,$B135,(C130-1)*2+2)))</f>
        <v>#VALUE!</v>
      </c>
      <c r="F135" s="1016" t="e">
        <f ca="1">F$46/(INDEX($AI$10:$BJ$14,$B135,(C130-1)*2+1)*RWDI_FACTORS!$D$12*(1+$B$1*INDEX($AI$10:$BJ$14,$B135,(C130-1)*2+2)))</f>
        <v>#VALUE!</v>
      </c>
      <c r="G135" s="1016" t="e">
        <f ca="1">G$46/(INDEX($AI$10:$BJ$14,$B135,(C130-1)*2+1)*RWDI_FACTORS!$D$12*(1+$B$1*INDEX($AI$10:$BJ$14,$B135,(C130-1)*2+2)))</f>
        <v>#VALUE!</v>
      </c>
      <c r="H135" s="1016" t="e">
        <f ca="1">H$46/(INDEX($AI$10:$BJ$14,$B135,(C130-1)*2+1)*RWDI_FACTORS!$D$12*(1+$B$1*INDEX($AI$10:$BJ$14,$B135,(C130-1)*2+2)))</f>
        <v>#VALUE!</v>
      </c>
      <c r="I135" s="1016" t="e">
        <f ca="1">I$46/(INDEX($AI$10:$BJ$14,$B135,(C130-1)*2+1)*RWDI_FACTORS!$D$12*(1+$B$1*INDEX($AI$10:$BJ$14,$B135,(C130-1)*2+2)))</f>
        <v>#VALUE!</v>
      </c>
      <c r="J135" s="1016" t="e">
        <f ca="1">J$46/(INDEX($AI$10:$BJ$14,$B135,(C130-1)*2+1)*RWDI_FACTORS!$D$12*(1+$B$1*INDEX($AI$10:$BJ$14,$B135,(C130-1)*2+2)))</f>
        <v>#VALUE!</v>
      </c>
      <c r="K135" s="1016" t="e">
        <f ca="1">K$46/(INDEX($AI$10:$BJ$14,$B135,(C130-1)*2+1)*RWDI_FACTORS!$D$12*(1+$B$1*INDEX($AI$10:$BJ$14,$B135,(C130-1)*2+2)))</f>
        <v>#VALUE!</v>
      </c>
      <c r="L135" s="1016" t="e">
        <f ca="1">L$46/(INDEX($AI$10:$BJ$14,$B135,(C130-1)*2+1)*RWDI_FACTORS!$D$12*(1+$B$1*INDEX($AI$10:$BJ$14,$B135,(C130-1)*2+2)))</f>
        <v>#VALUE!</v>
      </c>
      <c r="M135" s="1016" t="e">
        <f ca="1">M$46/(INDEX($AI$10:$BJ$14,$B135,(C130-1)*2+1)*RWDI_FACTORS!$D$12*(1+$B$1*INDEX($AI$10:$BJ$14,$B135,(C130-1)*2+2)))</f>
        <v>#VALUE!</v>
      </c>
      <c r="N135" s="1016" t="e">
        <f ca="1">N$46/(INDEX($AI$10:$BJ$14,$B135,(C130-1)*2+1)*RWDI_FACTORS!$D$12*(1+$B$1*INDEX($AI$10:$BJ$14,$B135,(C130-1)*2+2)))</f>
        <v>#VALUE!</v>
      </c>
      <c r="O135" s="1016" t="e">
        <f ca="1">O$46/(INDEX($AI$10:$BJ$14,$B135,(C130-1)*2+1)*RWDI_FACTORS!$D$12*(1+$B$1*INDEX($AI$10:$BJ$14,$B135,(C130-1)*2+2)))</f>
        <v>#VALUE!</v>
      </c>
      <c r="P135" s="1016" t="e">
        <f ca="1">P$46/(INDEX($AI$10:$BJ$14,$B135,(C130-1)*2+1)*RWDI_FACTORS!$D$12*(1+$B$1*INDEX($AI$10:$BJ$14,$B135,(C130-1)*2+2)))</f>
        <v>#VALUE!</v>
      </c>
      <c r="Q135" s="1016" t="e">
        <f ca="1">Q$46/(INDEX($AI$10:$BJ$14,$B135,(C130-1)*2+1)*RWDI_FACTORS!$D$12*(1+$B$1*INDEX($AI$10:$BJ$14,$B135,(C130-1)*2+2)))</f>
        <v>#VALUE!</v>
      </c>
      <c r="R135" s="1016" t="e">
        <f ca="1">R$46/(INDEX($AI$10:$BJ$14,$B135,(C130-1)*2+1)*RWDI_FACTORS!$D$12*(1+$B$1*INDEX($AI$10:$BJ$14,$B135,(C130-1)*2+2)))</f>
        <v>#VALUE!</v>
      </c>
      <c r="S135" s="1016" t="e">
        <f ca="1">S$46/(INDEX($AI$10:$BJ$14,$B135,(C130-1)*2+1)*RWDI_FACTORS!$D$12*(1+$B$1*INDEX($AI$10:$BJ$14,$B135,(C130-1)*2+2)))</f>
        <v>#VALUE!</v>
      </c>
      <c r="T135" s="1016" t="e">
        <f ca="1">T$46/(INDEX($AI$10:$BJ$14,$B135,(C130-1)*2+1)*RWDI_FACTORS!$D$12*(1+$B$1*INDEX($AI$10:$BJ$14,$B135,(C130-1)*2+2)))</f>
        <v>#VALUE!</v>
      </c>
      <c r="U135" s="1016" t="e">
        <f ca="1">U$46/(INDEX($AI$10:$BJ$14,$B135,(C130-1)*2+1)*RWDI_FACTORS!$D$12*(1+$B$1*INDEX($AI$10:$BJ$14,$B135,(C130-1)*2+2)))</f>
        <v>#VALUE!</v>
      </c>
      <c r="V135" s="1016" t="e">
        <f ca="1">V$46/(INDEX($AI$10:$BJ$14,$B135,(C130-1)*2+1)*RWDI_FACTORS!$D$12*(1+$B$1*INDEX($AI$10:$BJ$14,$B135,(C130-1)*2+2)))</f>
        <v>#VALUE!</v>
      </c>
      <c r="W135" s="1016" t="e">
        <f ca="1">W$46/(INDEX($AI$10:$BJ$14,$B135,(C130-1)*2+1)*RWDI_FACTORS!$D$12*(1+$B$1*INDEX($AI$10:$BJ$14,$B135,(C130-1)*2+2)))</f>
        <v>#VALUE!</v>
      </c>
    </row>
    <row r="136" spans="1:23" x14ac:dyDescent="0.2">
      <c r="A136" s="577">
        <f>A126</f>
        <v>144.80000000000001</v>
      </c>
      <c r="B136" s="577">
        <v>4</v>
      </c>
      <c r="C136" s="1016" t="e">
        <f ca="1">C$47/(INDEX($AI$10:$BJ$14,$B136,(C130-1)*2+1)*RWDI_FACTORS!$D$12*(1+$B$1*INDEX($AI$10:$BJ$14,$B136,(C130-1)*2+2)))</f>
        <v>#VALUE!</v>
      </c>
      <c r="D136" s="1016" t="e">
        <f ca="1">D$47/(INDEX($AI$10:$BJ$14,$B136,(C130-1)*2+1)*RWDI_FACTORS!$D$12*(1+$B$1*INDEX($AI$10:$BJ$14,$B136,(C130-1)*2+2)))</f>
        <v>#VALUE!</v>
      </c>
      <c r="E136" s="1016" t="e">
        <f ca="1">E$47/(INDEX($AI$10:$BJ$14,$B136,(C130-1)*2+1)*RWDI_FACTORS!$D$12*(1+$B$1*INDEX($AI$10:$BJ$14,$B136,(C130-1)*2+2)))</f>
        <v>#VALUE!</v>
      </c>
      <c r="F136" s="1016" t="e">
        <f ca="1">F$47/(INDEX($AI$10:$BJ$14,$B136,(C130-1)*2+1)*RWDI_FACTORS!$D$12*(1+$B$1*INDEX($AI$10:$BJ$14,$B136,(C130-1)*2+2)))</f>
        <v>#VALUE!</v>
      </c>
      <c r="G136" s="1016" t="e">
        <f ca="1">G$47/(INDEX($AI$10:$BJ$14,$B136,(C130-1)*2+1)*RWDI_FACTORS!$D$12*(1+$B$1*INDEX($AI$10:$BJ$14,$B136,(C130-1)*2+2)))</f>
        <v>#VALUE!</v>
      </c>
      <c r="H136" s="1016" t="e">
        <f ca="1">H$47/(INDEX($AI$10:$BJ$14,$B136,(C130-1)*2+1)*RWDI_FACTORS!$D$12*(1+$B$1*INDEX($AI$10:$BJ$14,$B136,(C130-1)*2+2)))</f>
        <v>#VALUE!</v>
      </c>
      <c r="I136" s="1016" t="e">
        <f ca="1">I$47/(INDEX($AI$10:$BJ$14,$B136,(C130-1)*2+1)*RWDI_FACTORS!$D$12*(1+$B$1*INDEX($AI$10:$BJ$14,$B136,(C130-1)*2+2)))</f>
        <v>#VALUE!</v>
      </c>
      <c r="J136" s="1016" t="e">
        <f ca="1">J$47/(INDEX($AI$10:$BJ$14,$B136,(C130-1)*2+1)*RWDI_FACTORS!$D$12*(1+$B$1*INDEX($AI$10:$BJ$14,$B136,(C130-1)*2+2)))</f>
        <v>#VALUE!</v>
      </c>
      <c r="K136" s="1016" t="e">
        <f ca="1">K$47/(INDEX($AI$10:$BJ$14,$B136,(C130-1)*2+1)*RWDI_FACTORS!$D$12*(1+$B$1*INDEX($AI$10:$BJ$14,$B136,(C130-1)*2+2)))</f>
        <v>#VALUE!</v>
      </c>
      <c r="L136" s="1016" t="e">
        <f ca="1">L$47/(INDEX($AI$10:$BJ$14,$B136,(C130-1)*2+1)*RWDI_FACTORS!$D$12*(1+$B$1*INDEX($AI$10:$BJ$14,$B136,(C130-1)*2+2)))</f>
        <v>#VALUE!</v>
      </c>
      <c r="M136" s="1016" t="e">
        <f ca="1">M$47/(INDEX($AI$10:$BJ$14,$B136,(C130-1)*2+1)*RWDI_FACTORS!$D$12*(1+$B$1*INDEX($AI$10:$BJ$14,$B136,(C130-1)*2+2)))</f>
        <v>#VALUE!</v>
      </c>
      <c r="N136" s="1016" t="e">
        <f ca="1">N$47/(INDEX($AI$10:$BJ$14,$B136,(C130-1)*2+1)*RWDI_FACTORS!$D$12*(1+$B$1*INDEX($AI$10:$BJ$14,$B136,(C130-1)*2+2)))</f>
        <v>#VALUE!</v>
      </c>
      <c r="O136" s="1016" t="e">
        <f ca="1">O$47/(INDEX($AI$10:$BJ$14,$B136,(C130-1)*2+1)*RWDI_FACTORS!$D$12*(1+$B$1*INDEX($AI$10:$BJ$14,$B136,(C130-1)*2+2)))</f>
        <v>#VALUE!</v>
      </c>
      <c r="P136" s="1016" t="e">
        <f ca="1">P$47/(INDEX($AI$10:$BJ$14,$B136,(C130-1)*2+1)*RWDI_FACTORS!$D$12*(1+$B$1*INDEX($AI$10:$BJ$14,$B136,(C130-1)*2+2)))</f>
        <v>#VALUE!</v>
      </c>
      <c r="Q136" s="1016" t="e">
        <f ca="1">Q$47/(INDEX($AI$10:$BJ$14,$B136,(C130-1)*2+1)*RWDI_FACTORS!$D$12*(1+$B$1*INDEX($AI$10:$BJ$14,$B136,(C130-1)*2+2)))</f>
        <v>#VALUE!</v>
      </c>
      <c r="R136" s="1016" t="e">
        <f ca="1">R$47/(INDEX($AI$10:$BJ$14,$B136,(C130-1)*2+1)*RWDI_FACTORS!$D$12*(1+$B$1*INDEX($AI$10:$BJ$14,$B136,(C130-1)*2+2)))</f>
        <v>#VALUE!</v>
      </c>
      <c r="S136" s="1016" t="e">
        <f ca="1">S$47/(INDEX($AI$10:$BJ$14,$B136,(C130-1)*2+1)*RWDI_FACTORS!$D$12*(1+$B$1*INDEX($AI$10:$BJ$14,$B136,(C130-1)*2+2)))</f>
        <v>#VALUE!</v>
      </c>
      <c r="T136" s="1016" t="e">
        <f ca="1">T$47/(INDEX($AI$10:$BJ$14,$B136,(C130-1)*2+1)*RWDI_FACTORS!$D$12*(1+$B$1*INDEX($AI$10:$BJ$14,$B136,(C130-1)*2+2)))</f>
        <v>#VALUE!</v>
      </c>
      <c r="U136" s="1016" t="e">
        <f ca="1">U$47/(INDEX($AI$10:$BJ$14,$B136,(C130-1)*2+1)*RWDI_FACTORS!$D$12*(1+$B$1*INDEX($AI$10:$BJ$14,$B136,(C130-1)*2+2)))</f>
        <v>#VALUE!</v>
      </c>
      <c r="V136" s="1016" t="e">
        <f ca="1">V$47/(INDEX($AI$10:$BJ$14,$B136,(C130-1)*2+1)*RWDI_FACTORS!$D$12*(1+$B$1*INDEX($AI$10:$BJ$14,$B136,(C130-1)*2+2)))</f>
        <v>#VALUE!</v>
      </c>
      <c r="W136" s="1016" t="e">
        <f ca="1">W$47/(INDEX($AI$10:$BJ$14,$B136,(C130-1)*2+1)*RWDI_FACTORS!$D$12*(1+$B$1*INDEX($AI$10:$BJ$14,$B136,(C130-1)*2+2)))</f>
        <v>#VALUE!</v>
      </c>
    </row>
    <row r="137" spans="1:23" x14ac:dyDescent="0.2">
      <c r="A137" s="577">
        <f>A127</f>
        <v>181</v>
      </c>
      <c r="B137" s="577">
        <v>5</v>
      </c>
      <c r="C137" s="1016" t="e">
        <f ca="1">C$48/(INDEX($AI$10:$BJ$14,$B137,(C130-1)*2+1)*RWDI_FACTORS!$D$12*(1+$B$1*INDEX($AI$10:$BJ$14,$B137,(C130-1)*2+2)))</f>
        <v>#VALUE!</v>
      </c>
      <c r="D137" s="1016" t="e">
        <f ca="1">D$48/(INDEX($AI$10:$BJ$14,$B137,(C130-1)*2+1)*RWDI_FACTORS!$D$12*(1+$B$1*INDEX($AI$10:$BJ$14,$B137,(C130-1)*2+2)))</f>
        <v>#VALUE!</v>
      </c>
      <c r="E137" s="1016" t="e">
        <f ca="1">E$48/(INDEX($AI$10:$BJ$14,$B137,(C130-1)*2+1)*RWDI_FACTORS!$D$12*(1+$B$1*INDEX($AI$10:$BJ$14,$B137,(C130-1)*2+2)))</f>
        <v>#VALUE!</v>
      </c>
      <c r="F137" s="1016" t="e">
        <f ca="1">F$48/(INDEX($AI$10:$BJ$14,$B137,(C130-1)*2+1)*RWDI_FACTORS!$D$12*(1+$B$1*INDEX($AI$10:$BJ$14,$B137,(C130-1)*2+2)))</f>
        <v>#VALUE!</v>
      </c>
      <c r="G137" s="1016" t="e">
        <f ca="1">G$48/(INDEX($AI$10:$BJ$14,$B137,(C130-1)*2+1)*RWDI_FACTORS!$D$12*(1+$B$1*INDEX($AI$10:$BJ$14,$B137,(C130-1)*2+2)))</f>
        <v>#VALUE!</v>
      </c>
      <c r="H137" s="1016" t="e">
        <f ca="1">H$48/(INDEX($AI$10:$BJ$14,$B137,(C130-1)*2+1)*RWDI_FACTORS!$D$12*(1+$B$1*INDEX($AI$10:$BJ$14,$B137,(C130-1)*2+2)))</f>
        <v>#VALUE!</v>
      </c>
      <c r="I137" s="1016" t="e">
        <f ca="1">I$48/(INDEX($AI$10:$BJ$14,$B137,(C130-1)*2+1)*RWDI_FACTORS!$D$12*(1+$B$1*INDEX($AI$10:$BJ$14,$B137,(C130-1)*2+2)))</f>
        <v>#VALUE!</v>
      </c>
      <c r="J137" s="1016" t="e">
        <f ca="1">J$48/(INDEX($AI$10:$BJ$14,$B137,(C130-1)*2+1)*RWDI_FACTORS!$D$12*(1+$B$1*INDEX($AI$10:$BJ$14,$B137,(C130-1)*2+2)))</f>
        <v>#VALUE!</v>
      </c>
      <c r="K137" s="1016" t="e">
        <f ca="1">K$48/(INDEX($AI$10:$BJ$14,$B137,(C130-1)*2+1)*RWDI_FACTORS!$D$12*(1+$B$1*INDEX($AI$10:$BJ$14,$B137,(C130-1)*2+2)))</f>
        <v>#VALUE!</v>
      </c>
      <c r="L137" s="1016" t="e">
        <f ca="1">L$48/(INDEX($AI$10:$BJ$14,$B137,(C130-1)*2+1)*RWDI_FACTORS!$D$12*(1+$B$1*INDEX($AI$10:$BJ$14,$B137,(C130-1)*2+2)))</f>
        <v>#VALUE!</v>
      </c>
      <c r="M137" s="1016" t="e">
        <f ca="1">M$48/(INDEX($AI$10:$BJ$14,$B137,(C130-1)*2+1)*RWDI_FACTORS!$D$12*(1+$B$1*INDEX($AI$10:$BJ$14,$B137,(C130-1)*2+2)))</f>
        <v>#VALUE!</v>
      </c>
      <c r="N137" s="1016" t="e">
        <f ca="1">N$48/(INDEX($AI$10:$BJ$14,$B137,(C130-1)*2+1)*RWDI_FACTORS!$D$12*(1+$B$1*INDEX($AI$10:$BJ$14,$B137,(C130-1)*2+2)))</f>
        <v>#VALUE!</v>
      </c>
      <c r="O137" s="1016" t="e">
        <f ca="1">O$48/(INDEX($AI$10:$BJ$14,$B137,(C130-1)*2+1)*RWDI_FACTORS!$D$12*(1+$B$1*INDEX($AI$10:$BJ$14,$B137,(C130-1)*2+2)))</f>
        <v>#VALUE!</v>
      </c>
      <c r="P137" s="1016" t="e">
        <f ca="1">P$48/(INDEX($AI$10:$BJ$14,$B137,(C130-1)*2+1)*RWDI_FACTORS!$D$12*(1+$B$1*INDEX($AI$10:$BJ$14,$B137,(C130-1)*2+2)))</f>
        <v>#VALUE!</v>
      </c>
      <c r="Q137" s="1016" t="e">
        <f ca="1">Q$48/(INDEX($AI$10:$BJ$14,$B137,(C130-1)*2+1)*RWDI_FACTORS!$D$12*(1+$B$1*INDEX($AI$10:$BJ$14,$B137,(C130-1)*2+2)))</f>
        <v>#VALUE!</v>
      </c>
      <c r="R137" s="1016" t="e">
        <f ca="1">R$48/(INDEX($AI$10:$BJ$14,$B137,(C130-1)*2+1)*RWDI_FACTORS!$D$12*(1+$B$1*INDEX($AI$10:$BJ$14,$B137,(C130-1)*2+2)))</f>
        <v>#VALUE!</v>
      </c>
      <c r="S137" s="1016" t="e">
        <f ca="1">S$48/(INDEX($AI$10:$BJ$14,$B137,(C130-1)*2+1)*RWDI_FACTORS!$D$12*(1+$B$1*INDEX($AI$10:$BJ$14,$B137,(C130-1)*2+2)))</f>
        <v>#VALUE!</v>
      </c>
      <c r="T137" s="1016" t="e">
        <f ca="1">T$48/(INDEX($AI$10:$BJ$14,$B137,(C130-1)*2+1)*RWDI_FACTORS!$D$12*(1+$B$1*INDEX($AI$10:$BJ$14,$B137,(C130-1)*2+2)))</f>
        <v>#VALUE!</v>
      </c>
      <c r="U137" s="1016" t="e">
        <f ca="1">U$48/(INDEX($AI$10:$BJ$14,$B137,(C130-1)*2+1)*RWDI_FACTORS!$D$12*(1+$B$1*INDEX($AI$10:$BJ$14,$B137,(C130-1)*2+2)))</f>
        <v>#VALUE!</v>
      </c>
      <c r="V137" s="1016" t="e">
        <f ca="1">V$48/(INDEX($AI$10:$BJ$14,$B137,(C130-1)*2+1)*RWDI_FACTORS!$D$12*(1+$B$1*INDEX($AI$10:$BJ$14,$B137,(C130-1)*2+2)))</f>
        <v>#VALUE!</v>
      </c>
      <c r="W137" s="1016" t="e">
        <f ca="1">W$48/(INDEX($AI$10:$BJ$14,$B137,(C130-1)*2+1)*RWDI_FACTORS!$D$12*(1+$B$1*INDEX($AI$10:$BJ$14,$B137,(C130-1)*2+2)))</f>
        <v>#VALUE!</v>
      </c>
    </row>
    <row r="138" spans="1:23" x14ac:dyDescent="0.2">
      <c r="B138" s="1019" t="s">
        <v>609</v>
      </c>
      <c r="C138" s="1011" t="e">
        <f t="shared" ref="C138:W138" ca="1" si="25">AVERAGE(C133:C137)</f>
        <v>#VALUE!</v>
      </c>
      <c r="D138" s="1011" t="e">
        <f t="shared" ca="1" si="25"/>
        <v>#VALUE!</v>
      </c>
      <c r="E138" s="1011" t="e">
        <f t="shared" ca="1" si="25"/>
        <v>#VALUE!</v>
      </c>
      <c r="F138" s="1011" t="e">
        <f t="shared" ca="1" si="25"/>
        <v>#VALUE!</v>
      </c>
      <c r="G138" s="1011" t="e">
        <f t="shared" ca="1" si="25"/>
        <v>#VALUE!</v>
      </c>
      <c r="H138" s="1011" t="e">
        <f t="shared" ca="1" si="25"/>
        <v>#VALUE!</v>
      </c>
      <c r="I138" s="1011" t="e">
        <f t="shared" ca="1" si="25"/>
        <v>#VALUE!</v>
      </c>
      <c r="J138" s="1011" t="e">
        <f t="shared" ca="1" si="25"/>
        <v>#VALUE!</v>
      </c>
      <c r="K138" s="1011" t="e">
        <f t="shared" ca="1" si="25"/>
        <v>#VALUE!</v>
      </c>
      <c r="L138" s="1011" t="e">
        <f t="shared" ca="1" si="25"/>
        <v>#VALUE!</v>
      </c>
      <c r="M138" s="1011" t="e">
        <f t="shared" ca="1" si="25"/>
        <v>#VALUE!</v>
      </c>
      <c r="N138" s="1011" t="e">
        <f t="shared" ca="1" si="25"/>
        <v>#VALUE!</v>
      </c>
      <c r="O138" s="1011" t="e">
        <f t="shared" ca="1" si="25"/>
        <v>#VALUE!</v>
      </c>
      <c r="P138" s="1011" t="e">
        <f t="shared" ca="1" si="25"/>
        <v>#VALUE!</v>
      </c>
      <c r="Q138" s="1011" t="e">
        <f t="shared" ca="1" si="25"/>
        <v>#VALUE!</v>
      </c>
      <c r="R138" s="1011" t="e">
        <f t="shared" ca="1" si="25"/>
        <v>#VALUE!</v>
      </c>
      <c r="S138" s="1011" t="e">
        <f t="shared" ca="1" si="25"/>
        <v>#VALUE!</v>
      </c>
      <c r="T138" s="1011" t="e">
        <f t="shared" ca="1" si="25"/>
        <v>#VALUE!</v>
      </c>
      <c r="U138" s="1011" t="e">
        <f t="shared" ca="1" si="25"/>
        <v>#VALUE!</v>
      </c>
      <c r="V138" s="1011" t="e">
        <f t="shared" ca="1" si="25"/>
        <v>#VALUE!</v>
      </c>
      <c r="W138" s="1011" t="e">
        <f t="shared" ca="1" si="25"/>
        <v>#VALUE!</v>
      </c>
    </row>
    <row r="139" spans="1:23" x14ac:dyDescent="0.2">
      <c r="B139" s="1019" t="s">
        <v>610</v>
      </c>
      <c r="C139" s="1011" t="e">
        <f t="shared" ref="C139:W139" ca="1" si="26">STDEV(C133:C137)/C138*100</f>
        <v>#VALUE!</v>
      </c>
      <c r="D139" s="1011" t="e">
        <f t="shared" ca="1" si="26"/>
        <v>#VALUE!</v>
      </c>
      <c r="E139" s="1011" t="e">
        <f t="shared" ca="1" si="26"/>
        <v>#VALUE!</v>
      </c>
      <c r="F139" s="1011" t="e">
        <f t="shared" ca="1" si="26"/>
        <v>#VALUE!</v>
      </c>
      <c r="G139" s="1011" t="e">
        <f t="shared" ca="1" si="26"/>
        <v>#VALUE!</v>
      </c>
      <c r="H139" s="1011" t="e">
        <f t="shared" ca="1" si="26"/>
        <v>#VALUE!</v>
      </c>
      <c r="I139" s="1011" t="e">
        <f t="shared" ca="1" si="26"/>
        <v>#VALUE!</v>
      </c>
      <c r="J139" s="1011" t="e">
        <f t="shared" ca="1" si="26"/>
        <v>#VALUE!</v>
      </c>
      <c r="K139" s="1011" t="e">
        <f t="shared" ca="1" si="26"/>
        <v>#VALUE!</v>
      </c>
      <c r="L139" s="1011" t="e">
        <f t="shared" ca="1" si="26"/>
        <v>#VALUE!</v>
      </c>
      <c r="M139" s="1011" t="e">
        <f t="shared" ca="1" si="26"/>
        <v>#VALUE!</v>
      </c>
      <c r="N139" s="1011" t="e">
        <f t="shared" ca="1" si="26"/>
        <v>#VALUE!</v>
      </c>
      <c r="O139" s="1011" t="e">
        <f t="shared" ca="1" si="26"/>
        <v>#VALUE!</v>
      </c>
      <c r="P139" s="1011" t="e">
        <f t="shared" ca="1" si="26"/>
        <v>#VALUE!</v>
      </c>
      <c r="Q139" s="1011" t="e">
        <f t="shared" ca="1" si="26"/>
        <v>#VALUE!</v>
      </c>
      <c r="R139" s="1011" t="e">
        <f t="shared" ca="1" si="26"/>
        <v>#VALUE!</v>
      </c>
      <c r="S139" s="1011" t="e">
        <f t="shared" ca="1" si="26"/>
        <v>#VALUE!</v>
      </c>
      <c r="T139" s="1011" t="e">
        <f t="shared" ca="1" si="26"/>
        <v>#VALUE!</v>
      </c>
      <c r="U139" s="1011" t="e">
        <f t="shared" ca="1" si="26"/>
        <v>#VALUE!</v>
      </c>
      <c r="V139" s="1011" t="e">
        <f t="shared" ca="1" si="26"/>
        <v>#VALUE!</v>
      </c>
      <c r="W139" s="1011" t="e">
        <f t="shared" ca="1" si="26"/>
        <v>#VALUE!</v>
      </c>
    </row>
    <row r="140" spans="1:23" x14ac:dyDescent="0.2">
      <c r="A140" s="1017" t="e">
        <f ca="1">INDEX($AI$7:$BJ$7,1,(C140-1)*2+1)</f>
        <v>#REF!</v>
      </c>
      <c r="B140" s="1018"/>
      <c r="C140" s="577">
        <f>C130+1</f>
        <v>10</v>
      </c>
    </row>
    <row r="142" spans="1:23" x14ac:dyDescent="0.2">
      <c r="C142" s="577" t="s">
        <v>203</v>
      </c>
      <c r="D142" s="577" t="s">
        <v>204</v>
      </c>
      <c r="E142" s="577" t="s">
        <v>205</v>
      </c>
      <c r="F142" s="577" t="s">
        <v>206</v>
      </c>
      <c r="G142" s="577" t="s">
        <v>207</v>
      </c>
      <c r="H142" s="577" t="s">
        <v>266</v>
      </c>
      <c r="I142" s="577" t="s">
        <v>267</v>
      </c>
      <c r="J142" s="577" t="s">
        <v>268</v>
      </c>
      <c r="K142" s="577" t="s">
        <v>269</v>
      </c>
      <c r="L142" s="577" t="s">
        <v>270</v>
      </c>
      <c r="M142" s="577" t="s">
        <v>271</v>
      </c>
      <c r="N142" s="577" t="s">
        <v>272</v>
      </c>
      <c r="O142" s="577" t="s">
        <v>273</v>
      </c>
      <c r="P142" s="577" t="s">
        <v>274</v>
      </c>
      <c r="Q142" s="577" t="s">
        <v>275</v>
      </c>
      <c r="R142" s="577" t="s">
        <v>276</v>
      </c>
      <c r="S142" s="577" t="s">
        <v>277</v>
      </c>
      <c r="T142" s="577" t="s">
        <v>278</v>
      </c>
      <c r="U142" s="577" t="s">
        <v>279</v>
      </c>
      <c r="V142" s="577" t="s">
        <v>280</v>
      </c>
      <c r="W142" s="577" t="s">
        <v>297</v>
      </c>
    </row>
    <row r="143" spans="1:23" x14ac:dyDescent="0.2">
      <c r="A143" s="577">
        <f>A133</f>
        <v>54.3</v>
      </c>
      <c r="B143" s="577">
        <v>1</v>
      </c>
      <c r="C143" s="1016" t="e">
        <f ca="1">C$44/(INDEX($AI$10:$BJ$14,$B143,(C140-1)*2+1)*RWDI_FACTORS!$D$12*(1+$B$1*INDEX($AI$10:$BJ$14,$B143,(C140-1)*2+2)))</f>
        <v>#VALUE!</v>
      </c>
      <c r="D143" s="1016" t="e">
        <f ca="1">D$44/(INDEX($AI$10:$BJ$14,$B143,(C140-1)*2+1)*RWDI_FACTORS!$D$12*(1+$B$1*INDEX($AI$10:$BJ$14,$B143,(C140-1)*2+2)))</f>
        <v>#VALUE!</v>
      </c>
      <c r="E143" s="1016" t="e">
        <f ca="1">E$44/(INDEX($AI$10:$BJ$14,$B143,(C140-1)*2+1)*RWDI_FACTORS!$D$12*(1+$B$1*INDEX($AI$10:$BJ$14,$B143,(C140-1)*2+2)))</f>
        <v>#VALUE!</v>
      </c>
      <c r="F143" s="1016" t="e">
        <f ca="1">F$44/(INDEX($AI$10:$BJ$14,$B143,(C140-1)*2+1)*RWDI_FACTORS!$D$12*(1+$B$1*INDEX($AI$10:$BJ$14,$B143,(C140-1)*2+2)))</f>
        <v>#VALUE!</v>
      </c>
      <c r="G143" s="1016" t="e">
        <f ca="1">G$44/(INDEX($AI$10:$BJ$14,$B143,(C140-1)*2+1)*RWDI_FACTORS!$D$12*(1+$B$1*INDEX($AI$10:$BJ$14,$B143,(C140-1)*2+2)))</f>
        <v>#VALUE!</v>
      </c>
      <c r="H143" s="1016" t="e">
        <f ca="1">H$44/(INDEX($AI$10:$BJ$14,$B143,(C140-1)*2+1)*RWDI_FACTORS!$D$12*(1+$B$1*INDEX($AI$10:$BJ$14,$B143,(C140-1)*2+2)))</f>
        <v>#VALUE!</v>
      </c>
      <c r="I143" s="1016" t="e">
        <f ca="1">I$44/(INDEX($AI$10:$BJ$14,$B143,(C140-1)*2+1)*RWDI_FACTORS!$D$12*(1+$B$1*INDEX($AI$10:$BJ$14,$B143,(C140-1)*2+2)))</f>
        <v>#VALUE!</v>
      </c>
      <c r="J143" s="1016" t="e">
        <f ca="1">J$44/(INDEX($AI$10:$BJ$14,$B143,(C140-1)*2+1)*RWDI_FACTORS!$D$12*(1+$B$1*INDEX($AI$10:$BJ$14,$B143,(C140-1)*2+2)))</f>
        <v>#VALUE!</v>
      </c>
      <c r="K143" s="1016" t="e">
        <f ca="1">K$44/(INDEX($AI$10:$BJ$14,$B143,(C140-1)*2+1)*RWDI_FACTORS!$D$12*(1+$B$1*INDEX($AI$10:$BJ$14,$B143,(C140-1)*2+2)))</f>
        <v>#VALUE!</v>
      </c>
      <c r="L143" s="1016" t="e">
        <f ca="1">L$44/(INDEX($AI$10:$BJ$14,$B143,(C140-1)*2+1)*RWDI_FACTORS!$D$12*(1+$B$1*INDEX($AI$10:$BJ$14,$B143,(C140-1)*2+2)))</f>
        <v>#VALUE!</v>
      </c>
      <c r="M143" s="1016" t="e">
        <f ca="1">M$44/(INDEX($AI$10:$BJ$14,$B143,(C140-1)*2+1)*RWDI_FACTORS!$D$12*(1+$B$1*INDEX($AI$10:$BJ$14,$B143,(C140-1)*2+2)))</f>
        <v>#VALUE!</v>
      </c>
      <c r="N143" s="1016" t="e">
        <f ca="1">N$44/(INDEX($AI$10:$BJ$14,$B143,(C140-1)*2+1)*RWDI_FACTORS!$D$12*(1+$B$1*INDEX($AI$10:$BJ$14,$B143,(C140-1)*2+2)))</f>
        <v>#VALUE!</v>
      </c>
      <c r="O143" s="1016" t="e">
        <f ca="1">O$44/(INDEX($AI$10:$BJ$14,$B143,(C140-1)*2+1)*RWDI_FACTORS!$D$12*(1+$B$1*INDEX($AI$10:$BJ$14,$B143,(C140-1)*2+2)))</f>
        <v>#VALUE!</v>
      </c>
      <c r="P143" s="1016" t="e">
        <f ca="1">P$44/(INDEX($AI$10:$BJ$14,$B143,(C140-1)*2+1)*RWDI_FACTORS!$D$12*(1+$B$1*INDEX($AI$10:$BJ$14,$B143,(C140-1)*2+2)))</f>
        <v>#VALUE!</v>
      </c>
      <c r="Q143" s="1016" t="e">
        <f ca="1">Q$44/(INDEX($AI$10:$BJ$14,$B143,(C140-1)*2+1)*RWDI_FACTORS!$D$12*(1+$B$1*INDEX($AI$10:$BJ$14,$B143,(C140-1)*2+2)))</f>
        <v>#VALUE!</v>
      </c>
      <c r="R143" s="1016" t="e">
        <f ca="1">R$44/(INDEX($AI$10:$BJ$14,$B143,(C140-1)*2+1)*RWDI_FACTORS!$D$12*(1+$B$1*INDEX($AI$10:$BJ$14,$B143,(C140-1)*2+2)))</f>
        <v>#VALUE!</v>
      </c>
      <c r="S143" s="1016" t="e">
        <f ca="1">S$44/(INDEX($AI$10:$BJ$14,$B143,(C140-1)*2+1)*RWDI_FACTORS!$D$12*(1+$B$1*INDEX($AI$10:$BJ$14,$B143,(C140-1)*2+2)))</f>
        <v>#VALUE!</v>
      </c>
      <c r="T143" s="1016" t="e">
        <f ca="1">T$44/(INDEX($AI$10:$BJ$14,$B143,(C140-1)*2+1)*RWDI_FACTORS!$D$12*(1+$B$1*INDEX($AI$10:$BJ$14,$B143,(C140-1)*2+2)))</f>
        <v>#VALUE!</v>
      </c>
      <c r="U143" s="1016" t="e">
        <f ca="1">U$44/(INDEX($AI$10:$BJ$14,$B143,(C140-1)*2+1)*RWDI_FACTORS!$D$12*(1+$B$1*INDEX($AI$10:$BJ$14,$B143,(C140-1)*2+2)))</f>
        <v>#VALUE!</v>
      </c>
      <c r="V143" s="1016" t="e">
        <f ca="1">V$44/(INDEX($AI$10:$BJ$14,$B143,(C140-1)*2+1)*RWDI_FACTORS!$D$12*(1+$B$1*INDEX($AI$10:$BJ$14,$B143,(C140-1)*2+2)))</f>
        <v>#VALUE!</v>
      </c>
      <c r="W143" s="1016" t="e">
        <f ca="1">W$44/(INDEX($AI$10:$BJ$14,$B143,(C140-1)*2+1)*RWDI_FACTORS!$D$12*(1+$B$1*INDEX($AI$10:$BJ$14,$B143,(C140-1)*2+2)))</f>
        <v>#VALUE!</v>
      </c>
    </row>
    <row r="144" spans="1:23" x14ac:dyDescent="0.2">
      <c r="A144" s="577">
        <f>A134</f>
        <v>90.5</v>
      </c>
      <c r="B144" s="577">
        <v>2</v>
      </c>
      <c r="C144" s="1016" t="e">
        <f ca="1">C$45/(INDEX($AI$10:$BJ$14,$B144,(C140-1)*2+1)*RWDI_FACTORS!$D$12*(1+$B$1*INDEX($AI$10:$BJ$14,$B144,(C140-1)*2+2)))</f>
        <v>#VALUE!</v>
      </c>
      <c r="D144" s="1016" t="e">
        <f ca="1">D$45/(INDEX($AI$10:$BJ$14,$B144,(C140-1)*2+1)*RWDI_FACTORS!$D$12*(1+$B$1*INDEX($AI$10:$BJ$14,$B144,(C140-1)*2+2)))</f>
        <v>#VALUE!</v>
      </c>
      <c r="E144" s="1016" t="e">
        <f ca="1">E$45/(INDEX($AI$10:$BJ$14,$B144,(C140-1)*2+1)*RWDI_FACTORS!$D$12*(1+$B$1*INDEX($AI$10:$BJ$14,$B144,(C140-1)*2+2)))</f>
        <v>#VALUE!</v>
      </c>
      <c r="F144" s="1016" t="e">
        <f ca="1">F$45/(INDEX($AI$10:$BJ$14,$B144,(C140-1)*2+1)*RWDI_FACTORS!$D$12*(1+$B$1*INDEX($AI$10:$BJ$14,$B144,(C140-1)*2+2)))</f>
        <v>#VALUE!</v>
      </c>
      <c r="G144" s="1016" t="e">
        <f ca="1">G$45/(INDEX($AI$10:$BJ$14,$B144,(C140-1)*2+1)*RWDI_FACTORS!$D$12*(1+$B$1*INDEX($AI$10:$BJ$14,$B144,(C140-1)*2+2)))</f>
        <v>#VALUE!</v>
      </c>
      <c r="H144" s="1016" t="e">
        <f ca="1">H$45/(INDEX($AI$10:$BJ$14,$B144,(C140-1)*2+1)*RWDI_FACTORS!$D$12*(1+$B$1*INDEX($AI$10:$BJ$14,$B144,(C140-1)*2+2)))</f>
        <v>#VALUE!</v>
      </c>
      <c r="I144" s="1016" t="e">
        <f ca="1">I$45/(INDEX($AI$10:$BJ$14,$B144,(C140-1)*2+1)*RWDI_FACTORS!$D$12*(1+$B$1*INDEX($AI$10:$BJ$14,$B144,(C140-1)*2+2)))</f>
        <v>#VALUE!</v>
      </c>
      <c r="J144" s="1016" t="e">
        <f ca="1">J$45/(INDEX($AI$10:$BJ$14,$B144,(C140-1)*2+1)*RWDI_FACTORS!$D$12*(1+$B$1*INDEX($AI$10:$BJ$14,$B144,(C140-1)*2+2)))</f>
        <v>#VALUE!</v>
      </c>
      <c r="K144" s="1016" t="e">
        <f ca="1">K$45/(INDEX($AI$10:$BJ$14,$B144,(C140-1)*2+1)*RWDI_FACTORS!$D$12*(1+$B$1*INDEX($AI$10:$BJ$14,$B144,(C140-1)*2+2)))</f>
        <v>#VALUE!</v>
      </c>
      <c r="L144" s="1016" t="e">
        <f ca="1">L$45/(INDEX($AI$10:$BJ$14,$B144,(C140-1)*2+1)*RWDI_FACTORS!$D$12*(1+$B$1*INDEX($AI$10:$BJ$14,$B144,(C140-1)*2+2)))</f>
        <v>#VALUE!</v>
      </c>
      <c r="M144" s="1016" t="e">
        <f ca="1">M$45/(INDEX($AI$10:$BJ$14,$B144,(C140-1)*2+1)*RWDI_FACTORS!$D$12*(1+$B$1*INDEX($AI$10:$BJ$14,$B144,(C140-1)*2+2)))</f>
        <v>#VALUE!</v>
      </c>
      <c r="N144" s="1016" t="e">
        <f ca="1">N$45/(INDEX($AI$10:$BJ$14,$B144,(C140-1)*2+1)*RWDI_FACTORS!$D$12*(1+$B$1*INDEX($AI$10:$BJ$14,$B144,(C140-1)*2+2)))</f>
        <v>#VALUE!</v>
      </c>
      <c r="O144" s="1016" t="e">
        <f ca="1">O$45/(INDEX($AI$10:$BJ$14,$B144,(C140-1)*2+1)*RWDI_FACTORS!$D$12*(1+$B$1*INDEX($AI$10:$BJ$14,$B144,(C140-1)*2+2)))</f>
        <v>#VALUE!</v>
      </c>
      <c r="P144" s="1016" t="e">
        <f ca="1">P$45/(INDEX($AI$10:$BJ$14,$B144,(C140-1)*2+1)*RWDI_FACTORS!$D$12*(1+$B$1*INDEX($AI$10:$BJ$14,$B144,(C140-1)*2+2)))</f>
        <v>#VALUE!</v>
      </c>
      <c r="Q144" s="1016" t="e">
        <f ca="1">Q$45/(INDEX($AI$10:$BJ$14,$B144,(C140-1)*2+1)*RWDI_FACTORS!$D$12*(1+$B$1*INDEX($AI$10:$BJ$14,$B144,(C140-1)*2+2)))</f>
        <v>#VALUE!</v>
      </c>
      <c r="R144" s="1016" t="e">
        <f ca="1">R$45/(INDEX($AI$10:$BJ$14,$B144,(C140-1)*2+1)*RWDI_FACTORS!$D$12*(1+$B$1*INDEX($AI$10:$BJ$14,$B144,(C140-1)*2+2)))</f>
        <v>#VALUE!</v>
      </c>
      <c r="S144" s="1016" t="e">
        <f ca="1">S$45/(INDEX($AI$10:$BJ$14,$B144,(C140-1)*2+1)*RWDI_FACTORS!$D$12*(1+$B$1*INDEX($AI$10:$BJ$14,$B144,(C140-1)*2+2)))</f>
        <v>#VALUE!</v>
      </c>
      <c r="T144" s="1016" t="e">
        <f ca="1">T$45/(INDEX($AI$10:$BJ$14,$B144,(C140-1)*2+1)*RWDI_FACTORS!$D$12*(1+$B$1*INDEX($AI$10:$BJ$14,$B144,(C140-1)*2+2)))</f>
        <v>#VALUE!</v>
      </c>
      <c r="U144" s="1016" t="e">
        <f ca="1">U$45/(INDEX($AI$10:$BJ$14,$B144,(C140-1)*2+1)*RWDI_FACTORS!$D$12*(1+$B$1*INDEX($AI$10:$BJ$14,$B144,(C140-1)*2+2)))</f>
        <v>#VALUE!</v>
      </c>
      <c r="V144" s="1016" t="e">
        <f ca="1">V$45/(INDEX($AI$10:$BJ$14,$B144,(C140-1)*2+1)*RWDI_FACTORS!$D$12*(1+$B$1*INDEX($AI$10:$BJ$14,$B144,(C140-1)*2+2)))</f>
        <v>#VALUE!</v>
      </c>
      <c r="W144" s="1016" t="e">
        <f ca="1">W$45/(INDEX($AI$10:$BJ$14,$B144,(C140-1)*2+1)*RWDI_FACTORS!$D$12*(1+$B$1*INDEX($AI$10:$BJ$14,$B144,(C140-1)*2+2)))</f>
        <v>#VALUE!</v>
      </c>
    </row>
    <row r="145" spans="1:23" x14ac:dyDescent="0.2">
      <c r="A145" s="577">
        <f>A135</f>
        <v>120.7</v>
      </c>
      <c r="B145" s="577">
        <v>3</v>
      </c>
      <c r="C145" s="1016" t="e">
        <f ca="1">C$46/(INDEX($AI$10:$BJ$14,$B145,(C140-1)*2+1)*RWDI_FACTORS!$D$12*(1+$B$1*INDEX($AI$10:$BJ$14,$B145,(C140-1)*2+2)))</f>
        <v>#VALUE!</v>
      </c>
      <c r="D145" s="1016" t="e">
        <f ca="1">D$46/(INDEX($AI$10:$BJ$14,$B145,(C140-1)*2+1)*RWDI_FACTORS!$D$12*(1+$B$1*INDEX($AI$10:$BJ$14,$B145,(C140-1)*2+2)))</f>
        <v>#VALUE!</v>
      </c>
      <c r="E145" s="1016" t="e">
        <f ca="1">E$46/(INDEX($AI$10:$BJ$14,$B145,(C140-1)*2+1)*RWDI_FACTORS!$D$12*(1+$B$1*INDEX($AI$10:$BJ$14,$B145,(C140-1)*2+2)))</f>
        <v>#VALUE!</v>
      </c>
      <c r="F145" s="1016" t="e">
        <f ca="1">F$46/(INDEX($AI$10:$BJ$14,$B145,(C140-1)*2+1)*RWDI_FACTORS!$D$12*(1+$B$1*INDEX($AI$10:$BJ$14,$B145,(C140-1)*2+2)))</f>
        <v>#VALUE!</v>
      </c>
      <c r="G145" s="1016" t="e">
        <f ca="1">G$46/(INDEX($AI$10:$BJ$14,$B145,(C140-1)*2+1)*RWDI_FACTORS!$D$12*(1+$B$1*INDEX($AI$10:$BJ$14,$B145,(C140-1)*2+2)))</f>
        <v>#VALUE!</v>
      </c>
      <c r="H145" s="1016" t="e">
        <f ca="1">H$46/(INDEX($AI$10:$BJ$14,$B145,(C140-1)*2+1)*RWDI_FACTORS!$D$12*(1+$B$1*INDEX($AI$10:$BJ$14,$B145,(C140-1)*2+2)))</f>
        <v>#VALUE!</v>
      </c>
      <c r="I145" s="1016" t="e">
        <f ca="1">I$46/(INDEX($AI$10:$BJ$14,$B145,(C140-1)*2+1)*RWDI_FACTORS!$D$12*(1+$B$1*INDEX($AI$10:$BJ$14,$B145,(C140-1)*2+2)))</f>
        <v>#VALUE!</v>
      </c>
      <c r="J145" s="1016" t="e">
        <f ca="1">J$46/(INDEX($AI$10:$BJ$14,$B145,(C140-1)*2+1)*RWDI_FACTORS!$D$12*(1+$B$1*INDEX($AI$10:$BJ$14,$B145,(C140-1)*2+2)))</f>
        <v>#VALUE!</v>
      </c>
      <c r="K145" s="1016" t="e">
        <f ca="1">K$46/(INDEX($AI$10:$BJ$14,$B145,(C140-1)*2+1)*RWDI_FACTORS!$D$12*(1+$B$1*INDEX($AI$10:$BJ$14,$B145,(C140-1)*2+2)))</f>
        <v>#VALUE!</v>
      </c>
      <c r="L145" s="1016" t="e">
        <f ca="1">L$46/(INDEX($AI$10:$BJ$14,$B145,(C140-1)*2+1)*RWDI_FACTORS!$D$12*(1+$B$1*INDEX($AI$10:$BJ$14,$B145,(C140-1)*2+2)))</f>
        <v>#VALUE!</v>
      </c>
      <c r="M145" s="1016" t="e">
        <f ca="1">M$46/(INDEX($AI$10:$BJ$14,$B145,(C140-1)*2+1)*RWDI_FACTORS!$D$12*(1+$B$1*INDEX($AI$10:$BJ$14,$B145,(C140-1)*2+2)))</f>
        <v>#VALUE!</v>
      </c>
      <c r="N145" s="1016" t="e">
        <f ca="1">N$46/(INDEX($AI$10:$BJ$14,$B145,(C140-1)*2+1)*RWDI_FACTORS!$D$12*(1+$B$1*INDEX($AI$10:$BJ$14,$B145,(C140-1)*2+2)))</f>
        <v>#VALUE!</v>
      </c>
      <c r="O145" s="1016" t="e">
        <f ca="1">O$46/(INDEX($AI$10:$BJ$14,$B145,(C140-1)*2+1)*RWDI_FACTORS!$D$12*(1+$B$1*INDEX($AI$10:$BJ$14,$B145,(C140-1)*2+2)))</f>
        <v>#VALUE!</v>
      </c>
      <c r="P145" s="1016" t="e">
        <f ca="1">P$46/(INDEX($AI$10:$BJ$14,$B145,(C140-1)*2+1)*RWDI_FACTORS!$D$12*(1+$B$1*INDEX($AI$10:$BJ$14,$B145,(C140-1)*2+2)))</f>
        <v>#VALUE!</v>
      </c>
      <c r="Q145" s="1016" t="e">
        <f ca="1">Q$46/(INDEX($AI$10:$BJ$14,$B145,(C140-1)*2+1)*RWDI_FACTORS!$D$12*(1+$B$1*INDEX($AI$10:$BJ$14,$B145,(C140-1)*2+2)))</f>
        <v>#VALUE!</v>
      </c>
      <c r="R145" s="1016" t="e">
        <f ca="1">R$46/(INDEX($AI$10:$BJ$14,$B145,(C140-1)*2+1)*RWDI_FACTORS!$D$12*(1+$B$1*INDEX($AI$10:$BJ$14,$B145,(C140-1)*2+2)))</f>
        <v>#VALUE!</v>
      </c>
      <c r="S145" s="1016" t="e">
        <f ca="1">S$46/(INDEX($AI$10:$BJ$14,$B145,(C140-1)*2+1)*RWDI_FACTORS!$D$12*(1+$B$1*INDEX($AI$10:$BJ$14,$B145,(C140-1)*2+2)))</f>
        <v>#VALUE!</v>
      </c>
      <c r="T145" s="1016" t="e">
        <f ca="1">T$46/(INDEX($AI$10:$BJ$14,$B145,(C140-1)*2+1)*RWDI_FACTORS!$D$12*(1+$B$1*INDEX($AI$10:$BJ$14,$B145,(C140-1)*2+2)))</f>
        <v>#VALUE!</v>
      </c>
      <c r="U145" s="1016" t="e">
        <f ca="1">U$46/(INDEX($AI$10:$BJ$14,$B145,(C140-1)*2+1)*RWDI_FACTORS!$D$12*(1+$B$1*INDEX($AI$10:$BJ$14,$B145,(C140-1)*2+2)))</f>
        <v>#VALUE!</v>
      </c>
      <c r="V145" s="1016" t="e">
        <f ca="1">V$46/(INDEX($AI$10:$BJ$14,$B145,(C140-1)*2+1)*RWDI_FACTORS!$D$12*(1+$B$1*INDEX($AI$10:$BJ$14,$B145,(C140-1)*2+2)))</f>
        <v>#VALUE!</v>
      </c>
      <c r="W145" s="1016" t="e">
        <f ca="1">W$46/(INDEX($AI$10:$BJ$14,$B145,(C140-1)*2+1)*RWDI_FACTORS!$D$12*(1+$B$1*INDEX($AI$10:$BJ$14,$B145,(C140-1)*2+2)))</f>
        <v>#VALUE!</v>
      </c>
    </row>
    <row r="146" spans="1:23" x14ac:dyDescent="0.2">
      <c r="A146" s="577">
        <f>A136</f>
        <v>144.80000000000001</v>
      </c>
      <c r="B146" s="577">
        <v>4</v>
      </c>
      <c r="C146" s="1016" t="e">
        <f ca="1">C$47/(INDEX($AI$10:$BJ$14,$B146,(C140-1)*2+1)*RWDI_FACTORS!$D$12*(1+$B$1*INDEX($AI$10:$BJ$14,$B146,(C140-1)*2+2)))</f>
        <v>#VALUE!</v>
      </c>
      <c r="D146" s="1016" t="e">
        <f ca="1">D$47/(INDEX($AI$10:$BJ$14,$B146,(C140-1)*2+1)*RWDI_FACTORS!$D$12*(1+$B$1*INDEX($AI$10:$BJ$14,$B146,(C140-1)*2+2)))</f>
        <v>#VALUE!</v>
      </c>
      <c r="E146" s="1016" t="e">
        <f ca="1">E$47/(INDEX($AI$10:$BJ$14,$B146,(C140-1)*2+1)*RWDI_FACTORS!$D$12*(1+$B$1*INDEX($AI$10:$BJ$14,$B146,(C140-1)*2+2)))</f>
        <v>#VALUE!</v>
      </c>
      <c r="F146" s="1016" t="e">
        <f ca="1">F$47/(INDEX($AI$10:$BJ$14,$B146,(C140-1)*2+1)*RWDI_FACTORS!$D$12*(1+$B$1*INDEX($AI$10:$BJ$14,$B146,(C140-1)*2+2)))</f>
        <v>#VALUE!</v>
      </c>
      <c r="G146" s="1016" t="e">
        <f ca="1">G$47/(INDEX($AI$10:$BJ$14,$B146,(C140-1)*2+1)*RWDI_FACTORS!$D$12*(1+$B$1*INDEX($AI$10:$BJ$14,$B146,(C140-1)*2+2)))</f>
        <v>#VALUE!</v>
      </c>
      <c r="H146" s="1016" t="e">
        <f ca="1">H$47/(INDEX($AI$10:$BJ$14,$B146,(C140-1)*2+1)*RWDI_FACTORS!$D$12*(1+$B$1*INDEX($AI$10:$BJ$14,$B146,(C140-1)*2+2)))</f>
        <v>#VALUE!</v>
      </c>
      <c r="I146" s="1016" t="e">
        <f ca="1">I$47/(INDEX($AI$10:$BJ$14,$B146,(C140-1)*2+1)*RWDI_FACTORS!$D$12*(1+$B$1*INDEX($AI$10:$BJ$14,$B146,(C140-1)*2+2)))</f>
        <v>#VALUE!</v>
      </c>
      <c r="J146" s="1016" t="e">
        <f ca="1">J$47/(INDEX($AI$10:$BJ$14,$B146,(C140-1)*2+1)*RWDI_FACTORS!$D$12*(1+$B$1*INDEX($AI$10:$BJ$14,$B146,(C140-1)*2+2)))</f>
        <v>#VALUE!</v>
      </c>
      <c r="K146" s="1016" t="e">
        <f ca="1">K$47/(INDEX($AI$10:$BJ$14,$B146,(C140-1)*2+1)*RWDI_FACTORS!$D$12*(1+$B$1*INDEX($AI$10:$BJ$14,$B146,(C140-1)*2+2)))</f>
        <v>#VALUE!</v>
      </c>
      <c r="L146" s="1016" t="e">
        <f ca="1">L$47/(INDEX($AI$10:$BJ$14,$B146,(C140-1)*2+1)*RWDI_FACTORS!$D$12*(1+$B$1*INDEX($AI$10:$BJ$14,$B146,(C140-1)*2+2)))</f>
        <v>#VALUE!</v>
      </c>
      <c r="M146" s="1016" t="e">
        <f ca="1">M$47/(INDEX($AI$10:$BJ$14,$B146,(C140-1)*2+1)*RWDI_FACTORS!$D$12*(1+$B$1*INDEX($AI$10:$BJ$14,$B146,(C140-1)*2+2)))</f>
        <v>#VALUE!</v>
      </c>
      <c r="N146" s="1016" t="e">
        <f ca="1">N$47/(INDEX($AI$10:$BJ$14,$B146,(C140-1)*2+1)*RWDI_FACTORS!$D$12*(1+$B$1*INDEX($AI$10:$BJ$14,$B146,(C140-1)*2+2)))</f>
        <v>#VALUE!</v>
      </c>
      <c r="O146" s="1016" t="e">
        <f ca="1">O$47/(INDEX($AI$10:$BJ$14,$B146,(C140-1)*2+1)*RWDI_FACTORS!$D$12*(1+$B$1*INDEX($AI$10:$BJ$14,$B146,(C140-1)*2+2)))</f>
        <v>#VALUE!</v>
      </c>
      <c r="P146" s="1016" t="e">
        <f ca="1">P$47/(INDEX($AI$10:$BJ$14,$B146,(C140-1)*2+1)*RWDI_FACTORS!$D$12*(1+$B$1*INDEX($AI$10:$BJ$14,$B146,(C140-1)*2+2)))</f>
        <v>#VALUE!</v>
      </c>
      <c r="Q146" s="1016" t="e">
        <f ca="1">Q$47/(INDEX($AI$10:$BJ$14,$B146,(C140-1)*2+1)*RWDI_FACTORS!$D$12*(1+$B$1*INDEX($AI$10:$BJ$14,$B146,(C140-1)*2+2)))</f>
        <v>#VALUE!</v>
      </c>
      <c r="R146" s="1016" t="e">
        <f ca="1">R$47/(INDEX($AI$10:$BJ$14,$B146,(C140-1)*2+1)*RWDI_FACTORS!$D$12*(1+$B$1*INDEX($AI$10:$BJ$14,$B146,(C140-1)*2+2)))</f>
        <v>#VALUE!</v>
      </c>
      <c r="S146" s="1016" t="e">
        <f ca="1">S$47/(INDEX($AI$10:$BJ$14,$B146,(C140-1)*2+1)*RWDI_FACTORS!$D$12*(1+$B$1*INDEX($AI$10:$BJ$14,$B146,(C140-1)*2+2)))</f>
        <v>#VALUE!</v>
      </c>
      <c r="T146" s="1016" t="e">
        <f ca="1">T$47/(INDEX($AI$10:$BJ$14,$B146,(C140-1)*2+1)*RWDI_FACTORS!$D$12*(1+$B$1*INDEX($AI$10:$BJ$14,$B146,(C140-1)*2+2)))</f>
        <v>#VALUE!</v>
      </c>
      <c r="U146" s="1016" t="e">
        <f ca="1">U$47/(INDEX($AI$10:$BJ$14,$B146,(C140-1)*2+1)*RWDI_FACTORS!$D$12*(1+$B$1*INDEX($AI$10:$BJ$14,$B146,(C140-1)*2+2)))</f>
        <v>#VALUE!</v>
      </c>
      <c r="V146" s="1016" t="e">
        <f ca="1">V$47/(INDEX($AI$10:$BJ$14,$B146,(C140-1)*2+1)*RWDI_FACTORS!$D$12*(1+$B$1*INDEX($AI$10:$BJ$14,$B146,(C140-1)*2+2)))</f>
        <v>#VALUE!</v>
      </c>
      <c r="W146" s="1016" t="e">
        <f ca="1">W$47/(INDEX($AI$10:$BJ$14,$B146,(C140-1)*2+1)*RWDI_FACTORS!$D$12*(1+$B$1*INDEX($AI$10:$BJ$14,$B146,(C140-1)*2+2)))</f>
        <v>#VALUE!</v>
      </c>
    </row>
    <row r="147" spans="1:23" x14ac:dyDescent="0.2">
      <c r="A147" s="577">
        <f>A137</f>
        <v>181</v>
      </c>
      <c r="B147" s="577">
        <v>5</v>
      </c>
      <c r="C147" s="1016" t="e">
        <f ca="1">C$48/(INDEX($AI$10:$BJ$14,$B147,(C140-1)*2+1)*RWDI_FACTORS!$D$12*(1+$B$1*INDEX($AI$10:$BJ$14,$B147,(C140-1)*2+2)))</f>
        <v>#VALUE!</v>
      </c>
      <c r="D147" s="1016" t="e">
        <f ca="1">D$48/(INDEX($AI$10:$BJ$14,$B147,(C140-1)*2+1)*RWDI_FACTORS!$D$12*(1+$B$1*INDEX($AI$10:$BJ$14,$B147,(C140-1)*2+2)))</f>
        <v>#VALUE!</v>
      </c>
      <c r="E147" s="1016" t="e">
        <f ca="1">E$48/(INDEX($AI$10:$BJ$14,$B147,(C140-1)*2+1)*RWDI_FACTORS!$D$12*(1+$B$1*INDEX($AI$10:$BJ$14,$B147,(C140-1)*2+2)))</f>
        <v>#VALUE!</v>
      </c>
      <c r="F147" s="1016" t="e">
        <f ca="1">F$48/(INDEX($AI$10:$BJ$14,$B147,(C140-1)*2+1)*RWDI_FACTORS!$D$12*(1+$B$1*INDEX($AI$10:$BJ$14,$B147,(C140-1)*2+2)))</f>
        <v>#VALUE!</v>
      </c>
      <c r="G147" s="1016" t="e">
        <f ca="1">G$48/(INDEX($AI$10:$BJ$14,$B147,(C140-1)*2+1)*RWDI_FACTORS!$D$12*(1+$B$1*INDEX($AI$10:$BJ$14,$B147,(C140-1)*2+2)))</f>
        <v>#VALUE!</v>
      </c>
      <c r="H147" s="1016" t="e">
        <f ca="1">H$48/(INDEX($AI$10:$BJ$14,$B147,(C140-1)*2+1)*RWDI_FACTORS!$D$12*(1+$B$1*INDEX($AI$10:$BJ$14,$B147,(C140-1)*2+2)))</f>
        <v>#VALUE!</v>
      </c>
      <c r="I147" s="1016" t="e">
        <f ca="1">I$48/(INDEX($AI$10:$BJ$14,$B147,(C140-1)*2+1)*RWDI_FACTORS!$D$12*(1+$B$1*INDEX($AI$10:$BJ$14,$B147,(C140-1)*2+2)))</f>
        <v>#VALUE!</v>
      </c>
      <c r="J147" s="1016" t="e">
        <f ca="1">J$48/(INDEX($AI$10:$BJ$14,$B147,(C140-1)*2+1)*RWDI_FACTORS!$D$12*(1+$B$1*INDEX($AI$10:$BJ$14,$B147,(C140-1)*2+2)))</f>
        <v>#VALUE!</v>
      </c>
      <c r="K147" s="1016" t="e">
        <f ca="1">K$48/(INDEX($AI$10:$BJ$14,$B147,(C140-1)*2+1)*RWDI_FACTORS!$D$12*(1+$B$1*INDEX($AI$10:$BJ$14,$B147,(C140-1)*2+2)))</f>
        <v>#VALUE!</v>
      </c>
      <c r="L147" s="1016" t="e">
        <f ca="1">L$48/(INDEX($AI$10:$BJ$14,$B147,(C140-1)*2+1)*RWDI_FACTORS!$D$12*(1+$B$1*INDEX($AI$10:$BJ$14,$B147,(C140-1)*2+2)))</f>
        <v>#VALUE!</v>
      </c>
      <c r="M147" s="1016" t="e">
        <f ca="1">M$48/(INDEX($AI$10:$BJ$14,$B147,(C140-1)*2+1)*RWDI_FACTORS!$D$12*(1+$B$1*INDEX($AI$10:$BJ$14,$B147,(C140-1)*2+2)))</f>
        <v>#VALUE!</v>
      </c>
      <c r="N147" s="1016" t="e">
        <f ca="1">N$48/(INDEX($AI$10:$BJ$14,$B147,(C140-1)*2+1)*RWDI_FACTORS!$D$12*(1+$B$1*INDEX($AI$10:$BJ$14,$B147,(C140-1)*2+2)))</f>
        <v>#VALUE!</v>
      </c>
      <c r="O147" s="1016" t="e">
        <f ca="1">O$48/(INDEX($AI$10:$BJ$14,$B147,(C140-1)*2+1)*RWDI_FACTORS!$D$12*(1+$B$1*INDEX($AI$10:$BJ$14,$B147,(C140-1)*2+2)))</f>
        <v>#VALUE!</v>
      </c>
      <c r="P147" s="1016" t="e">
        <f ca="1">P$48/(INDEX($AI$10:$BJ$14,$B147,(C140-1)*2+1)*RWDI_FACTORS!$D$12*(1+$B$1*INDEX($AI$10:$BJ$14,$B147,(C140-1)*2+2)))</f>
        <v>#VALUE!</v>
      </c>
      <c r="Q147" s="1016" t="e">
        <f ca="1">Q$48/(INDEX($AI$10:$BJ$14,$B147,(C140-1)*2+1)*RWDI_FACTORS!$D$12*(1+$B$1*INDEX($AI$10:$BJ$14,$B147,(C140-1)*2+2)))</f>
        <v>#VALUE!</v>
      </c>
      <c r="R147" s="1016" t="e">
        <f ca="1">R$48/(INDEX($AI$10:$BJ$14,$B147,(C140-1)*2+1)*RWDI_FACTORS!$D$12*(1+$B$1*INDEX($AI$10:$BJ$14,$B147,(C140-1)*2+2)))</f>
        <v>#VALUE!</v>
      </c>
      <c r="S147" s="1016" t="e">
        <f ca="1">S$48/(INDEX($AI$10:$BJ$14,$B147,(C140-1)*2+1)*RWDI_FACTORS!$D$12*(1+$B$1*INDEX($AI$10:$BJ$14,$B147,(C140-1)*2+2)))</f>
        <v>#VALUE!</v>
      </c>
      <c r="T147" s="1016" t="e">
        <f ca="1">T$48/(INDEX($AI$10:$BJ$14,$B147,(C140-1)*2+1)*RWDI_FACTORS!$D$12*(1+$B$1*INDEX($AI$10:$BJ$14,$B147,(C140-1)*2+2)))</f>
        <v>#VALUE!</v>
      </c>
      <c r="U147" s="1016" t="e">
        <f ca="1">U$48/(INDEX($AI$10:$BJ$14,$B147,(C140-1)*2+1)*RWDI_FACTORS!$D$12*(1+$B$1*INDEX($AI$10:$BJ$14,$B147,(C140-1)*2+2)))</f>
        <v>#VALUE!</v>
      </c>
      <c r="V147" s="1016" t="e">
        <f ca="1">V$48/(INDEX($AI$10:$BJ$14,$B147,(C140-1)*2+1)*RWDI_FACTORS!$D$12*(1+$B$1*INDEX($AI$10:$BJ$14,$B147,(C140-1)*2+2)))</f>
        <v>#VALUE!</v>
      </c>
      <c r="W147" s="1016" t="e">
        <f ca="1">W$48/(INDEX($AI$10:$BJ$14,$B147,(C140-1)*2+1)*RWDI_FACTORS!$D$12*(1+$B$1*INDEX($AI$10:$BJ$14,$B147,(C140-1)*2+2)))</f>
        <v>#VALUE!</v>
      </c>
    </row>
    <row r="148" spans="1:23" x14ac:dyDescent="0.2">
      <c r="B148" s="1019" t="s">
        <v>609</v>
      </c>
      <c r="C148" s="1011" t="e">
        <f t="shared" ref="C148:W148" ca="1" si="27">AVERAGE(C143:C147)</f>
        <v>#VALUE!</v>
      </c>
      <c r="D148" s="1011" t="e">
        <f t="shared" ca="1" si="27"/>
        <v>#VALUE!</v>
      </c>
      <c r="E148" s="1011" t="e">
        <f t="shared" ca="1" si="27"/>
        <v>#VALUE!</v>
      </c>
      <c r="F148" s="1011" t="e">
        <f t="shared" ca="1" si="27"/>
        <v>#VALUE!</v>
      </c>
      <c r="G148" s="1011" t="e">
        <f t="shared" ca="1" si="27"/>
        <v>#VALUE!</v>
      </c>
      <c r="H148" s="1011" t="e">
        <f t="shared" ca="1" si="27"/>
        <v>#VALUE!</v>
      </c>
      <c r="I148" s="1011" t="e">
        <f t="shared" ca="1" si="27"/>
        <v>#VALUE!</v>
      </c>
      <c r="J148" s="1011" t="e">
        <f t="shared" ca="1" si="27"/>
        <v>#VALUE!</v>
      </c>
      <c r="K148" s="1011" t="e">
        <f t="shared" ca="1" si="27"/>
        <v>#VALUE!</v>
      </c>
      <c r="L148" s="1011" t="e">
        <f t="shared" ca="1" si="27"/>
        <v>#VALUE!</v>
      </c>
      <c r="M148" s="1011" t="e">
        <f t="shared" ca="1" si="27"/>
        <v>#VALUE!</v>
      </c>
      <c r="N148" s="1011" t="e">
        <f t="shared" ca="1" si="27"/>
        <v>#VALUE!</v>
      </c>
      <c r="O148" s="1011" t="e">
        <f t="shared" ca="1" si="27"/>
        <v>#VALUE!</v>
      </c>
      <c r="P148" s="1011" t="e">
        <f t="shared" ca="1" si="27"/>
        <v>#VALUE!</v>
      </c>
      <c r="Q148" s="1011" t="e">
        <f t="shared" ca="1" si="27"/>
        <v>#VALUE!</v>
      </c>
      <c r="R148" s="1011" t="e">
        <f t="shared" ca="1" si="27"/>
        <v>#VALUE!</v>
      </c>
      <c r="S148" s="1011" t="e">
        <f t="shared" ca="1" si="27"/>
        <v>#VALUE!</v>
      </c>
      <c r="T148" s="1011" t="e">
        <f t="shared" ca="1" si="27"/>
        <v>#VALUE!</v>
      </c>
      <c r="U148" s="1011" t="e">
        <f t="shared" ca="1" si="27"/>
        <v>#VALUE!</v>
      </c>
      <c r="V148" s="1011" t="e">
        <f t="shared" ca="1" si="27"/>
        <v>#VALUE!</v>
      </c>
      <c r="W148" s="1011" t="e">
        <f t="shared" ca="1" si="27"/>
        <v>#VALUE!</v>
      </c>
    </row>
    <row r="149" spans="1:23" x14ac:dyDescent="0.2">
      <c r="B149" s="1019" t="s">
        <v>610</v>
      </c>
      <c r="C149" s="1011" t="e">
        <f t="shared" ref="C149:W149" ca="1" si="28">STDEV(C143:C147)/C148*100</f>
        <v>#VALUE!</v>
      </c>
      <c r="D149" s="1011" t="e">
        <f t="shared" ca="1" si="28"/>
        <v>#VALUE!</v>
      </c>
      <c r="E149" s="1011" t="e">
        <f t="shared" ca="1" si="28"/>
        <v>#VALUE!</v>
      </c>
      <c r="F149" s="1011" t="e">
        <f t="shared" ca="1" si="28"/>
        <v>#VALUE!</v>
      </c>
      <c r="G149" s="1011" t="e">
        <f t="shared" ca="1" si="28"/>
        <v>#VALUE!</v>
      </c>
      <c r="H149" s="1011" t="e">
        <f t="shared" ca="1" si="28"/>
        <v>#VALUE!</v>
      </c>
      <c r="I149" s="1011" t="e">
        <f t="shared" ca="1" si="28"/>
        <v>#VALUE!</v>
      </c>
      <c r="J149" s="1011" t="e">
        <f t="shared" ca="1" si="28"/>
        <v>#VALUE!</v>
      </c>
      <c r="K149" s="1011" t="e">
        <f t="shared" ca="1" si="28"/>
        <v>#VALUE!</v>
      </c>
      <c r="L149" s="1011" t="e">
        <f t="shared" ca="1" si="28"/>
        <v>#VALUE!</v>
      </c>
      <c r="M149" s="1011" t="e">
        <f t="shared" ca="1" si="28"/>
        <v>#VALUE!</v>
      </c>
      <c r="N149" s="1011" t="e">
        <f t="shared" ca="1" si="28"/>
        <v>#VALUE!</v>
      </c>
      <c r="O149" s="1011" t="e">
        <f t="shared" ca="1" si="28"/>
        <v>#VALUE!</v>
      </c>
      <c r="P149" s="1011" t="e">
        <f t="shared" ca="1" si="28"/>
        <v>#VALUE!</v>
      </c>
      <c r="Q149" s="1011" t="e">
        <f t="shared" ca="1" si="28"/>
        <v>#VALUE!</v>
      </c>
      <c r="R149" s="1011" t="e">
        <f t="shared" ca="1" si="28"/>
        <v>#VALUE!</v>
      </c>
      <c r="S149" s="1011" t="e">
        <f t="shared" ca="1" si="28"/>
        <v>#VALUE!</v>
      </c>
      <c r="T149" s="1011" t="e">
        <f t="shared" ca="1" si="28"/>
        <v>#VALUE!</v>
      </c>
      <c r="U149" s="1011" t="e">
        <f t="shared" ca="1" si="28"/>
        <v>#VALUE!</v>
      </c>
      <c r="V149" s="1011" t="e">
        <f t="shared" ca="1" si="28"/>
        <v>#VALUE!</v>
      </c>
      <c r="W149" s="1011" t="e">
        <f t="shared" ca="1" si="28"/>
        <v>#VALUE!</v>
      </c>
    </row>
    <row r="150" spans="1:23" x14ac:dyDescent="0.2">
      <c r="A150" s="1017" t="e">
        <f ca="1">INDEX($AI$7:$BJ$7,1,(C150-1)*2+1)</f>
        <v>#REF!</v>
      </c>
      <c r="B150" s="1018"/>
      <c r="C150" s="577">
        <f>C140+1</f>
        <v>11</v>
      </c>
    </row>
    <row r="152" spans="1:23" x14ac:dyDescent="0.2">
      <c r="C152" s="577" t="s">
        <v>203</v>
      </c>
      <c r="D152" s="577" t="s">
        <v>204</v>
      </c>
      <c r="E152" s="577" t="s">
        <v>205</v>
      </c>
      <c r="F152" s="577" t="s">
        <v>206</v>
      </c>
      <c r="G152" s="577" t="s">
        <v>207</v>
      </c>
      <c r="H152" s="577" t="s">
        <v>266</v>
      </c>
      <c r="I152" s="577" t="s">
        <v>267</v>
      </c>
      <c r="J152" s="577" t="s">
        <v>268</v>
      </c>
      <c r="K152" s="577" t="s">
        <v>269</v>
      </c>
      <c r="L152" s="577" t="s">
        <v>270</v>
      </c>
      <c r="M152" s="577" t="s">
        <v>271</v>
      </c>
      <c r="N152" s="577" t="s">
        <v>272</v>
      </c>
      <c r="O152" s="577" t="s">
        <v>273</v>
      </c>
      <c r="P152" s="577" t="s">
        <v>274</v>
      </c>
      <c r="Q152" s="577" t="s">
        <v>275</v>
      </c>
      <c r="R152" s="577" t="s">
        <v>276</v>
      </c>
      <c r="S152" s="577" t="s">
        <v>277</v>
      </c>
      <c r="T152" s="577" t="s">
        <v>278</v>
      </c>
      <c r="U152" s="577" t="s">
        <v>279</v>
      </c>
      <c r="V152" s="577" t="s">
        <v>280</v>
      </c>
      <c r="W152" s="577" t="s">
        <v>297</v>
      </c>
    </row>
    <row r="153" spans="1:23" x14ac:dyDescent="0.2">
      <c r="A153" s="577">
        <f>A143</f>
        <v>54.3</v>
      </c>
      <c r="B153" s="577">
        <v>1</v>
      </c>
      <c r="C153" s="1016" t="e">
        <f ca="1">C$44/(INDEX($AI$10:$BJ$14,$B153,(C150-1)*2+1)*RWDI_FACTORS!$D$12*(1+$B$1*INDEX($AI$10:$BJ$14,$B153,(C150-1)*2+2)))</f>
        <v>#VALUE!</v>
      </c>
      <c r="D153" s="1016" t="e">
        <f ca="1">D$44/(INDEX($AI$10:$BJ$14,$B153,(C150-1)*2+1)*RWDI_FACTORS!$D$12*(1+$B$1*INDEX($AI$10:$BJ$14,$B153,(C150-1)*2+2)))</f>
        <v>#VALUE!</v>
      </c>
      <c r="E153" s="1016" t="e">
        <f ca="1">E$44/(INDEX($AI$10:$BJ$14,$B153,(C150-1)*2+1)*RWDI_FACTORS!$D$12*(1+$B$1*INDEX($AI$10:$BJ$14,$B153,(C150-1)*2+2)))</f>
        <v>#VALUE!</v>
      </c>
      <c r="F153" s="1016" t="e">
        <f ca="1">F$44/(INDEX($AI$10:$BJ$14,$B153,(C150-1)*2+1)*RWDI_FACTORS!$D$12*(1+$B$1*INDEX($AI$10:$BJ$14,$B153,(C150-1)*2+2)))</f>
        <v>#VALUE!</v>
      </c>
      <c r="G153" s="1016" t="e">
        <f ca="1">G$44/(INDEX($AI$10:$BJ$14,$B153,(C150-1)*2+1)*RWDI_FACTORS!$D$12*(1+$B$1*INDEX($AI$10:$BJ$14,$B153,(C150-1)*2+2)))</f>
        <v>#VALUE!</v>
      </c>
      <c r="H153" s="1016" t="e">
        <f ca="1">H$44/(INDEX($AI$10:$BJ$14,$B153,(C150-1)*2+1)*RWDI_FACTORS!$D$12*(1+$B$1*INDEX($AI$10:$BJ$14,$B153,(C150-1)*2+2)))</f>
        <v>#VALUE!</v>
      </c>
      <c r="I153" s="1016" t="e">
        <f ca="1">I$44/(INDEX($AI$10:$BJ$14,$B153,(C150-1)*2+1)*RWDI_FACTORS!$D$12*(1+$B$1*INDEX($AI$10:$BJ$14,$B153,(C150-1)*2+2)))</f>
        <v>#VALUE!</v>
      </c>
      <c r="J153" s="1016" t="e">
        <f ca="1">J$44/(INDEX($AI$10:$BJ$14,$B153,(C150-1)*2+1)*RWDI_FACTORS!$D$12*(1+$B$1*INDEX($AI$10:$BJ$14,$B153,(C150-1)*2+2)))</f>
        <v>#VALUE!</v>
      </c>
      <c r="K153" s="1016" t="e">
        <f ca="1">K$44/(INDEX($AI$10:$BJ$14,$B153,(C150-1)*2+1)*RWDI_FACTORS!$D$12*(1+$B$1*INDEX($AI$10:$BJ$14,$B153,(C150-1)*2+2)))</f>
        <v>#VALUE!</v>
      </c>
      <c r="L153" s="1016" t="e">
        <f ca="1">L$44/(INDEX($AI$10:$BJ$14,$B153,(C150-1)*2+1)*RWDI_FACTORS!$D$12*(1+$B$1*INDEX($AI$10:$BJ$14,$B153,(C150-1)*2+2)))</f>
        <v>#VALUE!</v>
      </c>
      <c r="M153" s="1016" t="e">
        <f ca="1">M$44/(INDEX($AI$10:$BJ$14,$B153,(C150-1)*2+1)*RWDI_FACTORS!$D$12*(1+$B$1*INDEX($AI$10:$BJ$14,$B153,(C150-1)*2+2)))</f>
        <v>#VALUE!</v>
      </c>
      <c r="N153" s="1016" t="e">
        <f ca="1">N$44/(INDEX($AI$10:$BJ$14,$B153,(C150-1)*2+1)*RWDI_FACTORS!$D$12*(1+$B$1*INDEX($AI$10:$BJ$14,$B153,(C150-1)*2+2)))</f>
        <v>#VALUE!</v>
      </c>
      <c r="O153" s="1016" t="e">
        <f ca="1">O$44/(INDEX($AI$10:$BJ$14,$B153,(C150-1)*2+1)*RWDI_FACTORS!$D$12*(1+$B$1*INDEX($AI$10:$BJ$14,$B153,(C150-1)*2+2)))</f>
        <v>#VALUE!</v>
      </c>
      <c r="P153" s="1016" t="e">
        <f ca="1">P$44/(INDEX($AI$10:$BJ$14,$B153,(C150-1)*2+1)*RWDI_FACTORS!$D$12*(1+$B$1*INDEX($AI$10:$BJ$14,$B153,(C150-1)*2+2)))</f>
        <v>#VALUE!</v>
      </c>
      <c r="Q153" s="1016" t="e">
        <f ca="1">Q$44/(INDEX($AI$10:$BJ$14,$B153,(C150-1)*2+1)*RWDI_FACTORS!$D$12*(1+$B$1*INDEX($AI$10:$BJ$14,$B153,(C150-1)*2+2)))</f>
        <v>#VALUE!</v>
      </c>
      <c r="R153" s="1016" t="e">
        <f ca="1">R$44/(INDEX($AI$10:$BJ$14,$B153,(C150-1)*2+1)*RWDI_FACTORS!$D$12*(1+$B$1*INDEX($AI$10:$BJ$14,$B153,(C150-1)*2+2)))</f>
        <v>#VALUE!</v>
      </c>
      <c r="S153" s="1016" t="e">
        <f ca="1">S$44/(INDEX($AI$10:$BJ$14,$B153,(C150-1)*2+1)*RWDI_FACTORS!$D$12*(1+$B$1*INDEX($AI$10:$BJ$14,$B153,(C150-1)*2+2)))</f>
        <v>#VALUE!</v>
      </c>
      <c r="T153" s="1016" t="e">
        <f ca="1">T$44/(INDEX($AI$10:$BJ$14,$B153,(C150-1)*2+1)*RWDI_FACTORS!$D$12*(1+$B$1*INDEX($AI$10:$BJ$14,$B153,(C150-1)*2+2)))</f>
        <v>#VALUE!</v>
      </c>
      <c r="U153" s="1016" t="e">
        <f ca="1">U$44/(INDEX($AI$10:$BJ$14,$B153,(C150-1)*2+1)*RWDI_FACTORS!$D$12*(1+$B$1*INDEX($AI$10:$BJ$14,$B153,(C150-1)*2+2)))</f>
        <v>#VALUE!</v>
      </c>
      <c r="V153" s="1016" t="e">
        <f ca="1">V$44/(INDEX($AI$10:$BJ$14,$B153,(C150-1)*2+1)*RWDI_FACTORS!$D$12*(1+$B$1*INDEX($AI$10:$BJ$14,$B153,(C150-1)*2+2)))</f>
        <v>#VALUE!</v>
      </c>
      <c r="W153" s="1016" t="e">
        <f ca="1">W$44/(INDEX($AI$10:$BJ$14,$B153,(C150-1)*2+1)*RWDI_FACTORS!$D$12*(1+$B$1*INDEX($AI$10:$BJ$14,$B153,(C150-1)*2+2)))</f>
        <v>#VALUE!</v>
      </c>
    </row>
    <row r="154" spans="1:23" x14ac:dyDescent="0.2">
      <c r="A154" s="577">
        <f>A144</f>
        <v>90.5</v>
      </c>
      <c r="B154" s="577">
        <v>2</v>
      </c>
      <c r="C154" s="1016" t="e">
        <f ca="1">C$45/(INDEX($AI$10:$BJ$14,$B154,(C150-1)*2+1)*RWDI_FACTORS!$D$12*(1+$B$1*INDEX($AI$10:$BJ$14,$B154,(C150-1)*2+2)))</f>
        <v>#VALUE!</v>
      </c>
      <c r="D154" s="1016" t="e">
        <f ca="1">D$45/(INDEX($AI$10:$BJ$14,$B154,(C150-1)*2+1)*RWDI_FACTORS!$D$12*(1+$B$1*INDEX($AI$10:$BJ$14,$B154,(C150-1)*2+2)))</f>
        <v>#VALUE!</v>
      </c>
      <c r="E154" s="1016" t="e">
        <f ca="1">E$45/(INDEX($AI$10:$BJ$14,$B154,(C150-1)*2+1)*RWDI_FACTORS!$D$12*(1+$B$1*INDEX($AI$10:$BJ$14,$B154,(C150-1)*2+2)))</f>
        <v>#VALUE!</v>
      </c>
      <c r="F154" s="1016" t="e">
        <f ca="1">F$45/(INDEX($AI$10:$BJ$14,$B154,(C150-1)*2+1)*RWDI_FACTORS!$D$12*(1+$B$1*INDEX($AI$10:$BJ$14,$B154,(C150-1)*2+2)))</f>
        <v>#VALUE!</v>
      </c>
      <c r="G154" s="1016" t="e">
        <f ca="1">G$45/(INDEX($AI$10:$BJ$14,$B154,(C150-1)*2+1)*RWDI_FACTORS!$D$12*(1+$B$1*INDEX($AI$10:$BJ$14,$B154,(C150-1)*2+2)))</f>
        <v>#VALUE!</v>
      </c>
      <c r="H154" s="1016" t="e">
        <f ca="1">H$45/(INDEX($AI$10:$BJ$14,$B154,(C150-1)*2+1)*RWDI_FACTORS!$D$12*(1+$B$1*INDEX($AI$10:$BJ$14,$B154,(C150-1)*2+2)))</f>
        <v>#VALUE!</v>
      </c>
      <c r="I154" s="1016" t="e">
        <f ca="1">I$45/(INDEX($AI$10:$BJ$14,$B154,(C150-1)*2+1)*RWDI_FACTORS!$D$12*(1+$B$1*INDEX($AI$10:$BJ$14,$B154,(C150-1)*2+2)))</f>
        <v>#VALUE!</v>
      </c>
      <c r="J154" s="1016" t="e">
        <f ca="1">J$45/(INDEX($AI$10:$BJ$14,$B154,(C150-1)*2+1)*RWDI_FACTORS!$D$12*(1+$B$1*INDEX($AI$10:$BJ$14,$B154,(C150-1)*2+2)))</f>
        <v>#VALUE!</v>
      </c>
      <c r="K154" s="1016" t="e">
        <f ca="1">K$45/(INDEX($AI$10:$BJ$14,$B154,(C150-1)*2+1)*RWDI_FACTORS!$D$12*(1+$B$1*INDEX($AI$10:$BJ$14,$B154,(C150-1)*2+2)))</f>
        <v>#VALUE!</v>
      </c>
      <c r="L154" s="1016" t="e">
        <f ca="1">L$45/(INDEX($AI$10:$BJ$14,$B154,(C150-1)*2+1)*RWDI_FACTORS!$D$12*(1+$B$1*INDEX($AI$10:$BJ$14,$B154,(C150-1)*2+2)))</f>
        <v>#VALUE!</v>
      </c>
      <c r="M154" s="1016" t="e">
        <f ca="1">M$45/(INDEX($AI$10:$BJ$14,$B154,(C150-1)*2+1)*RWDI_FACTORS!$D$12*(1+$B$1*INDEX($AI$10:$BJ$14,$B154,(C150-1)*2+2)))</f>
        <v>#VALUE!</v>
      </c>
      <c r="N154" s="1016" t="e">
        <f ca="1">N$45/(INDEX($AI$10:$BJ$14,$B154,(C150-1)*2+1)*RWDI_FACTORS!$D$12*(1+$B$1*INDEX($AI$10:$BJ$14,$B154,(C150-1)*2+2)))</f>
        <v>#VALUE!</v>
      </c>
      <c r="O154" s="1016" t="e">
        <f ca="1">O$45/(INDEX($AI$10:$BJ$14,$B154,(C150-1)*2+1)*RWDI_FACTORS!$D$12*(1+$B$1*INDEX($AI$10:$BJ$14,$B154,(C150-1)*2+2)))</f>
        <v>#VALUE!</v>
      </c>
      <c r="P154" s="1016" t="e">
        <f ca="1">P$45/(INDEX($AI$10:$BJ$14,$B154,(C150-1)*2+1)*RWDI_FACTORS!$D$12*(1+$B$1*INDEX($AI$10:$BJ$14,$B154,(C150-1)*2+2)))</f>
        <v>#VALUE!</v>
      </c>
      <c r="Q154" s="1016" t="e">
        <f ca="1">Q$45/(INDEX($AI$10:$BJ$14,$B154,(C150-1)*2+1)*RWDI_FACTORS!$D$12*(1+$B$1*INDEX($AI$10:$BJ$14,$B154,(C150-1)*2+2)))</f>
        <v>#VALUE!</v>
      </c>
      <c r="R154" s="1016" t="e">
        <f ca="1">R$45/(INDEX($AI$10:$BJ$14,$B154,(C150-1)*2+1)*RWDI_FACTORS!$D$12*(1+$B$1*INDEX($AI$10:$BJ$14,$B154,(C150-1)*2+2)))</f>
        <v>#VALUE!</v>
      </c>
      <c r="S154" s="1016" t="e">
        <f ca="1">S$45/(INDEX($AI$10:$BJ$14,$B154,(C150-1)*2+1)*RWDI_FACTORS!$D$12*(1+$B$1*INDEX($AI$10:$BJ$14,$B154,(C150-1)*2+2)))</f>
        <v>#VALUE!</v>
      </c>
      <c r="T154" s="1016" t="e">
        <f ca="1">T$45/(INDEX($AI$10:$BJ$14,$B154,(C150-1)*2+1)*RWDI_FACTORS!$D$12*(1+$B$1*INDEX($AI$10:$BJ$14,$B154,(C150-1)*2+2)))</f>
        <v>#VALUE!</v>
      </c>
      <c r="U154" s="1016" t="e">
        <f ca="1">U$45/(INDEX($AI$10:$BJ$14,$B154,(C150-1)*2+1)*RWDI_FACTORS!$D$12*(1+$B$1*INDEX($AI$10:$BJ$14,$B154,(C150-1)*2+2)))</f>
        <v>#VALUE!</v>
      </c>
      <c r="V154" s="1016" t="e">
        <f ca="1">V$45/(INDEX($AI$10:$BJ$14,$B154,(C150-1)*2+1)*RWDI_FACTORS!$D$12*(1+$B$1*INDEX($AI$10:$BJ$14,$B154,(C150-1)*2+2)))</f>
        <v>#VALUE!</v>
      </c>
      <c r="W154" s="1016" t="e">
        <f ca="1">W$45/(INDEX($AI$10:$BJ$14,$B154,(C150-1)*2+1)*RWDI_FACTORS!$D$12*(1+$B$1*INDEX($AI$10:$BJ$14,$B154,(C150-1)*2+2)))</f>
        <v>#VALUE!</v>
      </c>
    </row>
    <row r="155" spans="1:23" x14ac:dyDescent="0.2">
      <c r="A155" s="577">
        <f>A145</f>
        <v>120.7</v>
      </c>
      <c r="B155" s="577">
        <v>3</v>
      </c>
      <c r="C155" s="1016" t="e">
        <f ca="1">C$46/(INDEX($AI$10:$BJ$14,$B155,(C150-1)*2+1)*RWDI_FACTORS!$D$12*(1+$B$1*INDEX($AI$10:$BJ$14,$B155,(C150-1)*2+2)))</f>
        <v>#VALUE!</v>
      </c>
      <c r="D155" s="1016" t="e">
        <f ca="1">D$46/(INDEX($AI$10:$BJ$14,$B155,(C150-1)*2+1)*RWDI_FACTORS!$D$12*(1+$B$1*INDEX($AI$10:$BJ$14,$B155,(C150-1)*2+2)))</f>
        <v>#VALUE!</v>
      </c>
      <c r="E155" s="1016" t="e">
        <f ca="1">E$46/(INDEX($AI$10:$BJ$14,$B155,(C150-1)*2+1)*RWDI_FACTORS!$D$12*(1+$B$1*INDEX($AI$10:$BJ$14,$B155,(C150-1)*2+2)))</f>
        <v>#VALUE!</v>
      </c>
      <c r="F155" s="1016" t="e">
        <f ca="1">F$46/(INDEX($AI$10:$BJ$14,$B155,(C150-1)*2+1)*RWDI_FACTORS!$D$12*(1+$B$1*INDEX($AI$10:$BJ$14,$B155,(C150-1)*2+2)))</f>
        <v>#VALUE!</v>
      </c>
      <c r="G155" s="1016" t="e">
        <f ca="1">G$46/(INDEX($AI$10:$BJ$14,$B155,(C150-1)*2+1)*RWDI_FACTORS!$D$12*(1+$B$1*INDEX($AI$10:$BJ$14,$B155,(C150-1)*2+2)))</f>
        <v>#VALUE!</v>
      </c>
      <c r="H155" s="1016" t="e">
        <f ca="1">H$46/(INDEX($AI$10:$BJ$14,$B155,(C150-1)*2+1)*RWDI_FACTORS!$D$12*(1+$B$1*INDEX($AI$10:$BJ$14,$B155,(C150-1)*2+2)))</f>
        <v>#VALUE!</v>
      </c>
      <c r="I155" s="1016" t="e">
        <f ca="1">I$46/(INDEX($AI$10:$BJ$14,$B155,(C150-1)*2+1)*RWDI_FACTORS!$D$12*(1+$B$1*INDEX($AI$10:$BJ$14,$B155,(C150-1)*2+2)))</f>
        <v>#VALUE!</v>
      </c>
      <c r="J155" s="1016" t="e">
        <f ca="1">J$46/(INDEX($AI$10:$BJ$14,$B155,(C150-1)*2+1)*RWDI_FACTORS!$D$12*(1+$B$1*INDEX($AI$10:$BJ$14,$B155,(C150-1)*2+2)))</f>
        <v>#VALUE!</v>
      </c>
      <c r="K155" s="1016" t="e">
        <f ca="1">K$46/(INDEX($AI$10:$BJ$14,$B155,(C150-1)*2+1)*RWDI_FACTORS!$D$12*(1+$B$1*INDEX($AI$10:$BJ$14,$B155,(C150-1)*2+2)))</f>
        <v>#VALUE!</v>
      </c>
      <c r="L155" s="1016" t="e">
        <f ca="1">L$46/(INDEX($AI$10:$BJ$14,$B155,(C150-1)*2+1)*RWDI_FACTORS!$D$12*(1+$B$1*INDEX($AI$10:$BJ$14,$B155,(C150-1)*2+2)))</f>
        <v>#VALUE!</v>
      </c>
      <c r="M155" s="1016" t="e">
        <f ca="1">M$46/(INDEX($AI$10:$BJ$14,$B155,(C150-1)*2+1)*RWDI_FACTORS!$D$12*(1+$B$1*INDEX($AI$10:$BJ$14,$B155,(C150-1)*2+2)))</f>
        <v>#VALUE!</v>
      </c>
      <c r="N155" s="1016" t="e">
        <f ca="1">N$46/(INDEX($AI$10:$BJ$14,$B155,(C150-1)*2+1)*RWDI_FACTORS!$D$12*(1+$B$1*INDEX($AI$10:$BJ$14,$B155,(C150-1)*2+2)))</f>
        <v>#VALUE!</v>
      </c>
      <c r="O155" s="1016" t="e">
        <f ca="1">O$46/(INDEX($AI$10:$BJ$14,$B155,(C150-1)*2+1)*RWDI_FACTORS!$D$12*(1+$B$1*INDEX($AI$10:$BJ$14,$B155,(C150-1)*2+2)))</f>
        <v>#VALUE!</v>
      </c>
      <c r="P155" s="1016" t="e">
        <f ca="1">P$46/(INDEX($AI$10:$BJ$14,$B155,(C150-1)*2+1)*RWDI_FACTORS!$D$12*(1+$B$1*INDEX($AI$10:$BJ$14,$B155,(C150-1)*2+2)))</f>
        <v>#VALUE!</v>
      </c>
      <c r="Q155" s="1016" t="e">
        <f ca="1">Q$46/(INDEX($AI$10:$BJ$14,$B155,(C150-1)*2+1)*RWDI_FACTORS!$D$12*(1+$B$1*INDEX($AI$10:$BJ$14,$B155,(C150-1)*2+2)))</f>
        <v>#VALUE!</v>
      </c>
      <c r="R155" s="1016" t="e">
        <f ca="1">R$46/(INDEX($AI$10:$BJ$14,$B155,(C150-1)*2+1)*RWDI_FACTORS!$D$12*(1+$B$1*INDEX($AI$10:$BJ$14,$B155,(C150-1)*2+2)))</f>
        <v>#VALUE!</v>
      </c>
      <c r="S155" s="1016" t="e">
        <f ca="1">S$46/(INDEX($AI$10:$BJ$14,$B155,(C150-1)*2+1)*RWDI_FACTORS!$D$12*(1+$B$1*INDEX($AI$10:$BJ$14,$B155,(C150-1)*2+2)))</f>
        <v>#VALUE!</v>
      </c>
      <c r="T155" s="1016" t="e">
        <f ca="1">T$46/(INDEX($AI$10:$BJ$14,$B155,(C150-1)*2+1)*RWDI_FACTORS!$D$12*(1+$B$1*INDEX($AI$10:$BJ$14,$B155,(C150-1)*2+2)))</f>
        <v>#VALUE!</v>
      </c>
      <c r="U155" s="1016" t="e">
        <f ca="1">U$46/(INDEX($AI$10:$BJ$14,$B155,(C150-1)*2+1)*RWDI_FACTORS!$D$12*(1+$B$1*INDEX($AI$10:$BJ$14,$B155,(C150-1)*2+2)))</f>
        <v>#VALUE!</v>
      </c>
      <c r="V155" s="1016" t="e">
        <f ca="1">V$46/(INDEX($AI$10:$BJ$14,$B155,(C150-1)*2+1)*RWDI_FACTORS!$D$12*(1+$B$1*INDEX($AI$10:$BJ$14,$B155,(C150-1)*2+2)))</f>
        <v>#VALUE!</v>
      </c>
      <c r="W155" s="1016" t="e">
        <f ca="1">W$46/(INDEX($AI$10:$BJ$14,$B155,(C150-1)*2+1)*RWDI_FACTORS!$D$12*(1+$B$1*INDEX($AI$10:$BJ$14,$B155,(C150-1)*2+2)))</f>
        <v>#VALUE!</v>
      </c>
    </row>
    <row r="156" spans="1:23" x14ac:dyDescent="0.2">
      <c r="A156" s="577">
        <f>A146</f>
        <v>144.80000000000001</v>
      </c>
      <c r="B156" s="577">
        <v>4</v>
      </c>
      <c r="C156" s="1016" t="e">
        <f ca="1">C$47/(INDEX($AI$10:$BJ$14,$B156,(C150-1)*2+1)*RWDI_FACTORS!$D$12*(1+$B$1*INDEX($AI$10:$BJ$14,$B156,(C150-1)*2+2)))</f>
        <v>#VALUE!</v>
      </c>
      <c r="D156" s="1016" t="e">
        <f ca="1">D$47/(INDEX($AI$10:$BJ$14,$B156,(C150-1)*2+1)*RWDI_FACTORS!$D$12*(1+$B$1*INDEX($AI$10:$BJ$14,$B156,(C150-1)*2+2)))</f>
        <v>#VALUE!</v>
      </c>
      <c r="E156" s="1016" t="e">
        <f ca="1">E$47/(INDEX($AI$10:$BJ$14,$B156,(C150-1)*2+1)*RWDI_FACTORS!$D$12*(1+$B$1*INDEX($AI$10:$BJ$14,$B156,(C150-1)*2+2)))</f>
        <v>#VALUE!</v>
      </c>
      <c r="F156" s="1016" t="e">
        <f ca="1">F$47/(INDEX($AI$10:$BJ$14,$B156,(C150-1)*2+1)*RWDI_FACTORS!$D$12*(1+$B$1*INDEX($AI$10:$BJ$14,$B156,(C150-1)*2+2)))</f>
        <v>#VALUE!</v>
      </c>
      <c r="G156" s="1016" t="e">
        <f ca="1">G$47/(INDEX($AI$10:$BJ$14,$B156,(C150-1)*2+1)*RWDI_FACTORS!$D$12*(1+$B$1*INDEX($AI$10:$BJ$14,$B156,(C150-1)*2+2)))</f>
        <v>#VALUE!</v>
      </c>
      <c r="H156" s="1016" t="e">
        <f ca="1">H$47/(INDEX($AI$10:$BJ$14,$B156,(C150-1)*2+1)*RWDI_FACTORS!$D$12*(1+$B$1*INDEX($AI$10:$BJ$14,$B156,(C150-1)*2+2)))</f>
        <v>#VALUE!</v>
      </c>
      <c r="I156" s="1016" t="e">
        <f ca="1">I$47/(INDEX($AI$10:$BJ$14,$B156,(C150-1)*2+1)*RWDI_FACTORS!$D$12*(1+$B$1*INDEX($AI$10:$BJ$14,$B156,(C150-1)*2+2)))</f>
        <v>#VALUE!</v>
      </c>
      <c r="J156" s="1016" t="e">
        <f ca="1">J$47/(INDEX($AI$10:$BJ$14,$B156,(C150-1)*2+1)*RWDI_FACTORS!$D$12*(1+$B$1*INDEX($AI$10:$BJ$14,$B156,(C150-1)*2+2)))</f>
        <v>#VALUE!</v>
      </c>
      <c r="K156" s="1016" t="e">
        <f ca="1">K$47/(INDEX($AI$10:$BJ$14,$B156,(C150-1)*2+1)*RWDI_FACTORS!$D$12*(1+$B$1*INDEX($AI$10:$BJ$14,$B156,(C150-1)*2+2)))</f>
        <v>#VALUE!</v>
      </c>
      <c r="L156" s="1016" t="e">
        <f ca="1">L$47/(INDEX($AI$10:$BJ$14,$B156,(C150-1)*2+1)*RWDI_FACTORS!$D$12*(1+$B$1*INDEX($AI$10:$BJ$14,$B156,(C150-1)*2+2)))</f>
        <v>#VALUE!</v>
      </c>
      <c r="M156" s="1016" t="e">
        <f ca="1">M$47/(INDEX($AI$10:$BJ$14,$B156,(C150-1)*2+1)*RWDI_FACTORS!$D$12*(1+$B$1*INDEX($AI$10:$BJ$14,$B156,(C150-1)*2+2)))</f>
        <v>#VALUE!</v>
      </c>
      <c r="N156" s="1016" t="e">
        <f ca="1">N$47/(INDEX($AI$10:$BJ$14,$B156,(C150-1)*2+1)*RWDI_FACTORS!$D$12*(1+$B$1*INDEX($AI$10:$BJ$14,$B156,(C150-1)*2+2)))</f>
        <v>#VALUE!</v>
      </c>
      <c r="O156" s="1016" t="e">
        <f ca="1">O$47/(INDEX($AI$10:$BJ$14,$B156,(C150-1)*2+1)*RWDI_FACTORS!$D$12*(1+$B$1*INDEX($AI$10:$BJ$14,$B156,(C150-1)*2+2)))</f>
        <v>#VALUE!</v>
      </c>
      <c r="P156" s="1016" t="e">
        <f ca="1">P$47/(INDEX($AI$10:$BJ$14,$B156,(C150-1)*2+1)*RWDI_FACTORS!$D$12*(1+$B$1*INDEX($AI$10:$BJ$14,$B156,(C150-1)*2+2)))</f>
        <v>#VALUE!</v>
      </c>
      <c r="Q156" s="1016" t="e">
        <f ca="1">Q$47/(INDEX($AI$10:$BJ$14,$B156,(C150-1)*2+1)*RWDI_FACTORS!$D$12*(1+$B$1*INDEX($AI$10:$BJ$14,$B156,(C150-1)*2+2)))</f>
        <v>#VALUE!</v>
      </c>
      <c r="R156" s="1016" t="e">
        <f ca="1">R$47/(INDEX($AI$10:$BJ$14,$B156,(C150-1)*2+1)*RWDI_FACTORS!$D$12*(1+$B$1*INDEX($AI$10:$BJ$14,$B156,(C150-1)*2+2)))</f>
        <v>#VALUE!</v>
      </c>
      <c r="S156" s="1016" t="e">
        <f ca="1">S$47/(INDEX($AI$10:$BJ$14,$B156,(C150-1)*2+1)*RWDI_FACTORS!$D$12*(1+$B$1*INDEX($AI$10:$BJ$14,$B156,(C150-1)*2+2)))</f>
        <v>#VALUE!</v>
      </c>
      <c r="T156" s="1016" t="e">
        <f ca="1">T$47/(INDEX($AI$10:$BJ$14,$B156,(C150-1)*2+1)*RWDI_FACTORS!$D$12*(1+$B$1*INDEX($AI$10:$BJ$14,$B156,(C150-1)*2+2)))</f>
        <v>#VALUE!</v>
      </c>
      <c r="U156" s="1016" t="e">
        <f ca="1">U$47/(INDEX($AI$10:$BJ$14,$B156,(C150-1)*2+1)*RWDI_FACTORS!$D$12*(1+$B$1*INDEX($AI$10:$BJ$14,$B156,(C150-1)*2+2)))</f>
        <v>#VALUE!</v>
      </c>
      <c r="V156" s="1016" t="e">
        <f ca="1">V$47/(INDEX($AI$10:$BJ$14,$B156,(C150-1)*2+1)*RWDI_FACTORS!$D$12*(1+$B$1*INDEX($AI$10:$BJ$14,$B156,(C150-1)*2+2)))</f>
        <v>#VALUE!</v>
      </c>
      <c r="W156" s="1016" t="e">
        <f ca="1">W$47/(INDEX($AI$10:$BJ$14,$B156,(C150-1)*2+1)*RWDI_FACTORS!$D$12*(1+$B$1*INDEX($AI$10:$BJ$14,$B156,(C150-1)*2+2)))</f>
        <v>#VALUE!</v>
      </c>
    </row>
    <row r="157" spans="1:23" x14ac:dyDescent="0.2">
      <c r="A157" s="577">
        <f>A147</f>
        <v>181</v>
      </c>
      <c r="B157" s="577">
        <v>5</v>
      </c>
      <c r="C157" s="1016" t="e">
        <f ca="1">C$48/(INDEX($AI$10:$BJ$14,$B157,(C150-1)*2+1)*RWDI_FACTORS!$D$12*(1+$B$1*INDEX($AI$10:$BJ$14,$B157,(C150-1)*2+2)))</f>
        <v>#VALUE!</v>
      </c>
      <c r="D157" s="1016" t="e">
        <f ca="1">D$48/(INDEX($AI$10:$BJ$14,$B157,(C150-1)*2+1)*RWDI_FACTORS!$D$12*(1+$B$1*INDEX($AI$10:$BJ$14,$B157,(C150-1)*2+2)))</f>
        <v>#VALUE!</v>
      </c>
      <c r="E157" s="1016" t="e">
        <f ca="1">E$48/(INDEX($AI$10:$BJ$14,$B157,(C150-1)*2+1)*RWDI_FACTORS!$D$12*(1+$B$1*INDEX($AI$10:$BJ$14,$B157,(C150-1)*2+2)))</f>
        <v>#VALUE!</v>
      </c>
      <c r="F157" s="1016" t="e">
        <f ca="1">F$48/(INDEX($AI$10:$BJ$14,$B157,(C150-1)*2+1)*RWDI_FACTORS!$D$12*(1+$B$1*INDEX($AI$10:$BJ$14,$B157,(C150-1)*2+2)))</f>
        <v>#VALUE!</v>
      </c>
      <c r="G157" s="1016" t="e">
        <f ca="1">G$48/(INDEX($AI$10:$BJ$14,$B157,(C150-1)*2+1)*RWDI_FACTORS!$D$12*(1+$B$1*INDEX($AI$10:$BJ$14,$B157,(C150-1)*2+2)))</f>
        <v>#VALUE!</v>
      </c>
      <c r="H157" s="1016" t="e">
        <f ca="1">H$48/(INDEX($AI$10:$BJ$14,$B157,(C150-1)*2+1)*RWDI_FACTORS!$D$12*(1+$B$1*INDEX($AI$10:$BJ$14,$B157,(C150-1)*2+2)))</f>
        <v>#VALUE!</v>
      </c>
      <c r="I157" s="1016" t="e">
        <f ca="1">I$48/(INDEX($AI$10:$BJ$14,$B157,(C150-1)*2+1)*RWDI_FACTORS!$D$12*(1+$B$1*INDEX($AI$10:$BJ$14,$B157,(C150-1)*2+2)))</f>
        <v>#VALUE!</v>
      </c>
      <c r="J157" s="1016" t="e">
        <f ca="1">J$48/(INDEX($AI$10:$BJ$14,$B157,(C150-1)*2+1)*RWDI_FACTORS!$D$12*(1+$B$1*INDEX($AI$10:$BJ$14,$B157,(C150-1)*2+2)))</f>
        <v>#VALUE!</v>
      </c>
      <c r="K157" s="1016" t="e">
        <f ca="1">K$48/(INDEX($AI$10:$BJ$14,$B157,(C150-1)*2+1)*RWDI_FACTORS!$D$12*(1+$B$1*INDEX($AI$10:$BJ$14,$B157,(C150-1)*2+2)))</f>
        <v>#VALUE!</v>
      </c>
      <c r="L157" s="1016" t="e">
        <f ca="1">L$48/(INDEX($AI$10:$BJ$14,$B157,(C150-1)*2+1)*RWDI_FACTORS!$D$12*(1+$B$1*INDEX($AI$10:$BJ$14,$B157,(C150-1)*2+2)))</f>
        <v>#VALUE!</v>
      </c>
      <c r="M157" s="1016" t="e">
        <f ca="1">M$48/(INDEX($AI$10:$BJ$14,$B157,(C150-1)*2+1)*RWDI_FACTORS!$D$12*(1+$B$1*INDEX($AI$10:$BJ$14,$B157,(C150-1)*2+2)))</f>
        <v>#VALUE!</v>
      </c>
      <c r="N157" s="1016" t="e">
        <f ca="1">N$48/(INDEX($AI$10:$BJ$14,$B157,(C150-1)*2+1)*RWDI_FACTORS!$D$12*(1+$B$1*INDEX($AI$10:$BJ$14,$B157,(C150-1)*2+2)))</f>
        <v>#VALUE!</v>
      </c>
      <c r="O157" s="1016" t="e">
        <f ca="1">O$48/(INDEX($AI$10:$BJ$14,$B157,(C150-1)*2+1)*RWDI_FACTORS!$D$12*(1+$B$1*INDEX($AI$10:$BJ$14,$B157,(C150-1)*2+2)))</f>
        <v>#VALUE!</v>
      </c>
      <c r="P157" s="1016" t="e">
        <f ca="1">P$48/(INDEX($AI$10:$BJ$14,$B157,(C150-1)*2+1)*RWDI_FACTORS!$D$12*(1+$B$1*INDEX($AI$10:$BJ$14,$B157,(C150-1)*2+2)))</f>
        <v>#VALUE!</v>
      </c>
      <c r="Q157" s="1016" t="e">
        <f ca="1">Q$48/(INDEX($AI$10:$BJ$14,$B157,(C150-1)*2+1)*RWDI_FACTORS!$D$12*(1+$B$1*INDEX($AI$10:$BJ$14,$B157,(C150-1)*2+2)))</f>
        <v>#VALUE!</v>
      </c>
      <c r="R157" s="1016" t="e">
        <f ca="1">R$48/(INDEX($AI$10:$BJ$14,$B157,(C150-1)*2+1)*RWDI_FACTORS!$D$12*(1+$B$1*INDEX($AI$10:$BJ$14,$B157,(C150-1)*2+2)))</f>
        <v>#VALUE!</v>
      </c>
      <c r="S157" s="1016" t="e">
        <f ca="1">S$48/(INDEX($AI$10:$BJ$14,$B157,(C150-1)*2+1)*RWDI_FACTORS!$D$12*(1+$B$1*INDEX($AI$10:$BJ$14,$B157,(C150-1)*2+2)))</f>
        <v>#VALUE!</v>
      </c>
      <c r="T157" s="1016" t="e">
        <f ca="1">T$48/(INDEX($AI$10:$BJ$14,$B157,(C150-1)*2+1)*RWDI_FACTORS!$D$12*(1+$B$1*INDEX($AI$10:$BJ$14,$B157,(C150-1)*2+2)))</f>
        <v>#VALUE!</v>
      </c>
      <c r="U157" s="1016" t="e">
        <f ca="1">U$48/(INDEX($AI$10:$BJ$14,$B157,(C150-1)*2+1)*RWDI_FACTORS!$D$12*(1+$B$1*INDEX($AI$10:$BJ$14,$B157,(C150-1)*2+2)))</f>
        <v>#VALUE!</v>
      </c>
      <c r="V157" s="1016" t="e">
        <f ca="1">V$48/(INDEX($AI$10:$BJ$14,$B157,(C150-1)*2+1)*RWDI_FACTORS!$D$12*(1+$B$1*INDEX($AI$10:$BJ$14,$B157,(C150-1)*2+2)))</f>
        <v>#VALUE!</v>
      </c>
      <c r="W157" s="1016" t="e">
        <f ca="1">W$48/(INDEX($AI$10:$BJ$14,$B157,(C150-1)*2+1)*RWDI_FACTORS!$D$12*(1+$B$1*INDEX($AI$10:$BJ$14,$B157,(C150-1)*2+2)))</f>
        <v>#VALUE!</v>
      </c>
    </row>
    <row r="158" spans="1:23" x14ac:dyDescent="0.2">
      <c r="B158" s="1019" t="s">
        <v>609</v>
      </c>
      <c r="C158" s="1011" t="e">
        <f t="shared" ref="C158:W158" ca="1" si="29">AVERAGE(C153:C157)</f>
        <v>#VALUE!</v>
      </c>
      <c r="D158" s="1011" t="e">
        <f t="shared" ca="1" si="29"/>
        <v>#VALUE!</v>
      </c>
      <c r="E158" s="1011" t="e">
        <f t="shared" ca="1" si="29"/>
        <v>#VALUE!</v>
      </c>
      <c r="F158" s="1011" t="e">
        <f t="shared" ca="1" si="29"/>
        <v>#VALUE!</v>
      </c>
      <c r="G158" s="1011" t="e">
        <f t="shared" ca="1" si="29"/>
        <v>#VALUE!</v>
      </c>
      <c r="H158" s="1011" t="e">
        <f t="shared" ca="1" si="29"/>
        <v>#VALUE!</v>
      </c>
      <c r="I158" s="1011" t="e">
        <f t="shared" ca="1" si="29"/>
        <v>#VALUE!</v>
      </c>
      <c r="J158" s="1011" t="e">
        <f t="shared" ca="1" si="29"/>
        <v>#VALUE!</v>
      </c>
      <c r="K158" s="1011" t="e">
        <f t="shared" ca="1" si="29"/>
        <v>#VALUE!</v>
      </c>
      <c r="L158" s="1011" t="e">
        <f t="shared" ca="1" si="29"/>
        <v>#VALUE!</v>
      </c>
      <c r="M158" s="1011" t="e">
        <f t="shared" ca="1" si="29"/>
        <v>#VALUE!</v>
      </c>
      <c r="N158" s="1011" t="e">
        <f t="shared" ca="1" si="29"/>
        <v>#VALUE!</v>
      </c>
      <c r="O158" s="1011" t="e">
        <f t="shared" ca="1" si="29"/>
        <v>#VALUE!</v>
      </c>
      <c r="P158" s="1011" t="e">
        <f t="shared" ca="1" si="29"/>
        <v>#VALUE!</v>
      </c>
      <c r="Q158" s="1011" t="e">
        <f t="shared" ca="1" si="29"/>
        <v>#VALUE!</v>
      </c>
      <c r="R158" s="1011" t="e">
        <f t="shared" ca="1" si="29"/>
        <v>#VALUE!</v>
      </c>
      <c r="S158" s="1011" t="e">
        <f t="shared" ca="1" si="29"/>
        <v>#VALUE!</v>
      </c>
      <c r="T158" s="1011" t="e">
        <f t="shared" ca="1" si="29"/>
        <v>#VALUE!</v>
      </c>
      <c r="U158" s="1011" t="e">
        <f t="shared" ca="1" si="29"/>
        <v>#VALUE!</v>
      </c>
      <c r="V158" s="1011" t="e">
        <f t="shared" ca="1" si="29"/>
        <v>#VALUE!</v>
      </c>
      <c r="W158" s="1011" t="e">
        <f t="shared" ca="1" si="29"/>
        <v>#VALUE!</v>
      </c>
    </row>
    <row r="159" spans="1:23" x14ac:dyDescent="0.2">
      <c r="B159" s="1019" t="s">
        <v>610</v>
      </c>
      <c r="C159" s="1011" t="e">
        <f t="shared" ref="C159:W159" ca="1" si="30">STDEV(C153:C157)/C158*100</f>
        <v>#VALUE!</v>
      </c>
      <c r="D159" s="1011" t="e">
        <f t="shared" ca="1" si="30"/>
        <v>#VALUE!</v>
      </c>
      <c r="E159" s="1011" t="e">
        <f t="shared" ca="1" si="30"/>
        <v>#VALUE!</v>
      </c>
      <c r="F159" s="1011" t="e">
        <f t="shared" ca="1" si="30"/>
        <v>#VALUE!</v>
      </c>
      <c r="G159" s="1011" t="e">
        <f t="shared" ca="1" si="30"/>
        <v>#VALUE!</v>
      </c>
      <c r="H159" s="1011" t="e">
        <f t="shared" ca="1" si="30"/>
        <v>#VALUE!</v>
      </c>
      <c r="I159" s="1011" t="e">
        <f t="shared" ca="1" si="30"/>
        <v>#VALUE!</v>
      </c>
      <c r="J159" s="1011" t="e">
        <f t="shared" ca="1" si="30"/>
        <v>#VALUE!</v>
      </c>
      <c r="K159" s="1011" t="e">
        <f t="shared" ca="1" si="30"/>
        <v>#VALUE!</v>
      </c>
      <c r="L159" s="1011" t="e">
        <f t="shared" ca="1" si="30"/>
        <v>#VALUE!</v>
      </c>
      <c r="M159" s="1011" t="e">
        <f t="shared" ca="1" si="30"/>
        <v>#VALUE!</v>
      </c>
      <c r="N159" s="1011" t="e">
        <f t="shared" ca="1" si="30"/>
        <v>#VALUE!</v>
      </c>
      <c r="O159" s="1011" t="e">
        <f t="shared" ca="1" si="30"/>
        <v>#VALUE!</v>
      </c>
      <c r="P159" s="1011" t="e">
        <f t="shared" ca="1" si="30"/>
        <v>#VALUE!</v>
      </c>
      <c r="Q159" s="1011" t="e">
        <f t="shared" ca="1" si="30"/>
        <v>#VALUE!</v>
      </c>
      <c r="R159" s="1011" t="e">
        <f t="shared" ca="1" si="30"/>
        <v>#VALUE!</v>
      </c>
      <c r="S159" s="1011" t="e">
        <f t="shared" ca="1" si="30"/>
        <v>#VALUE!</v>
      </c>
      <c r="T159" s="1011" t="e">
        <f t="shared" ca="1" si="30"/>
        <v>#VALUE!</v>
      </c>
      <c r="U159" s="1011" t="e">
        <f t="shared" ca="1" si="30"/>
        <v>#VALUE!</v>
      </c>
      <c r="V159" s="1011" t="e">
        <f t="shared" ca="1" si="30"/>
        <v>#VALUE!</v>
      </c>
      <c r="W159" s="1011" t="e">
        <f t="shared" ca="1" si="30"/>
        <v>#VALUE!</v>
      </c>
    </row>
    <row r="160" spans="1:23" x14ac:dyDescent="0.2">
      <c r="A160" s="1017" t="e">
        <f ca="1">INDEX($AI$7:$BJ$7,1,(C160-1)*2+1)</f>
        <v>#REF!</v>
      </c>
      <c r="B160" s="1018"/>
      <c r="C160" s="577">
        <f>C150+1</f>
        <v>12</v>
      </c>
    </row>
    <row r="162" spans="1:23" x14ac:dyDescent="0.2">
      <c r="C162" s="577" t="s">
        <v>203</v>
      </c>
      <c r="D162" s="577" t="s">
        <v>204</v>
      </c>
      <c r="E162" s="577" t="s">
        <v>205</v>
      </c>
      <c r="F162" s="577" t="s">
        <v>206</v>
      </c>
      <c r="G162" s="577" t="s">
        <v>207</v>
      </c>
      <c r="H162" s="577" t="s">
        <v>266</v>
      </c>
      <c r="I162" s="577" t="s">
        <v>267</v>
      </c>
      <c r="J162" s="577" t="s">
        <v>268</v>
      </c>
      <c r="K162" s="577" t="s">
        <v>269</v>
      </c>
      <c r="L162" s="577" t="s">
        <v>270</v>
      </c>
      <c r="M162" s="577" t="s">
        <v>271</v>
      </c>
      <c r="N162" s="577" t="s">
        <v>272</v>
      </c>
      <c r="O162" s="577" t="s">
        <v>273</v>
      </c>
      <c r="P162" s="577" t="s">
        <v>274</v>
      </c>
      <c r="Q162" s="577" t="s">
        <v>275</v>
      </c>
      <c r="R162" s="577" t="s">
        <v>276</v>
      </c>
      <c r="S162" s="577" t="s">
        <v>277</v>
      </c>
      <c r="T162" s="577" t="s">
        <v>278</v>
      </c>
      <c r="U162" s="577" t="s">
        <v>279</v>
      </c>
      <c r="V162" s="577" t="s">
        <v>280</v>
      </c>
      <c r="W162" s="577" t="s">
        <v>297</v>
      </c>
    </row>
    <row r="163" spans="1:23" x14ac:dyDescent="0.2">
      <c r="A163" s="577">
        <f>A153</f>
        <v>54.3</v>
      </c>
      <c r="B163" s="577">
        <v>1</v>
      </c>
      <c r="C163" s="1016" t="e">
        <f ca="1">C$44/(INDEX($AI$10:$BJ$14,$B163,(C160-1)*2+1)*RWDI_FACTORS!$D$12*(1+$B$1*INDEX($AI$10:$BJ$14,$B163,(C160-1)*2+2)))</f>
        <v>#VALUE!</v>
      </c>
      <c r="D163" s="1016" t="e">
        <f ca="1">D$44/(INDEX($AI$10:$BJ$14,$B163,(C160-1)*2+1)*RWDI_FACTORS!$D$12*(1+$B$1*INDEX($AI$10:$BJ$14,$B163,(C160-1)*2+2)))</f>
        <v>#VALUE!</v>
      </c>
      <c r="E163" s="1016" t="e">
        <f ca="1">E$44/(INDEX($AI$10:$BJ$14,$B163,(C160-1)*2+1)*RWDI_FACTORS!$D$12*(1+$B$1*INDEX($AI$10:$BJ$14,$B163,(C160-1)*2+2)))</f>
        <v>#VALUE!</v>
      </c>
      <c r="F163" s="1016" t="e">
        <f ca="1">F$44/(INDEX($AI$10:$BJ$14,$B163,(C160-1)*2+1)*RWDI_FACTORS!$D$12*(1+$B$1*INDEX($AI$10:$BJ$14,$B163,(C160-1)*2+2)))</f>
        <v>#VALUE!</v>
      </c>
      <c r="G163" s="1016" t="e">
        <f ca="1">G$44/(INDEX($AI$10:$BJ$14,$B163,(C160-1)*2+1)*RWDI_FACTORS!$D$12*(1+$B$1*INDEX($AI$10:$BJ$14,$B163,(C160-1)*2+2)))</f>
        <v>#VALUE!</v>
      </c>
      <c r="H163" s="1016" t="e">
        <f ca="1">H$44/(INDEX($AI$10:$BJ$14,$B163,(C160-1)*2+1)*RWDI_FACTORS!$D$12*(1+$B$1*INDEX($AI$10:$BJ$14,$B163,(C160-1)*2+2)))</f>
        <v>#VALUE!</v>
      </c>
      <c r="I163" s="1016" t="e">
        <f ca="1">I$44/(INDEX($AI$10:$BJ$14,$B163,(C160-1)*2+1)*RWDI_FACTORS!$D$12*(1+$B$1*INDEX($AI$10:$BJ$14,$B163,(C160-1)*2+2)))</f>
        <v>#VALUE!</v>
      </c>
      <c r="J163" s="1016" t="e">
        <f ca="1">J$44/(INDEX($AI$10:$BJ$14,$B163,(C160-1)*2+1)*RWDI_FACTORS!$D$12*(1+$B$1*INDEX($AI$10:$BJ$14,$B163,(C160-1)*2+2)))</f>
        <v>#VALUE!</v>
      </c>
      <c r="K163" s="1016" t="e">
        <f ca="1">K$44/(INDEX($AI$10:$BJ$14,$B163,(C160-1)*2+1)*RWDI_FACTORS!$D$12*(1+$B$1*INDEX($AI$10:$BJ$14,$B163,(C160-1)*2+2)))</f>
        <v>#VALUE!</v>
      </c>
      <c r="L163" s="1016" t="e">
        <f ca="1">L$44/(INDEX($AI$10:$BJ$14,$B163,(C160-1)*2+1)*RWDI_FACTORS!$D$12*(1+$B$1*INDEX($AI$10:$BJ$14,$B163,(C160-1)*2+2)))</f>
        <v>#VALUE!</v>
      </c>
      <c r="M163" s="1016" t="e">
        <f ca="1">M$44/(INDEX($AI$10:$BJ$14,$B163,(C160-1)*2+1)*RWDI_FACTORS!$D$12*(1+$B$1*INDEX($AI$10:$BJ$14,$B163,(C160-1)*2+2)))</f>
        <v>#VALUE!</v>
      </c>
      <c r="N163" s="1016" t="e">
        <f ca="1">N$44/(INDEX($AI$10:$BJ$14,$B163,(C160-1)*2+1)*RWDI_FACTORS!$D$12*(1+$B$1*INDEX($AI$10:$BJ$14,$B163,(C160-1)*2+2)))</f>
        <v>#VALUE!</v>
      </c>
      <c r="O163" s="1016" t="e">
        <f ca="1">O$44/(INDEX($AI$10:$BJ$14,$B163,(C160-1)*2+1)*RWDI_FACTORS!$D$12*(1+$B$1*INDEX($AI$10:$BJ$14,$B163,(C160-1)*2+2)))</f>
        <v>#VALUE!</v>
      </c>
      <c r="P163" s="1016" t="e">
        <f ca="1">P$44/(INDEX($AI$10:$BJ$14,$B163,(C160-1)*2+1)*RWDI_FACTORS!$D$12*(1+$B$1*INDEX($AI$10:$BJ$14,$B163,(C160-1)*2+2)))</f>
        <v>#VALUE!</v>
      </c>
      <c r="Q163" s="1016" t="e">
        <f ca="1">Q$44/(INDEX($AI$10:$BJ$14,$B163,(C160-1)*2+1)*RWDI_FACTORS!$D$12*(1+$B$1*INDEX($AI$10:$BJ$14,$B163,(C160-1)*2+2)))</f>
        <v>#VALUE!</v>
      </c>
      <c r="R163" s="1016" t="e">
        <f ca="1">R$44/(INDEX($AI$10:$BJ$14,$B163,(C160-1)*2+1)*RWDI_FACTORS!$D$12*(1+$B$1*INDEX($AI$10:$BJ$14,$B163,(C160-1)*2+2)))</f>
        <v>#VALUE!</v>
      </c>
      <c r="S163" s="1016" t="e">
        <f ca="1">S$44/(INDEX($AI$10:$BJ$14,$B163,(C160-1)*2+1)*RWDI_FACTORS!$D$12*(1+$B$1*INDEX($AI$10:$BJ$14,$B163,(C160-1)*2+2)))</f>
        <v>#VALUE!</v>
      </c>
      <c r="T163" s="1016" t="e">
        <f ca="1">T$44/(INDEX($AI$10:$BJ$14,$B163,(C160-1)*2+1)*RWDI_FACTORS!$D$12*(1+$B$1*INDEX($AI$10:$BJ$14,$B163,(C160-1)*2+2)))</f>
        <v>#VALUE!</v>
      </c>
      <c r="U163" s="1016" t="e">
        <f ca="1">U$44/(INDEX($AI$10:$BJ$14,$B163,(C160-1)*2+1)*RWDI_FACTORS!$D$12*(1+$B$1*INDEX($AI$10:$BJ$14,$B163,(C160-1)*2+2)))</f>
        <v>#VALUE!</v>
      </c>
      <c r="V163" s="1016" t="e">
        <f ca="1">V$44/(INDEX($AI$10:$BJ$14,$B163,(C160-1)*2+1)*RWDI_FACTORS!$D$12*(1+$B$1*INDEX($AI$10:$BJ$14,$B163,(C160-1)*2+2)))</f>
        <v>#VALUE!</v>
      </c>
      <c r="W163" s="1016" t="e">
        <f ca="1">W$44/(INDEX($AI$10:$BJ$14,$B163,(C160-1)*2+1)*RWDI_FACTORS!$D$12*(1+$B$1*INDEX($AI$10:$BJ$14,$B163,(C160-1)*2+2)))</f>
        <v>#VALUE!</v>
      </c>
    </row>
    <row r="164" spans="1:23" x14ac:dyDescent="0.2">
      <c r="A164" s="577">
        <f>A154</f>
        <v>90.5</v>
      </c>
      <c r="B164" s="577">
        <v>2</v>
      </c>
      <c r="C164" s="1016" t="e">
        <f ca="1">C$45/(INDEX($AI$10:$BJ$14,$B164,(C160-1)*2+1)*RWDI_FACTORS!$D$12*(1+$B$1*INDEX($AI$10:$BJ$14,$B164,(C160-1)*2+2)))</f>
        <v>#VALUE!</v>
      </c>
      <c r="D164" s="1016" t="e">
        <f ca="1">D$45/(INDEX($AI$10:$BJ$14,$B164,(C160-1)*2+1)*RWDI_FACTORS!$D$12*(1+$B$1*INDEX($AI$10:$BJ$14,$B164,(C160-1)*2+2)))</f>
        <v>#VALUE!</v>
      </c>
      <c r="E164" s="1016" t="e">
        <f ca="1">E$45/(INDEX($AI$10:$BJ$14,$B164,(C160-1)*2+1)*RWDI_FACTORS!$D$12*(1+$B$1*INDEX($AI$10:$BJ$14,$B164,(C160-1)*2+2)))</f>
        <v>#VALUE!</v>
      </c>
      <c r="F164" s="1016" t="e">
        <f ca="1">F$45/(INDEX($AI$10:$BJ$14,$B164,(C160-1)*2+1)*RWDI_FACTORS!$D$12*(1+$B$1*INDEX($AI$10:$BJ$14,$B164,(C160-1)*2+2)))</f>
        <v>#VALUE!</v>
      </c>
      <c r="G164" s="1016" t="e">
        <f ca="1">G$45/(INDEX($AI$10:$BJ$14,$B164,(C160-1)*2+1)*RWDI_FACTORS!$D$12*(1+$B$1*INDEX($AI$10:$BJ$14,$B164,(C160-1)*2+2)))</f>
        <v>#VALUE!</v>
      </c>
      <c r="H164" s="1016" t="e">
        <f ca="1">H$45/(INDEX($AI$10:$BJ$14,$B164,(C160-1)*2+1)*RWDI_FACTORS!$D$12*(1+$B$1*INDEX($AI$10:$BJ$14,$B164,(C160-1)*2+2)))</f>
        <v>#VALUE!</v>
      </c>
      <c r="I164" s="1016" t="e">
        <f ca="1">I$45/(INDEX($AI$10:$BJ$14,$B164,(C160-1)*2+1)*RWDI_FACTORS!$D$12*(1+$B$1*INDEX($AI$10:$BJ$14,$B164,(C160-1)*2+2)))</f>
        <v>#VALUE!</v>
      </c>
      <c r="J164" s="1016" t="e">
        <f ca="1">J$45/(INDEX($AI$10:$BJ$14,$B164,(C160-1)*2+1)*RWDI_FACTORS!$D$12*(1+$B$1*INDEX($AI$10:$BJ$14,$B164,(C160-1)*2+2)))</f>
        <v>#VALUE!</v>
      </c>
      <c r="K164" s="1016" t="e">
        <f ca="1">K$45/(INDEX($AI$10:$BJ$14,$B164,(C160-1)*2+1)*RWDI_FACTORS!$D$12*(1+$B$1*INDEX($AI$10:$BJ$14,$B164,(C160-1)*2+2)))</f>
        <v>#VALUE!</v>
      </c>
      <c r="L164" s="1016" t="e">
        <f ca="1">L$45/(INDEX($AI$10:$BJ$14,$B164,(C160-1)*2+1)*RWDI_FACTORS!$D$12*(1+$B$1*INDEX($AI$10:$BJ$14,$B164,(C160-1)*2+2)))</f>
        <v>#VALUE!</v>
      </c>
      <c r="M164" s="1016" t="e">
        <f ca="1">M$45/(INDEX($AI$10:$BJ$14,$B164,(C160-1)*2+1)*RWDI_FACTORS!$D$12*(1+$B$1*INDEX($AI$10:$BJ$14,$B164,(C160-1)*2+2)))</f>
        <v>#VALUE!</v>
      </c>
      <c r="N164" s="1016" t="e">
        <f ca="1">N$45/(INDEX($AI$10:$BJ$14,$B164,(C160-1)*2+1)*RWDI_FACTORS!$D$12*(1+$B$1*INDEX($AI$10:$BJ$14,$B164,(C160-1)*2+2)))</f>
        <v>#VALUE!</v>
      </c>
      <c r="O164" s="1016" t="e">
        <f ca="1">O$45/(INDEX($AI$10:$BJ$14,$B164,(C160-1)*2+1)*RWDI_FACTORS!$D$12*(1+$B$1*INDEX($AI$10:$BJ$14,$B164,(C160-1)*2+2)))</f>
        <v>#VALUE!</v>
      </c>
      <c r="P164" s="1016" t="e">
        <f ca="1">P$45/(INDEX($AI$10:$BJ$14,$B164,(C160-1)*2+1)*RWDI_FACTORS!$D$12*(1+$B$1*INDEX($AI$10:$BJ$14,$B164,(C160-1)*2+2)))</f>
        <v>#VALUE!</v>
      </c>
      <c r="Q164" s="1016" t="e">
        <f ca="1">Q$45/(INDEX($AI$10:$BJ$14,$B164,(C160-1)*2+1)*RWDI_FACTORS!$D$12*(1+$B$1*INDEX($AI$10:$BJ$14,$B164,(C160-1)*2+2)))</f>
        <v>#VALUE!</v>
      </c>
      <c r="R164" s="1016" t="e">
        <f ca="1">R$45/(INDEX($AI$10:$BJ$14,$B164,(C160-1)*2+1)*RWDI_FACTORS!$D$12*(1+$B$1*INDEX($AI$10:$BJ$14,$B164,(C160-1)*2+2)))</f>
        <v>#VALUE!</v>
      </c>
      <c r="S164" s="1016" t="e">
        <f ca="1">S$45/(INDEX($AI$10:$BJ$14,$B164,(C160-1)*2+1)*RWDI_FACTORS!$D$12*(1+$B$1*INDEX($AI$10:$BJ$14,$B164,(C160-1)*2+2)))</f>
        <v>#VALUE!</v>
      </c>
      <c r="T164" s="1016" t="e">
        <f ca="1">T$45/(INDEX($AI$10:$BJ$14,$B164,(C160-1)*2+1)*RWDI_FACTORS!$D$12*(1+$B$1*INDEX($AI$10:$BJ$14,$B164,(C160-1)*2+2)))</f>
        <v>#VALUE!</v>
      </c>
      <c r="U164" s="1016" t="e">
        <f ca="1">U$45/(INDEX($AI$10:$BJ$14,$B164,(C160-1)*2+1)*RWDI_FACTORS!$D$12*(1+$B$1*INDEX($AI$10:$BJ$14,$B164,(C160-1)*2+2)))</f>
        <v>#VALUE!</v>
      </c>
      <c r="V164" s="1016" t="e">
        <f ca="1">V$45/(INDEX($AI$10:$BJ$14,$B164,(C160-1)*2+1)*RWDI_FACTORS!$D$12*(1+$B$1*INDEX($AI$10:$BJ$14,$B164,(C160-1)*2+2)))</f>
        <v>#VALUE!</v>
      </c>
      <c r="W164" s="1016" t="e">
        <f ca="1">W$45/(INDEX($AI$10:$BJ$14,$B164,(C160-1)*2+1)*RWDI_FACTORS!$D$12*(1+$B$1*INDEX($AI$10:$BJ$14,$B164,(C160-1)*2+2)))</f>
        <v>#VALUE!</v>
      </c>
    </row>
    <row r="165" spans="1:23" x14ac:dyDescent="0.2">
      <c r="A165" s="577">
        <f>A155</f>
        <v>120.7</v>
      </c>
      <c r="B165" s="577">
        <v>3</v>
      </c>
      <c r="C165" s="1016" t="e">
        <f ca="1">C$46/(INDEX($AI$10:$BJ$14,$B165,(C160-1)*2+1)*RWDI_FACTORS!$D$12*(1+$B$1*INDEX($AI$10:$BJ$14,$B165,(C160-1)*2+2)))</f>
        <v>#VALUE!</v>
      </c>
      <c r="D165" s="1016" t="e">
        <f ca="1">D$46/(INDEX($AI$10:$BJ$14,$B165,(C160-1)*2+1)*RWDI_FACTORS!$D$12*(1+$B$1*INDEX($AI$10:$BJ$14,$B165,(C160-1)*2+2)))</f>
        <v>#VALUE!</v>
      </c>
      <c r="E165" s="1016" t="e">
        <f ca="1">E$46/(INDEX($AI$10:$BJ$14,$B165,(C160-1)*2+1)*RWDI_FACTORS!$D$12*(1+$B$1*INDEX($AI$10:$BJ$14,$B165,(C160-1)*2+2)))</f>
        <v>#VALUE!</v>
      </c>
      <c r="F165" s="1016" t="e">
        <f ca="1">F$46/(INDEX($AI$10:$BJ$14,$B165,(C160-1)*2+1)*RWDI_FACTORS!$D$12*(1+$B$1*INDEX($AI$10:$BJ$14,$B165,(C160-1)*2+2)))</f>
        <v>#VALUE!</v>
      </c>
      <c r="G165" s="1016" t="e">
        <f ca="1">G$46/(INDEX($AI$10:$BJ$14,$B165,(C160-1)*2+1)*RWDI_FACTORS!$D$12*(1+$B$1*INDEX($AI$10:$BJ$14,$B165,(C160-1)*2+2)))</f>
        <v>#VALUE!</v>
      </c>
      <c r="H165" s="1016" t="e">
        <f ca="1">H$46/(INDEX($AI$10:$BJ$14,$B165,(C160-1)*2+1)*RWDI_FACTORS!$D$12*(1+$B$1*INDEX($AI$10:$BJ$14,$B165,(C160-1)*2+2)))</f>
        <v>#VALUE!</v>
      </c>
      <c r="I165" s="1016" t="e">
        <f ca="1">I$46/(INDEX($AI$10:$BJ$14,$B165,(C160-1)*2+1)*RWDI_FACTORS!$D$12*(1+$B$1*INDEX($AI$10:$BJ$14,$B165,(C160-1)*2+2)))</f>
        <v>#VALUE!</v>
      </c>
      <c r="J165" s="1016" t="e">
        <f ca="1">J$46/(INDEX($AI$10:$BJ$14,$B165,(C160-1)*2+1)*RWDI_FACTORS!$D$12*(1+$B$1*INDEX($AI$10:$BJ$14,$B165,(C160-1)*2+2)))</f>
        <v>#VALUE!</v>
      </c>
      <c r="K165" s="1016" t="e">
        <f ca="1">K$46/(INDEX($AI$10:$BJ$14,$B165,(C160-1)*2+1)*RWDI_FACTORS!$D$12*(1+$B$1*INDEX($AI$10:$BJ$14,$B165,(C160-1)*2+2)))</f>
        <v>#VALUE!</v>
      </c>
      <c r="L165" s="1016" t="e">
        <f ca="1">L$46/(INDEX($AI$10:$BJ$14,$B165,(C160-1)*2+1)*RWDI_FACTORS!$D$12*(1+$B$1*INDEX($AI$10:$BJ$14,$B165,(C160-1)*2+2)))</f>
        <v>#VALUE!</v>
      </c>
      <c r="M165" s="1016" t="e">
        <f ca="1">M$46/(INDEX($AI$10:$BJ$14,$B165,(C160-1)*2+1)*RWDI_FACTORS!$D$12*(1+$B$1*INDEX($AI$10:$BJ$14,$B165,(C160-1)*2+2)))</f>
        <v>#VALUE!</v>
      </c>
      <c r="N165" s="1016" t="e">
        <f ca="1">N$46/(INDEX($AI$10:$BJ$14,$B165,(C160-1)*2+1)*RWDI_FACTORS!$D$12*(1+$B$1*INDEX($AI$10:$BJ$14,$B165,(C160-1)*2+2)))</f>
        <v>#VALUE!</v>
      </c>
      <c r="O165" s="1016" t="e">
        <f ca="1">O$46/(INDEX($AI$10:$BJ$14,$B165,(C160-1)*2+1)*RWDI_FACTORS!$D$12*(1+$B$1*INDEX($AI$10:$BJ$14,$B165,(C160-1)*2+2)))</f>
        <v>#VALUE!</v>
      </c>
      <c r="P165" s="1016" t="e">
        <f ca="1">P$46/(INDEX($AI$10:$BJ$14,$B165,(C160-1)*2+1)*RWDI_FACTORS!$D$12*(1+$B$1*INDEX($AI$10:$BJ$14,$B165,(C160-1)*2+2)))</f>
        <v>#VALUE!</v>
      </c>
      <c r="Q165" s="1016" t="e">
        <f ca="1">Q$46/(INDEX($AI$10:$BJ$14,$B165,(C160-1)*2+1)*RWDI_FACTORS!$D$12*(1+$B$1*INDEX($AI$10:$BJ$14,$B165,(C160-1)*2+2)))</f>
        <v>#VALUE!</v>
      </c>
      <c r="R165" s="1016" t="e">
        <f ca="1">R$46/(INDEX($AI$10:$BJ$14,$B165,(C160-1)*2+1)*RWDI_FACTORS!$D$12*(1+$B$1*INDEX($AI$10:$BJ$14,$B165,(C160-1)*2+2)))</f>
        <v>#VALUE!</v>
      </c>
      <c r="S165" s="1016" t="e">
        <f ca="1">S$46/(INDEX($AI$10:$BJ$14,$B165,(C160-1)*2+1)*RWDI_FACTORS!$D$12*(1+$B$1*INDEX($AI$10:$BJ$14,$B165,(C160-1)*2+2)))</f>
        <v>#VALUE!</v>
      </c>
      <c r="T165" s="1016" t="e">
        <f ca="1">T$46/(INDEX($AI$10:$BJ$14,$B165,(C160-1)*2+1)*RWDI_FACTORS!$D$12*(1+$B$1*INDEX($AI$10:$BJ$14,$B165,(C160-1)*2+2)))</f>
        <v>#VALUE!</v>
      </c>
      <c r="U165" s="1016" t="e">
        <f ca="1">U$46/(INDEX($AI$10:$BJ$14,$B165,(C160-1)*2+1)*RWDI_FACTORS!$D$12*(1+$B$1*INDEX($AI$10:$BJ$14,$B165,(C160-1)*2+2)))</f>
        <v>#VALUE!</v>
      </c>
      <c r="V165" s="1016" t="e">
        <f ca="1">V$46/(INDEX($AI$10:$BJ$14,$B165,(C160-1)*2+1)*RWDI_FACTORS!$D$12*(1+$B$1*INDEX($AI$10:$BJ$14,$B165,(C160-1)*2+2)))</f>
        <v>#VALUE!</v>
      </c>
      <c r="W165" s="1016" t="e">
        <f ca="1">W$46/(INDEX($AI$10:$BJ$14,$B165,(C160-1)*2+1)*RWDI_FACTORS!$D$12*(1+$B$1*INDEX($AI$10:$BJ$14,$B165,(C160-1)*2+2)))</f>
        <v>#VALUE!</v>
      </c>
    </row>
    <row r="166" spans="1:23" x14ac:dyDescent="0.2">
      <c r="A166" s="577">
        <f>A156</f>
        <v>144.80000000000001</v>
      </c>
      <c r="B166" s="577">
        <v>4</v>
      </c>
      <c r="C166" s="1016" t="e">
        <f ca="1">C$47/(INDEX($AI$10:$BJ$14,$B166,(C160-1)*2+1)*RWDI_FACTORS!$D$12*(1+$B$1*INDEX($AI$10:$BJ$14,$B166,(C160-1)*2+2)))</f>
        <v>#VALUE!</v>
      </c>
      <c r="D166" s="1016" t="e">
        <f ca="1">D$47/(INDEX($AI$10:$BJ$14,$B166,(C160-1)*2+1)*RWDI_FACTORS!$D$12*(1+$B$1*INDEX($AI$10:$BJ$14,$B166,(C160-1)*2+2)))</f>
        <v>#VALUE!</v>
      </c>
      <c r="E166" s="1016" t="e">
        <f ca="1">E$47/(INDEX($AI$10:$BJ$14,$B166,(C160-1)*2+1)*RWDI_FACTORS!$D$12*(1+$B$1*INDEX($AI$10:$BJ$14,$B166,(C160-1)*2+2)))</f>
        <v>#VALUE!</v>
      </c>
      <c r="F166" s="1016" t="e">
        <f ca="1">F$47/(INDEX($AI$10:$BJ$14,$B166,(C160-1)*2+1)*RWDI_FACTORS!$D$12*(1+$B$1*INDEX($AI$10:$BJ$14,$B166,(C160-1)*2+2)))</f>
        <v>#VALUE!</v>
      </c>
      <c r="G166" s="1016" t="e">
        <f ca="1">G$47/(INDEX($AI$10:$BJ$14,$B166,(C160-1)*2+1)*RWDI_FACTORS!$D$12*(1+$B$1*INDEX($AI$10:$BJ$14,$B166,(C160-1)*2+2)))</f>
        <v>#VALUE!</v>
      </c>
      <c r="H166" s="1016" t="e">
        <f ca="1">H$47/(INDEX($AI$10:$BJ$14,$B166,(C160-1)*2+1)*RWDI_FACTORS!$D$12*(1+$B$1*INDEX($AI$10:$BJ$14,$B166,(C160-1)*2+2)))</f>
        <v>#VALUE!</v>
      </c>
      <c r="I166" s="1016" t="e">
        <f ca="1">I$47/(INDEX($AI$10:$BJ$14,$B166,(C160-1)*2+1)*RWDI_FACTORS!$D$12*(1+$B$1*INDEX($AI$10:$BJ$14,$B166,(C160-1)*2+2)))</f>
        <v>#VALUE!</v>
      </c>
      <c r="J166" s="1016" t="e">
        <f ca="1">J$47/(INDEX($AI$10:$BJ$14,$B166,(C160-1)*2+1)*RWDI_FACTORS!$D$12*(1+$B$1*INDEX($AI$10:$BJ$14,$B166,(C160-1)*2+2)))</f>
        <v>#VALUE!</v>
      </c>
      <c r="K166" s="1016" t="e">
        <f ca="1">K$47/(INDEX($AI$10:$BJ$14,$B166,(C160-1)*2+1)*RWDI_FACTORS!$D$12*(1+$B$1*INDEX($AI$10:$BJ$14,$B166,(C160-1)*2+2)))</f>
        <v>#VALUE!</v>
      </c>
      <c r="L166" s="1016" t="e">
        <f ca="1">L$47/(INDEX($AI$10:$BJ$14,$B166,(C160-1)*2+1)*RWDI_FACTORS!$D$12*(1+$B$1*INDEX($AI$10:$BJ$14,$B166,(C160-1)*2+2)))</f>
        <v>#VALUE!</v>
      </c>
      <c r="M166" s="1016" t="e">
        <f ca="1">M$47/(INDEX($AI$10:$BJ$14,$B166,(C160-1)*2+1)*RWDI_FACTORS!$D$12*(1+$B$1*INDEX($AI$10:$BJ$14,$B166,(C160-1)*2+2)))</f>
        <v>#VALUE!</v>
      </c>
      <c r="N166" s="1016" t="e">
        <f ca="1">N$47/(INDEX($AI$10:$BJ$14,$B166,(C160-1)*2+1)*RWDI_FACTORS!$D$12*(1+$B$1*INDEX($AI$10:$BJ$14,$B166,(C160-1)*2+2)))</f>
        <v>#VALUE!</v>
      </c>
      <c r="O166" s="1016" t="e">
        <f ca="1">O$47/(INDEX($AI$10:$BJ$14,$B166,(C160-1)*2+1)*RWDI_FACTORS!$D$12*(1+$B$1*INDEX($AI$10:$BJ$14,$B166,(C160-1)*2+2)))</f>
        <v>#VALUE!</v>
      </c>
      <c r="P166" s="1016" t="e">
        <f ca="1">P$47/(INDEX($AI$10:$BJ$14,$B166,(C160-1)*2+1)*RWDI_FACTORS!$D$12*(1+$B$1*INDEX($AI$10:$BJ$14,$B166,(C160-1)*2+2)))</f>
        <v>#VALUE!</v>
      </c>
      <c r="Q166" s="1016" t="e">
        <f ca="1">Q$47/(INDEX($AI$10:$BJ$14,$B166,(C160-1)*2+1)*RWDI_FACTORS!$D$12*(1+$B$1*INDEX($AI$10:$BJ$14,$B166,(C160-1)*2+2)))</f>
        <v>#VALUE!</v>
      </c>
      <c r="R166" s="1016" t="e">
        <f ca="1">R$47/(INDEX($AI$10:$BJ$14,$B166,(C160-1)*2+1)*RWDI_FACTORS!$D$12*(1+$B$1*INDEX($AI$10:$BJ$14,$B166,(C160-1)*2+2)))</f>
        <v>#VALUE!</v>
      </c>
      <c r="S166" s="1016" t="e">
        <f ca="1">S$47/(INDEX($AI$10:$BJ$14,$B166,(C160-1)*2+1)*RWDI_FACTORS!$D$12*(1+$B$1*INDEX($AI$10:$BJ$14,$B166,(C160-1)*2+2)))</f>
        <v>#VALUE!</v>
      </c>
      <c r="T166" s="1016" t="e">
        <f ca="1">T$47/(INDEX($AI$10:$BJ$14,$B166,(C160-1)*2+1)*RWDI_FACTORS!$D$12*(1+$B$1*INDEX($AI$10:$BJ$14,$B166,(C160-1)*2+2)))</f>
        <v>#VALUE!</v>
      </c>
      <c r="U166" s="1016" t="e">
        <f ca="1">U$47/(INDEX($AI$10:$BJ$14,$B166,(C160-1)*2+1)*RWDI_FACTORS!$D$12*(1+$B$1*INDEX($AI$10:$BJ$14,$B166,(C160-1)*2+2)))</f>
        <v>#VALUE!</v>
      </c>
      <c r="V166" s="1016" t="e">
        <f ca="1">V$47/(INDEX($AI$10:$BJ$14,$B166,(C160-1)*2+1)*RWDI_FACTORS!$D$12*(1+$B$1*INDEX($AI$10:$BJ$14,$B166,(C160-1)*2+2)))</f>
        <v>#VALUE!</v>
      </c>
      <c r="W166" s="1016" t="e">
        <f ca="1">W$47/(INDEX($AI$10:$BJ$14,$B166,(C160-1)*2+1)*RWDI_FACTORS!$D$12*(1+$B$1*INDEX($AI$10:$BJ$14,$B166,(C160-1)*2+2)))</f>
        <v>#VALUE!</v>
      </c>
    </row>
    <row r="167" spans="1:23" x14ac:dyDescent="0.2">
      <c r="A167" s="577">
        <f>A157</f>
        <v>181</v>
      </c>
      <c r="B167" s="577">
        <v>5</v>
      </c>
      <c r="C167" s="1016" t="e">
        <f ca="1">C$48/(INDEX($AI$10:$BJ$14,$B167,(C160-1)*2+1)*RWDI_FACTORS!$D$12*(1+$B$1*INDEX($AI$10:$BJ$14,$B167,(C160-1)*2+2)))</f>
        <v>#VALUE!</v>
      </c>
      <c r="D167" s="1016" t="e">
        <f ca="1">D$48/(INDEX($AI$10:$BJ$14,$B167,(C160-1)*2+1)*RWDI_FACTORS!$D$12*(1+$B$1*INDEX($AI$10:$BJ$14,$B167,(C160-1)*2+2)))</f>
        <v>#VALUE!</v>
      </c>
      <c r="E167" s="1016" t="e">
        <f ca="1">E$48/(INDEX($AI$10:$BJ$14,$B167,(C160-1)*2+1)*RWDI_FACTORS!$D$12*(1+$B$1*INDEX($AI$10:$BJ$14,$B167,(C160-1)*2+2)))</f>
        <v>#VALUE!</v>
      </c>
      <c r="F167" s="1016" t="e">
        <f ca="1">F$48/(INDEX($AI$10:$BJ$14,$B167,(C160-1)*2+1)*RWDI_FACTORS!$D$12*(1+$B$1*INDEX($AI$10:$BJ$14,$B167,(C160-1)*2+2)))</f>
        <v>#VALUE!</v>
      </c>
      <c r="G167" s="1016" t="e">
        <f ca="1">G$48/(INDEX($AI$10:$BJ$14,$B167,(C160-1)*2+1)*RWDI_FACTORS!$D$12*(1+$B$1*INDEX($AI$10:$BJ$14,$B167,(C160-1)*2+2)))</f>
        <v>#VALUE!</v>
      </c>
      <c r="H167" s="1016" t="e">
        <f ca="1">H$48/(INDEX($AI$10:$BJ$14,$B167,(C160-1)*2+1)*RWDI_FACTORS!$D$12*(1+$B$1*INDEX($AI$10:$BJ$14,$B167,(C160-1)*2+2)))</f>
        <v>#VALUE!</v>
      </c>
      <c r="I167" s="1016" t="e">
        <f ca="1">I$48/(INDEX($AI$10:$BJ$14,$B167,(C160-1)*2+1)*RWDI_FACTORS!$D$12*(1+$B$1*INDEX($AI$10:$BJ$14,$B167,(C160-1)*2+2)))</f>
        <v>#VALUE!</v>
      </c>
      <c r="J167" s="1016" t="e">
        <f ca="1">J$48/(INDEX($AI$10:$BJ$14,$B167,(C160-1)*2+1)*RWDI_FACTORS!$D$12*(1+$B$1*INDEX($AI$10:$BJ$14,$B167,(C160-1)*2+2)))</f>
        <v>#VALUE!</v>
      </c>
      <c r="K167" s="1016" t="e">
        <f ca="1">K$48/(INDEX($AI$10:$BJ$14,$B167,(C160-1)*2+1)*RWDI_FACTORS!$D$12*(1+$B$1*INDEX($AI$10:$BJ$14,$B167,(C160-1)*2+2)))</f>
        <v>#VALUE!</v>
      </c>
      <c r="L167" s="1016" t="e">
        <f ca="1">L$48/(INDEX($AI$10:$BJ$14,$B167,(C160-1)*2+1)*RWDI_FACTORS!$D$12*(1+$B$1*INDEX($AI$10:$BJ$14,$B167,(C160-1)*2+2)))</f>
        <v>#VALUE!</v>
      </c>
      <c r="M167" s="1016" t="e">
        <f ca="1">M$48/(INDEX($AI$10:$BJ$14,$B167,(C160-1)*2+1)*RWDI_FACTORS!$D$12*(1+$B$1*INDEX($AI$10:$BJ$14,$B167,(C160-1)*2+2)))</f>
        <v>#VALUE!</v>
      </c>
      <c r="N167" s="1016" t="e">
        <f ca="1">N$48/(INDEX($AI$10:$BJ$14,$B167,(C160-1)*2+1)*RWDI_FACTORS!$D$12*(1+$B$1*INDEX($AI$10:$BJ$14,$B167,(C160-1)*2+2)))</f>
        <v>#VALUE!</v>
      </c>
      <c r="O167" s="1016" t="e">
        <f ca="1">O$48/(INDEX($AI$10:$BJ$14,$B167,(C160-1)*2+1)*RWDI_FACTORS!$D$12*(1+$B$1*INDEX($AI$10:$BJ$14,$B167,(C160-1)*2+2)))</f>
        <v>#VALUE!</v>
      </c>
      <c r="P167" s="1016" t="e">
        <f ca="1">P$48/(INDEX($AI$10:$BJ$14,$B167,(C160-1)*2+1)*RWDI_FACTORS!$D$12*(1+$B$1*INDEX($AI$10:$BJ$14,$B167,(C160-1)*2+2)))</f>
        <v>#VALUE!</v>
      </c>
      <c r="Q167" s="1016" t="e">
        <f ca="1">Q$48/(INDEX($AI$10:$BJ$14,$B167,(C160-1)*2+1)*RWDI_FACTORS!$D$12*(1+$B$1*INDEX($AI$10:$BJ$14,$B167,(C160-1)*2+2)))</f>
        <v>#VALUE!</v>
      </c>
      <c r="R167" s="1016" t="e">
        <f ca="1">R$48/(INDEX($AI$10:$BJ$14,$B167,(C160-1)*2+1)*RWDI_FACTORS!$D$12*(1+$B$1*INDEX($AI$10:$BJ$14,$B167,(C160-1)*2+2)))</f>
        <v>#VALUE!</v>
      </c>
      <c r="S167" s="1016" t="e">
        <f ca="1">S$48/(INDEX($AI$10:$BJ$14,$B167,(C160-1)*2+1)*RWDI_FACTORS!$D$12*(1+$B$1*INDEX($AI$10:$BJ$14,$B167,(C160-1)*2+2)))</f>
        <v>#VALUE!</v>
      </c>
      <c r="T167" s="1016" t="e">
        <f ca="1">T$48/(INDEX($AI$10:$BJ$14,$B167,(C160-1)*2+1)*RWDI_FACTORS!$D$12*(1+$B$1*INDEX($AI$10:$BJ$14,$B167,(C160-1)*2+2)))</f>
        <v>#VALUE!</v>
      </c>
      <c r="U167" s="1016" t="e">
        <f ca="1">U$48/(INDEX($AI$10:$BJ$14,$B167,(C160-1)*2+1)*RWDI_FACTORS!$D$12*(1+$B$1*INDEX($AI$10:$BJ$14,$B167,(C160-1)*2+2)))</f>
        <v>#VALUE!</v>
      </c>
      <c r="V167" s="1016" t="e">
        <f ca="1">V$48/(INDEX($AI$10:$BJ$14,$B167,(C160-1)*2+1)*RWDI_FACTORS!$D$12*(1+$B$1*INDEX($AI$10:$BJ$14,$B167,(C160-1)*2+2)))</f>
        <v>#VALUE!</v>
      </c>
      <c r="W167" s="1016" t="e">
        <f ca="1">W$48/(INDEX($AI$10:$BJ$14,$B167,(C160-1)*2+1)*RWDI_FACTORS!$D$12*(1+$B$1*INDEX($AI$10:$BJ$14,$B167,(C160-1)*2+2)))</f>
        <v>#VALUE!</v>
      </c>
    </row>
    <row r="168" spans="1:23" x14ac:dyDescent="0.2">
      <c r="B168" s="1019" t="s">
        <v>609</v>
      </c>
      <c r="C168" s="1011" t="e">
        <f t="shared" ref="C168:W168" ca="1" si="31">AVERAGE(C163:C167)</f>
        <v>#VALUE!</v>
      </c>
      <c r="D168" s="1011" t="e">
        <f t="shared" ca="1" si="31"/>
        <v>#VALUE!</v>
      </c>
      <c r="E168" s="1011" t="e">
        <f t="shared" ca="1" si="31"/>
        <v>#VALUE!</v>
      </c>
      <c r="F168" s="1011" t="e">
        <f t="shared" ca="1" si="31"/>
        <v>#VALUE!</v>
      </c>
      <c r="G168" s="1011" t="e">
        <f t="shared" ca="1" si="31"/>
        <v>#VALUE!</v>
      </c>
      <c r="H168" s="1011" t="e">
        <f t="shared" ca="1" si="31"/>
        <v>#VALUE!</v>
      </c>
      <c r="I168" s="1011" t="e">
        <f t="shared" ca="1" si="31"/>
        <v>#VALUE!</v>
      </c>
      <c r="J168" s="1011" t="e">
        <f t="shared" ca="1" si="31"/>
        <v>#VALUE!</v>
      </c>
      <c r="K168" s="1011" t="e">
        <f t="shared" ca="1" si="31"/>
        <v>#VALUE!</v>
      </c>
      <c r="L168" s="1011" t="e">
        <f t="shared" ca="1" si="31"/>
        <v>#VALUE!</v>
      </c>
      <c r="M168" s="1011" t="e">
        <f t="shared" ca="1" si="31"/>
        <v>#VALUE!</v>
      </c>
      <c r="N168" s="1011" t="e">
        <f t="shared" ca="1" si="31"/>
        <v>#VALUE!</v>
      </c>
      <c r="O168" s="1011" t="e">
        <f t="shared" ca="1" si="31"/>
        <v>#VALUE!</v>
      </c>
      <c r="P168" s="1011" t="e">
        <f t="shared" ca="1" si="31"/>
        <v>#VALUE!</v>
      </c>
      <c r="Q168" s="1011" t="e">
        <f t="shared" ca="1" si="31"/>
        <v>#VALUE!</v>
      </c>
      <c r="R168" s="1011" t="e">
        <f t="shared" ca="1" si="31"/>
        <v>#VALUE!</v>
      </c>
      <c r="S168" s="1011" t="e">
        <f t="shared" ca="1" si="31"/>
        <v>#VALUE!</v>
      </c>
      <c r="T168" s="1011" t="e">
        <f t="shared" ca="1" si="31"/>
        <v>#VALUE!</v>
      </c>
      <c r="U168" s="1011" t="e">
        <f t="shared" ca="1" si="31"/>
        <v>#VALUE!</v>
      </c>
      <c r="V168" s="1011" t="e">
        <f t="shared" ca="1" si="31"/>
        <v>#VALUE!</v>
      </c>
      <c r="W168" s="1011" t="e">
        <f t="shared" ca="1" si="31"/>
        <v>#VALUE!</v>
      </c>
    </row>
    <row r="169" spans="1:23" x14ac:dyDescent="0.2">
      <c r="B169" s="1019" t="s">
        <v>610</v>
      </c>
      <c r="C169" s="1011" t="e">
        <f t="shared" ref="C169:W169" ca="1" si="32">STDEV(C163:C167)/C168*100</f>
        <v>#VALUE!</v>
      </c>
      <c r="D169" s="1011" t="e">
        <f t="shared" ca="1" si="32"/>
        <v>#VALUE!</v>
      </c>
      <c r="E169" s="1011" t="e">
        <f t="shared" ca="1" si="32"/>
        <v>#VALUE!</v>
      </c>
      <c r="F169" s="1011" t="e">
        <f t="shared" ca="1" si="32"/>
        <v>#VALUE!</v>
      </c>
      <c r="G169" s="1011" t="e">
        <f t="shared" ca="1" si="32"/>
        <v>#VALUE!</v>
      </c>
      <c r="H169" s="1011" t="e">
        <f t="shared" ca="1" si="32"/>
        <v>#VALUE!</v>
      </c>
      <c r="I169" s="1011" t="e">
        <f t="shared" ca="1" si="32"/>
        <v>#VALUE!</v>
      </c>
      <c r="J169" s="1011" t="e">
        <f t="shared" ca="1" si="32"/>
        <v>#VALUE!</v>
      </c>
      <c r="K169" s="1011" t="e">
        <f t="shared" ca="1" si="32"/>
        <v>#VALUE!</v>
      </c>
      <c r="L169" s="1011" t="e">
        <f t="shared" ca="1" si="32"/>
        <v>#VALUE!</v>
      </c>
      <c r="M169" s="1011" t="e">
        <f t="shared" ca="1" si="32"/>
        <v>#VALUE!</v>
      </c>
      <c r="N169" s="1011" t="e">
        <f t="shared" ca="1" si="32"/>
        <v>#VALUE!</v>
      </c>
      <c r="O169" s="1011" t="e">
        <f t="shared" ca="1" si="32"/>
        <v>#VALUE!</v>
      </c>
      <c r="P169" s="1011" t="e">
        <f t="shared" ca="1" si="32"/>
        <v>#VALUE!</v>
      </c>
      <c r="Q169" s="1011" t="e">
        <f t="shared" ca="1" si="32"/>
        <v>#VALUE!</v>
      </c>
      <c r="R169" s="1011" t="e">
        <f t="shared" ca="1" si="32"/>
        <v>#VALUE!</v>
      </c>
      <c r="S169" s="1011" t="e">
        <f t="shared" ca="1" si="32"/>
        <v>#VALUE!</v>
      </c>
      <c r="T169" s="1011" t="e">
        <f t="shared" ca="1" si="32"/>
        <v>#VALUE!</v>
      </c>
      <c r="U169" s="1011" t="e">
        <f t="shared" ca="1" si="32"/>
        <v>#VALUE!</v>
      </c>
      <c r="V169" s="1011" t="e">
        <f t="shared" ca="1" si="32"/>
        <v>#VALUE!</v>
      </c>
      <c r="W169" s="1011" t="e">
        <f t="shared" ca="1" si="32"/>
        <v>#VALUE!</v>
      </c>
    </row>
    <row r="170" spans="1:23" x14ac:dyDescent="0.2">
      <c r="A170" s="1017" t="e">
        <f ca="1">INDEX($AI$7:$BJ$7,1,(C170-1)*2+1)</f>
        <v>#REF!</v>
      </c>
      <c r="B170" s="1018"/>
      <c r="C170" s="577">
        <f>C160+1</f>
        <v>13</v>
      </c>
    </row>
    <row r="172" spans="1:23" x14ac:dyDescent="0.2">
      <c r="C172" s="577" t="s">
        <v>203</v>
      </c>
      <c r="D172" s="577" t="s">
        <v>204</v>
      </c>
      <c r="E172" s="577" t="s">
        <v>205</v>
      </c>
      <c r="F172" s="577" t="s">
        <v>206</v>
      </c>
      <c r="G172" s="577" t="s">
        <v>207</v>
      </c>
      <c r="H172" s="577" t="s">
        <v>266</v>
      </c>
      <c r="I172" s="577" t="s">
        <v>267</v>
      </c>
      <c r="J172" s="577" t="s">
        <v>268</v>
      </c>
      <c r="K172" s="577" t="s">
        <v>269</v>
      </c>
      <c r="L172" s="577" t="s">
        <v>270</v>
      </c>
      <c r="M172" s="577" t="s">
        <v>271</v>
      </c>
      <c r="N172" s="577" t="s">
        <v>272</v>
      </c>
      <c r="O172" s="577" t="s">
        <v>273</v>
      </c>
      <c r="P172" s="577" t="s">
        <v>274</v>
      </c>
      <c r="Q172" s="577" t="s">
        <v>275</v>
      </c>
      <c r="R172" s="577" t="s">
        <v>276</v>
      </c>
      <c r="S172" s="577" t="s">
        <v>277</v>
      </c>
      <c r="T172" s="577" t="s">
        <v>278</v>
      </c>
      <c r="U172" s="577" t="s">
        <v>279</v>
      </c>
      <c r="V172" s="577" t="s">
        <v>280</v>
      </c>
      <c r="W172" s="577" t="s">
        <v>297</v>
      </c>
    </row>
    <row r="173" spans="1:23" x14ac:dyDescent="0.2">
      <c r="A173" s="577">
        <f>A163</f>
        <v>54.3</v>
      </c>
      <c r="B173" s="577">
        <v>1</v>
      </c>
      <c r="C173" s="1016" t="e">
        <f ca="1">C$44/(INDEX($AI$10:$BJ$14,$B173,(C170-1)*2+1)*RWDI_FACTORS!$D$12*(1+$B$1*INDEX($AI$10:$BJ$14,$B173,(C170-1)*2+2)))</f>
        <v>#VALUE!</v>
      </c>
      <c r="D173" s="1016" t="e">
        <f ca="1">D$44/(INDEX($AI$10:$BJ$14,$B173,(C170-1)*2+1)*RWDI_FACTORS!$D$12*(1+$B$1*INDEX($AI$10:$BJ$14,$B173,(C170-1)*2+2)))</f>
        <v>#VALUE!</v>
      </c>
      <c r="E173" s="1016" t="e">
        <f ca="1">E$44/(INDEX($AI$10:$BJ$14,$B173,(C170-1)*2+1)*RWDI_FACTORS!$D$12*(1+$B$1*INDEX($AI$10:$BJ$14,$B173,(C170-1)*2+2)))</f>
        <v>#VALUE!</v>
      </c>
      <c r="F173" s="1016" t="e">
        <f ca="1">F$44/(INDEX($AI$10:$BJ$14,$B173,(C170-1)*2+1)*RWDI_FACTORS!$D$12*(1+$B$1*INDEX($AI$10:$BJ$14,$B173,(C170-1)*2+2)))</f>
        <v>#VALUE!</v>
      </c>
      <c r="G173" s="1016" t="e">
        <f ca="1">G$44/(INDEX($AI$10:$BJ$14,$B173,(C170-1)*2+1)*RWDI_FACTORS!$D$12*(1+$B$1*INDEX($AI$10:$BJ$14,$B173,(C170-1)*2+2)))</f>
        <v>#VALUE!</v>
      </c>
      <c r="H173" s="1016" t="e">
        <f ca="1">H$44/(INDEX($AI$10:$BJ$14,$B173,(C170-1)*2+1)*RWDI_FACTORS!$D$12*(1+$B$1*INDEX($AI$10:$BJ$14,$B173,(C170-1)*2+2)))</f>
        <v>#VALUE!</v>
      </c>
      <c r="I173" s="1016" t="e">
        <f ca="1">I$44/(INDEX($AI$10:$BJ$14,$B173,(C170-1)*2+1)*RWDI_FACTORS!$D$12*(1+$B$1*INDEX($AI$10:$BJ$14,$B173,(C170-1)*2+2)))</f>
        <v>#VALUE!</v>
      </c>
      <c r="J173" s="1016" t="e">
        <f ca="1">J$44/(INDEX($AI$10:$BJ$14,$B173,(C170-1)*2+1)*RWDI_FACTORS!$D$12*(1+$B$1*INDEX($AI$10:$BJ$14,$B173,(C170-1)*2+2)))</f>
        <v>#VALUE!</v>
      </c>
      <c r="K173" s="1016" t="e">
        <f ca="1">K$44/(INDEX($AI$10:$BJ$14,$B173,(C170-1)*2+1)*RWDI_FACTORS!$D$12*(1+$B$1*INDEX($AI$10:$BJ$14,$B173,(C170-1)*2+2)))</f>
        <v>#VALUE!</v>
      </c>
      <c r="L173" s="1016" t="e">
        <f ca="1">L$44/(INDEX($AI$10:$BJ$14,$B173,(C170-1)*2+1)*RWDI_FACTORS!$D$12*(1+$B$1*INDEX($AI$10:$BJ$14,$B173,(C170-1)*2+2)))</f>
        <v>#VALUE!</v>
      </c>
      <c r="M173" s="1016" t="e">
        <f ca="1">M$44/(INDEX($AI$10:$BJ$14,$B173,(C170-1)*2+1)*RWDI_FACTORS!$D$12*(1+$B$1*INDEX($AI$10:$BJ$14,$B173,(C170-1)*2+2)))</f>
        <v>#VALUE!</v>
      </c>
      <c r="N173" s="1016" t="e">
        <f ca="1">N$44/(INDEX($AI$10:$BJ$14,$B173,(C170-1)*2+1)*RWDI_FACTORS!$D$12*(1+$B$1*INDEX($AI$10:$BJ$14,$B173,(C170-1)*2+2)))</f>
        <v>#VALUE!</v>
      </c>
      <c r="O173" s="1016" t="e">
        <f ca="1">O$44/(INDEX($AI$10:$BJ$14,$B173,(C170-1)*2+1)*RWDI_FACTORS!$D$12*(1+$B$1*INDEX($AI$10:$BJ$14,$B173,(C170-1)*2+2)))</f>
        <v>#VALUE!</v>
      </c>
      <c r="P173" s="1016" t="e">
        <f ca="1">P$44/(INDEX($AI$10:$BJ$14,$B173,(C170-1)*2+1)*RWDI_FACTORS!$D$12*(1+$B$1*INDEX($AI$10:$BJ$14,$B173,(C170-1)*2+2)))</f>
        <v>#VALUE!</v>
      </c>
      <c r="Q173" s="1016" t="e">
        <f ca="1">Q$44/(INDEX($AI$10:$BJ$14,$B173,(C170-1)*2+1)*RWDI_FACTORS!$D$12*(1+$B$1*INDEX($AI$10:$BJ$14,$B173,(C170-1)*2+2)))</f>
        <v>#VALUE!</v>
      </c>
      <c r="R173" s="1016" t="e">
        <f ca="1">R$44/(INDEX($AI$10:$BJ$14,$B173,(C170-1)*2+1)*RWDI_FACTORS!$D$12*(1+$B$1*INDEX($AI$10:$BJ$14,$B173,(C170-1)*2+2)))</f>
        <v>#VALUE!</v>
      </c>
      <c r="S173" s="1016" t="e">
        <f ca="1">S$44/(INDEX($AI$10:$BJ$14,$B173,(C170-1)*2+1)*RWDI_FACTORS!$D$12*(1+$B$1*INDEX($AI$10:$BJ$14,$B173,(C170-1)*2+2)))</f>
        <v>#VALUE!</v>
      </c>
      <c r="T173" s="1016" t="e">
        <f ca="1">T$44/(INDEX($AI$10:$BJ$14,$B173,(C170-1)*2+1)*RWDI_FACTORS!$D$12*(1+$B$1*INDEX($AI$10:$BJ$14,$B173,(C170-1)*2+2)))</f>
        <v>#VALUE!</v>
      </c>
      <c r="U173" s="1016" t="e">
        <f ca="1">U$44/(INDEX($AI$10:$BJ$14,$B173,(C170-1)*2+1)*RWDI_FACTORS!$D$12*(1+$B$1*INDEX($AI$10:$BJ$14,$B173,(C170-1)*2+2)))</f>
        <v>#VALUE!</v>
      </c>
      <c r="V173" s="1016" t="e">
        <f ca="1">V$44/(INDEX($AI$10:$BJ$14,$B173,(C170-1)*2+1)*RWDI_FACTORS!$D$12*(1+$B$1*INDEX($AI$10:$BJ$14,$B173,(C170-1)*2+2)))</f>
        <v>#VALUE!</v>
      </c>
      <c r="W173" s="1016" t="e">
        <f ca="1">W$44/(INDEX($AI$10:$BJ$14,$B173,(C170-1)*2+1)*RWDI_FACTORS!$D$12*(1+$B$1*INDEX($AI$10:$BJ$14,$B173,(C170-1)*2+2)))</f>
        <v>#VALUE!</v>
      </c>
    </row>
    <row r="174" spans="1:23" x14ac:dyDescent="0.2">
      <c r="A174" s="577">
        <f>A164</f>
        <v>90.5</v>
      </c>
      <c r="B174" s="577">
        <v>2</v>
      </c>
      <c r="C174" s="1016" t="e">
        <f ca="1">C$45/(INDEX($AI$10:$BJ$14,$B174,(C170-1)*2+1)*RWDI_FACTORS!$D$12*(1+$B$1*INDEX($AI$10:$BJ$14,$B174,(C170-1)*2+2)))</f>
        <v>#VALUE!</v>
      </c>
      <c r="D174" s="1016" t="e">
        <f ca="1">D$45/(INDEX($AI$10:$BJ$14,$B174,(C170-1)*2+1)*RWDI_FACTORS!$D$12*(1+$B$1*INDEX($AI$10:$BJ$14,$B174,(C170-1)*2+2)))</f>
        <v>#VALUE!</v>
      </c>
      <c r="E174" s="1016" t="e">
        <f ca="1">E$45/(INDEX($AI$10:$BJ$14,$B174,(C170-1)*2+1)*RWDI_FACTORS!$D$12*(1+$B$1*INDEX($AI$10:$BJ$14,$B174,(C170-1)*2+2)))</f>
        <v>#VALUE!</v>
      </c>
      <c r="F174" s="1016" t="e">
        <f ca="1">F$45/(INDEX($AI$10:$BJ$14,$B174,(C170-1)*2+1)*RWDI_FACTORS!$D$12*(1+$B$1*INDEX($AI$10:$BJ$14,$B174,(C170-1)*2+2)))</f>
        <v>#VALUE!</v>
      </c>
      <c r="G174" s="1016" t="e">
        <f ca="1">G$45/(INDEX($AI$10:$BJ$14,$B174,(C170-1)*2+1)*RWDI_FACTORS!$D$12*(1+$B$1*INDEX($AI$10:$BJ$14,$B174,(C170-1)*2+2)))</f>
        <v>#VALUE!</v>
      </c>
      <c r="H174" s="1016" t="e">
        <f ca="1">H$45/(INDEX($AI$10:$BJ$14,$B174,(C170-1)*2+1)*RWDI_FACTORS!$D$12*(1+$B$1*INDEX($AI$10:$BJ$14,$B174,(C170-1)*2+2)))</f>
        <v>#VALUE!</v>
      </c>
      <c r="I174" s="1016" t="e">
        <f ca="1">I$45/(INDEX($AI$10:$BJ$14,$B174,(C170-1)*2+1)*RWDI_FACTORS!$D$12*(1+$B$1*INDEX($AI$10:$BJ$14,$B174,(C170-1)*2+2)))</f>
        <v>#VALUE!</v>
      </c>
      <c r="J174" s="1016" t="e">
        <f ca="1">J$45/(INDEX($AI$10:$BJ$14,$B174,(C170-1)*2+1)*RWDI_FACTORS!$D$12*(1+$B$1*INDEX($AI$10:$BJ$14,$B174,(C170-1)*2+2)))</f>
        <v>#VALUE!</v>
      </c>
      <c r="K174" s="1016" t="e">
        <f ca="1">K$45/(INDEX($AI$10:$BJ$14,$B174,(C170-1)*2+1)*RWDI_FACTORS!$D$12*(1+$B$1*INDEX($AI$10:$BJ$14,$B174,(C170-1)*2+2)))</f>
        <v>#VALUE!</v>
      </c>
      <c r="L174" s="1016" t="e">
        <f ca="1">L$45/(INDEX($AI$10:$BJ$14,$B174,(C170-1)*2+1)*RWDI_FACTORS!$D$12*(1+$B$1*INDEX($AI$10:$BJ$14,$B174,(C170-1)*2+2)))</f>
        <v>#VALUE!</v>
      </c>
      <c r="M174" s="1016" t="e">
        <f ca="1">M$45/(INDEX($AI$10:$BJ$14,$B174,(C170-1)*2+1)*RWDI_FACTORS!$D$12*(1+$B$1*INDEX($AI$10:$BJ$14,$B174,(C170-1)*2+2)))</f>
        <v>#VALUE!</v>
      </c>
      <c r="N174" s="1016" t="e">
        <f ca="1">N$45/(INDEX($AI$10:$BJ$14,$B174,(C170-1)*2+1)*RWDI_FACTORS!$D$12*(1+$B$1*INDEX($AI$10:$BJ$14,$B174,(C170-1)*2+2)))</f>
        <v>#VALUE!</v>
      </c>
      <c r="O174" s="1016" t="e">
        <f ca="1">O$45/(INDEX($AI$10:$BJ$14,$B174,(C170-1)*2+1)*RWDI_FACTORS!$D$12*(1+$B$1*INDEX($AI$10:$BJ$14,$B174,(C170-1)*2+2)))</f>
        <v>#VALUE!</v>
      </c>
      <c r="P174" s="1016" t="e">
        <f ca="1">P$45/(INDEX($AI$10:$BJ$14,$B174,(C170-1)*2+1)*RWDI_FACTORS!$D$12*(1+$B$1*INDEX($AI$10:$BJ$14,$B174,(C170-1)*2+2)))</f>
        <v>#VALUE!</v>
      </c>
      <c r="Q174" s="1016" t="e">
        <f ca="1">Q$45/(INDEX($AI$10:$BJ$14,$B174,(C170-1)*2+1)*RWDI_FACTORS!$D$12*(1+$B$1*INDEX($AI$10:$BJ$14,$B174,(C170-1)*2+2)))</f>
        <v>#VALUE!</v>
      </c>
      <c r="R174" s="1016" t="e">
        <f ca="1">R$45/(INDEX($AI$10:$BJ$14,$B174,(C170-1)*2+1)*RWDI_FACTORS!$D$12*(1+$B$1*INDEX($AI$10:$BJ$14,$B174,(C170-1)*2+2)))</f>
        <v>#VALUE!</v>
      </c>
      <c r="S174" s="1016" t="e">
        <f ca="1">S$45/(INDEX($AI$10:$BJ$14,$B174,(C170-1)*2+1)*RWDI_FACTORS!$D$12*(1+$B$1*INDEX($AI$10:$BJ$14,$B174,(C170-1)*2+2)))</f>
        <v>#VALUE!</v>
      </c>
      <c r="T174" s="1016" t="e">
        <f ca="1">T$45/(INDEX($AI$10:$BJ$14,$B174,(C170-1)*2+1)*RWDI_FACTORS!$D$12*(1+$B$1*INDEX($AI$10:$BJ$14,$B174,(C170-1)*2+2)))</f>
        <v>#VALUE!</v>
      </c>
      <c r="U174" s="1016" t="e">
        <f ca="1">U$45/(INDEX($AI$10:$BJ$14,$B174,(C170-1)*2+1)*RWDI_FACTORS!$D$12*(1+$B$1*INDEX($AI$10:$BJ$14,$B174,(C170-1)*2+2)))</f>
        <v>#VALUE!</v>
      </c>
      <c r="V174" s="1016" t="e">
        <f ca="1">V$45/(INDEX($AI$10:$BJ$14,$B174,(C170-1)*2+1)*RWDI_FACTORS!$D$12*(1+$B$1*INDEX($AI$10:$BJ$14,$B174,(C170-1)*2+2)))</f>
        <v>#VALUE!</v>
      </c>
      <c r="W174" s="1016" t="e">
        <f ca="1">W$45/(INDEX($AI$10:$BJ$14,$B174,(C170-1)*2+1)*RWDI_FACTORS!$D$12*(1+$B$1*INDEX($AI$10:$BJ$14,$B174,(C170-1)*2+2)))</f>
        <v>#VALUE!</v>
      </c>
    </row>
    <row r="175" spans="1:23" x14ac:dyDescent="0.2">
      <c r="A175" s="577">
        <f>A165</f>
        <v>120.7</v>
      </c>
      <c r="B175" s="577">
        <v>3</v>
      </c>
      <c r="C175" s="1016" t="e">
        <f ca="1">C$46/(INDEX($AI$10:$BJ$14,$B175,(C170-1)*2+1)*RWDI_FACTORS!$D$12*(1+$B$1*INDEX($AI$10:$BJ$14,$B175,(C170-1)*2+2)))</f>
        <v>#VALUE!</v>
      </c>
      <c r="D175" s="1016" t="e">
        <f ca="1">D$46/(INDEX($AI$10:$BJ$14,$B175,(C170-1)*2+1)*RWDI_FACTORS!$D$12*(1+$B$1*INDEX($AI$10:$BJ$14,$B175,(C170-1)*2+2)))</f>
        <v>#VALUE!</v>
      </c>
      <c r="E175" s="1016" t="e">
        <f ca="1">E$46/(INDEX($AI$10:$BJ$14,$B175,(C170-1)*2+1)*RWDI_FACTORS!$D$12*(1+$B$1*INDEX($AI$10:$BJ$14,$B175,(C170-1)*2+2)))</f>
        <v>#VALUE!</v>
      </c>
      <c r="F175" s="1016" t="e">
        <f ca="1">F$46/(INDEX($AI$10:$BJ$14,$B175,(C170-1)*2+1)*RWDI_FACTORS!$D$12*(1+$B$1*INDEX($AI$10:$BJ$14,$B175,(C170-1)*2+2)))</f>
        <v>#VALUE!</v>
      </c>
      <c r="G175" s="1016" t="e">
        <f ca="1">G$46/(INDEX($AI$10:$BJ$14,$B175,(C170-1)*2+1)*RWDI_FACTORS!$D$12*(1+$B$1*INDEX($AI$10:$BJ$14,$B175,(C170-1)*2+2)))</f>
        <v>#VALUE!</v>
      </c>
      <c r="H175" s="1016" t="e">
        <f ca="1">H$46/(INDEX($AI$10:$BJ$14,$B175,(C170-1)*2+1)*RWDI_FACTORS!$D$12*(1+$B$1*INDEX($AI$10:$BJ$14,$B175,(C170-1)*2+2)))</f>
        <v>#VALUE!</v>
      </c>
      <c r="I175" s="1016" t="e">
        <f ca="1">I$46/(INDEX($AI$10:$BJ$14,$B175,(C170-1)*2+1)*RWDI_FACTORS!$D$12*(1+$B$1*INDEX($AI$10:$BJ$14,$B175,(C170-1)*2+2)))</f>
        <v>#VALUE!</v>
      </c>
      <c r="J175" s="1016" t="e">
        <f ca="1">J$46/(INDEX($AI$10:$BJ$14,$B175,(C170-1)*2+1)*RWDI_FACTORS!$D$12*(1+$B$1*INDEX($AI$10:$BJ$14,$B175,(C170-1)*2+2)))</f>
        <v>#VALUE!</v>
      </c>
      <c r="K175" s="1016" t="e">
        <f ca="1">K$46/(INDEX($AI$10:$BJ$14,$B175,(C170-1)*2+1)*RWDI_FACTORS!$D$12*(1+$B$1*INDEX($AI$10:$BJ$14,$B175,(C170-1)*2+2)))</f>
        <v>#VALUE!</v>
      </c>
      <c r="L175" s="1016" t="e">
        <f ca="1">L$46/(INDEX($AI$10:$BJ$14,$B175,(C170-1)*2+1)*RWDI_FACTORS!$D$12*(1+$B$1*INDEX($AI$10:$BJ$14,$B175,(C170-1)*2+2)))</f>
        <v>#VALUE!</v>
      </c>
      <c r="M175" s="1016" t="e">
        <f ca="1">M$46/(INDEX($AI$10:$BJ$14,$B175,(C170-1)*2+1)*RWDI_FACTORS!$D$12*(1+$B$1*INDEX($AI$10:$BJ$14,$B175,(C170-1)*2+2)))</f>
        <v>#VALUE!</v>
      </c>
      <c r="N175" s="1016" t="e">
        <f ca="1">N$46/(INDEX($AI$10:$BJ$14,$B175,(C170-1)*2+1)*RWDI_FACTORS!$D$12*(1+$B$1*INDEX($AI$10:$BJ$14,$B175,(C170-1)*2+2)))</f>
        <v>#VALUE!</v>
      </c>
      <c r="O175" s="1016" t="e">
        <f ca="1">O$46/(INDEX($AI$10:$BJ$14,$B175,(C170-1)*2+1)*RWDI_FACTORS!$D$12*(1+$B$1*INDEX($AI$10:$BJ$14,$B175,(C170-1)*2+2)))</f>
        <v>#VALUE!</v>
      </c>
      <c r="P175" s="1016" t="e">
        <f ca="1">P$46/(INDEX($AI$10:$BJ$14,$B175,(C170-1)*2+1)*RWDI_FACTORS!$D$12*(1+$B$1*INDEX($AI$10:$BJ$14,$B175,(C170-1)*2+2)))</f>
        <v>#VALUE!</v>
      </c>
      <c r="Q175" s="1016" t="e">
        <f ca="1">Q$46/(INDEX($AI$10:$BJ$14,$B175,(C170-1)*2+1)*RWDI_FACTORS!$D$12*(1+$B$1*INDEX($AI$10:$BJ$14,$B175,(C170-1)*2+2)))</f>
        <v>#VALUE!</v>
      </c>
      <c r="R175" s="1016" t="e">
        <f ca="1">R$46/(INDEX($AI$10:$BJ$14,$B175,(C170-1)*2+1)*RWDI_FACTORS!$D$12*(1+$B$1*INDEX($AI$10:$BJ$14,$B175,(C170-1)*2+2)))</f>
        <v>#VALUE!</v>
      </c>
      <c r="S175" s="1016" t="e">
        <f ca="1">S$46/(INDEX($AI$10:$BJ$14,$B175,(C170-1)*2+1)*RWDI_FACTORS!$D$12*(1+$B$1*INDEX($AI$10:$BJ$14,$B175,(C170-1)*2+2)))</f>
        <v>#VALUE!</v>
      </c>
      <c r="T175" s="1016" t="e">
        <f ca="1">T$46/(INDEX($AI$10:$BJ$14,$B175,(C170-1)*2+1)*RWDI_FACTORS!$D$12*(1+$B$1*INDEX($AI$10:$BJ$14,$B175,(C170-1)*2+2)))</f>
        <v>#VALUE!</v>
      </c>
      <c r="U175" s="1016" t="e">
        <f ca="1">U$46/(INDEX($AI$10:$BJ$14,$B175,(C170-1)*2+1)*RWDI_FACTORS!$D$12*(1+$B$1*INDEX($AI$10:$BJ$14,$B175,(C170-1)*2+2)))</f>
        <v>#VALUE!</v>
      </c>
      <c r="V175" s="1016" t="e">
        <f ca="1">V$46/(INDEX($AI$10:$BJ$14,$B175,(C170-1)*2+1)*RWDI_FACTORS!$D$12*(1+$B$1*INDEX($AI$10:$BJ$14,$B175,(C170-1)*2+2)))</f>
        <v>#VALUE!</v>
      </c>
      <c r="W175" s="1016" t="e">
        <f ca="1">W$46/(INDEX($AI$10:$BJ$14,$B175,(C170-1)*2+1)*RWDI_FACTORS!$D$12*(1+$B$1*INDEX($AI$10:$BJ$14,$B175,(C170-1)*2+2)))</f>
        <v>#VALUE!</v>
      </c>
    </row>
    <row r="176" spans="1:23" x14ac:dyDescent="0.2">
      <c r="A176" s="577">
        <f>A166</f>
        <v>144.80000000000001</v>
      </c>
      <c r="B176" s="577">
        <v>4</v>
      </c>
      <c r="C176" s="1016" t="e">
        <f ca="1">C$47/(INDEX($AI$10:$BJ$14,$B176,(C170-1)*2+1)*RWDI_FACTORS!$D$12*(1+$B$1*INDEX($AI$10:$BJ$14,$B176,(C170-1)*2+2)))</f>
        <v>#VALUE!</v>
      </c>
      <c r="D176" s="1016" t="e">
        <f ca="1">D$47/(INDEX($AI$10:$BJ$14,$B176,(C170-1)*2+1)*RWDI_FACTORS!$D$12*(1+$B$1*INDEX($AI$10:$BJ$14,$B176,(C170-1)*2+2)))</f>
        <v>#VALUE!</v>
      </c>
      <c r="E176" s="1016" t="e">
        <f ca="1">E$47/(INDEX($AI$10:$BJ$14,$B176,(C170-1)*2+1)*RWDI_FACTORS!$D$12*(1+$B$1*INDEX($AI$10:$BJ$14,$B176,(C170-1)*2+2)))</f>
        <v>#VALUE!</v>
      </c>
      <c r="F176" s="1016" t="e">
        <f ca="1">F$47/(INDEX($AI$10:$BJ$14,$B176,(C170-1)*2+1)*RWDI_FACTORS!$D$12*(1+$B$1*INDEX($AI$10:$BJ$14,$B176,(C170-1)*2+2)))</f>
        <v>#VALUE!</v>
      </c>
      <c r="G176" s="1016" t="e">
        <f ca="1">G$47/(INDEX($AI$10:$BJ$14,$B176,(C170-1)*2+1)*RWDI_FACTORS!$D$12*(1+$B$1*INDEX($AI$10:$BJ$14,$B176,(C170-1)*2+2)))</f>
        <v>#VALUE!</v>
      </c>
      <c r="H176" s="1016" t="e">
        <f ca="1">H$47/(INDEX($AI$10:$BJ$14,$B176,(C170-1)*2+1)*RWDI_FACTORS!$D$12*(1+$B$1*INDEX($AI$10:$BJ$14,$B176,(C170-1)*2+2)))</f>
        <v>#VALUE!</v>
      </c>
      <c r="I176" s="1016" t="e">
        <f ca="1">I$47/(INDEX($AI$10:$BJ$14,$B176,(C170-1)*2+1)*RWDI_FACTORS!$D$12*(1+$B$1*INDEX($AI$10:$BJ$14,$B176,(C170-1)*2+2)))</f>
        <v>#VALUE!</v>
      </c>
      <c r="J176" s="1016" t="e">
        <f ca="1">J$47/(INDEX($AI$10:$BJ$14,$B176,(C170-1)*2+1)*RWDI_FACTORS!$D$12*(1+$B$1*INDEX($AI$10:$BJ$14,$B176,(C170-1)*2+2)))</f>
        <v>#VALUE!</v>
      </c>
      <c r="K176" s="1016" t="e">
        <f ca="1">K$47/(INDEX($AI$10:$BJ$14,$B176,(C170-1)*2+1)*RWDI_FACTORS!$D$12*(1+$B$1*INDEX($AI$10:$BJ$14,$B176,(C170-1)*2+2)))</f>
        <v>#VALUE!</v>
      </c>
      <c r="L176" s="1016" t="e">
        <f ca="1">L$47/(INDEX($AI$10:$BJ$14,$B176,(C170-1)*2+1)*RWDI_FACTORS!$D$12*(1+$B$1*INDEX($AI$10:$BJ$14,$B176,(C170-1)*2+2)))</f>
        <v>#VALUE!</v>
      </c>
      <c r="M176" s="1016" t="e">
        <f ca="1">M$47/(INDEX($AI$10:$BJ$14,$B176,(C170-1)*2+1)*RWDI_FACTORS!$D$12*(1+$B$1*INDEX($AI$10:$BJ$14,$B176,(C170-1)*2+2)))</f>
        <v>#VALUE!</v>
      </c>
      <c r="N176" s="1016" t="e">
        <f ca="1">N$47/(INDEX($AI$10:$BJ$14,$B176,(C170-1)*2+1)*RWDI_FACTORS!$D$12*(1+$B$1*INDEX($AI$10:$BJ$14,$B176,(C170-1)*2+2)))</f>
        <v>#VALUE!</v>
      </c>
      <c r="O176" s="1016" t="e">
        <f ca="1">O$47/(INDEX($AI$10:$BJ$14,$B176,(C170-1)*2+1)*RWDI_FACTORS!$D$12*(1+$B$1*INDEX($AI$10:$BJ$14,$B176,(C170-1)*2+2)))</f>
        <v>#VALUE!</v>
      </c>
      <c r="P176" s="1016" t="e">
        <f ca="1">P$47/(INDEX($AI$10:$BJ$14,$B176,(C170-1)*2+1)*RWDI_FACTORS!$D$12*(1+$B$1*INDEX($AI$10:$BJ$14,$B176,(C170-1)*2+2)))</f>
        <v>#VALUE!</v>
      </c>
      <c r="Q176" s="1016" t="e">
        <f ca="1">Q$47/(INDEX($AI$10:$BJ$14,$B176,(C170-1)*2+1)*RWDI_FACTORS!$D$12*(1+$B$1*INDEX($AI$10:$BJ$14,$B176,(C170-1)*2+2)))</f>
        <v>#VALUE!</v>
      </c>
      <c r="R176" s="1016" t="e">
        <f ca="1">R$47/(INDEX($AI$10:$BJ$14,$B176,(C170-1)*2+1)*RWDI_FACTORS!$D$12*(1+$B$1*INDEX($AI$10:$BJ$14,$B176,(C170-1)*2+2)))</f>
        <v>#VALUE!</v>
      </c>
      <c r="S176" s="1016" t="e">
        <f ca="1">S$47/(INDEX($AI$10:$BJ$14,$B176,(C170-1)*2+1)*RWDI_FACTORS!$D$12*(1+$B$1*INDEX($AI$10:$BJ$14,$B176,(C170-1)*2+2)))</f>
        <v>#VALUE!</v>
      </c>
      <c r="T176" s="1016" t="e">
        <f ca="1">T$47/(INDEX($AI$10:$BJ$14,$B176,(C170-1)*2+1)*RWDI_FACTORS!$D$12*(1+$B$1*INDEX($AI$10:$BJ$14,$B176,(C170-1)*2+2)))</f>
        <v>#VALUE!</v>
      </c>
      <c r="U176" s="1016" t="e">
        <f ca="1">U$47/(INDEX($AI$10:$BJ$14,$B176,(C170-1)*2+1)*RWDI_FACTORS!$D$12*(1+$B$1*INDEX($AI$10:$BJ$14,$B176,(C170-1)*2+2)))</f>
        <v>#VALUE!</v>
      </c>
      <c r="V176" s="1016" t="e">
        <f ca="1">V$47/(INDEX($AI$10:$BJ$14,$B176,(C170-1)*2+1)*RWDI_FACTORS!$D$12*(1+$B$1*INDEX($AI$10:$BJ$14,$B176,(C170-1)*2+2)))</f>
        <v>#VALUE!</v>
      </c>
      <c r="W176" s="1016" t="e">
        <f ca="1">W$47/(INDEX($AI$10:$BJ$14,$B176,(C170-1)*2+1)*RWDI_FACTORS!$D$12*(1+$B$1*INDEX($AI$10:$BJ$14,$B176,(C170-1)*2+2)))</f>
        <v>#VALUE!</v>
      </c>
    </row>
    <row r="177" spans="1:23" x14ac:dyDescent="0.2">
      <c r="A177" s="577">
        <f>A167</f>
        <v>181</v>
      </c>
      <c r="B177" s="577">
        <v>5</v>
      </c>
      <c r="C177" s="1016" t="e">
        <f ca="1">C$48/(INDEX($AI$10:$BJ$14,$B177,(C170-1)*2+1)*RWDI_FACTORS!$D$12*(1+$B$1*INDEX($AI$10:$BJ$14,$B177,(C170-1)*2+2)))</f>
        <v>#VALUE!</v>
      </c>
      <c r="D177" s="1016" t="e">
        <f ca="1">D$48/(INDEX($AI$10:$BJ$14,$B177,(C170-1)*2+1)*RWDI_FACTORS!$D$12*(1+$B$1*INDEX($AI$10:$BJ$14,$B177,(C170-1)*2+2)))</f>
        <v>#VALUE!</v>
      </c>
      <c r="E177" s="1016" t="e">
        <f ca="1">E$48/(INDEX($AI$10:$BJ$14,$B177,(C170-1)*2+1)*RWDI_FACTORS!$D$12*(1+$B$1*INDEX($AI$10:$BJ$14,$B177,(C170-1)*2+2)))</f>
        <v>#VALUE!</v>
      </c>
      <c r="F177" s="1016" t="e">
        <f ca="1">F$48/(INDEX($AI$10:$BJ$14,$B177,(C170-1)*2+1)*RWDI_FACTORS!$D$12*(1+$B$1*INDEX($AI$10:$BJ$14,$B177,(C170-1)*2+2)))</f>
        <v>#VALUE!</v>
      </c>
      <c r="G177" s="1016" t="e">
        <f ca="1">G$48/(INDEX($AI$10:$BJ$14,$B177,(C170-1)*2+1)*RWDI_FACTORS!$D$12*(1+$B$1*INDEX($AI$10:$BJ$14,$B177,(C170-1)*2+2)))</f>
        <v>#VALUE!</v>
      </c>
      <c r="H177" s="1016" t="e">
        <f ca="1">H$48/(INDEX($AI$10:$BJ$14,$B177,(C170-1)*2+1)*RWDI_FACTORS!$D$12*(1+$B$1*INDEX($AI$10:$BJ$14,$B177,(C170-1)*2+2)))</f>
        <v>#VALUE!</v>
      </c>
      <c r="I177" s="1016" t="e">
        <f ca="1">I$48/(INDEX($AI$10:$BJ$14,$B177,(C170-1)*2+1)*RWDI_FACTORS!$D$12*(1+$B$1*INDEX($AI$10:$BJ$14,$B177,(C170-1)*2+2)))</f>
        <v>#VALUE!</v>
      </c>
      <c r="J177" s="1016" t="e">
        <f ca="1">J$48/(INDEX($AI$10:$BJ$14,$B177,(C170-1)*2+1)*RWDI_FACTORS!$D$12*(1+$B$1*INDEX($AI$10:$BJ$14,$B177,(C170-1)*2+2)))</f>
        <v>#VALUE!</v>
      </c>
      <c r="K177" s="1016" t="e">
        <f ca="1">K$48/(INDEX($AI$10:$BJ$14,$B177,(C170-1)*2+1)*RWDI_FACTORS!$D$12*(1+$B$1*INDEX($AI$10:$BJ$14,$B177,(C170-1)*2+2)))</f>
        <v>#VALUE!</v>
      </c>
      <c r="L177" s="1016" t="e">
        <f ca="1">L$48/(INDEX($AI$10:$BJ$14,$B177,(C170-1)*2+1)*RWDI_FACTORS!$D$12*(1+$B$1*INDEX($AI$10:$BJ$14,$B177,(C170-1)*2+2)))</f>
        <v>#VALUE!</v>
      </c>
      <c r="M177" s="1016" t="e">
        <f ca="1">M$48/(INDEX($AI$10:$BJ$14,$B177,(C170-1)*2+1)*RWDI_FACTORS!$D$12*(1+$B$1*INDEX($AI$10:$BJ$14,$B177,(C170-1)*2+2)))</f>
        <v>#VALUE!</v>
      </c>
      <c r="N177" s="1016" t="e">
        <f ca="1">N$48/(INDEX($AI$10:$BJ$14,$B177,(C170-1)*2+1)*RWDI_FACTORS!$D$12*(1+$B$1*INDEX($AI$10:$BJ$14,$B177,(C170-1)*2+2)))</f>
        <v>#VALUE!</v>
      </c>
      <c r="O177" s="1016" t="e">
        <f ca="1">O$48/(INDEX($AI$10:$BJ$14,$B177,(C170-1)*2+1)*RWDI_FACTORS!$D$12*(1+$B$1*INDEX($AI$10:$BJ$14,$B177,(C170-1)*2+2)))</f>
        <v>#VALUE!</v>
      </c>
      <c r="P177" s="1016" t="e">
        <f ca="1">P$48/(INDEX($AI$10:$BJ$14,$B177,(C170-1)*2+1)*RWDI_FACTORS!$D$12*(1+$B$1*INDEX($AI$10:$BJ$14,$B177,(C170-1)*2+2)))</f>
        <v>#VALUE!</v>
      </c>
      <c r="Q177" s="1016" t="e">
        <f ca="1">Q$48/(INDEX($AI$10:$BJ$14,$B177,(C170-1)*2+1)*RWDI_FACTORS!$D$12*(1+$B$1*INDEX($AI$10:$BJ$14,$B177,(C170-1)*2+2)))</f>
        <v>#VALUE!</v>
      </c>
      <c r="R177" s="1016" t="e">
        <f ca="1">R$48/(INDEX($AI$10:$BJ$14,$B177,(C170-1)*2+1)*RWDI_FACTORS!$D$12*(1+$B$1*INDEX($AI$10:$BJ$14,$B177,(C170-1)*2+2)))</f>
        <v>#VALUE!</v>
      </c>
      <c r="S177" s="1016" t="e">
        <f ca="1">S$48/(INDEX($AI$10:$BJ$14,$B177,(C170-1)*2+1)*RWDI_FACTORS!$D$12*(1+$B$1*INDEX($AI$10:$BJ$14,$B177,(C170-1)*2+2)))</f>
        <v>#VALUE!</v>
      </c>
      <c r="T177" s="1016" t="e">
        <f ca="1">T$48/(INDEX($AI$10:$BJ$14,$B177,(C170-1)*2+1)*RWDI_FACTORS!$D$12*(1+$B$1*INDEX($AI$10:$BJ$14,$B177,(C170-1)*2+2)))</f>
        <v>#VALUE!</v>
      </c>
      <c r="U177" s="1016" t="e">
        <f ca="1">U$48/(INDEX($AI$10:$BJ$14,$B177,(C170-1)*2+1)*RWDI_FACTORS!$D$12*(1+$B$1*INDEX($AI$10:$BJ$14,$B177,(C170-1)*2+2)))</f>
        <v>#VALUE!</v>
      </c>
      <c r="V177" s="1016" t="e">
        <f ca="1">V$48/(INDEX($AI$10:$BJ$14,$B177,(C170-1)*2+1)*RWDI_FACTORS!$D$12*(1+$B$1*INDEX($AI$10:$BJ$14,$B177,(C170-1)*2+2)))</f>
        <v>#VALUE!</v>
      </c>
      <c r="W177" s="1016" t="e">
        <f ca="1">W$48/(INDEX($AI$10:$BJ$14,$B177,(C170-1)*2+1)*RWDI_FACTORS!$D$12*(1+$B$1*INDEX($AI$10:$BJ$14,$B177,(C170-1)*2+2)))</f>
        <v>#VALUE!</v>
      </c>
    </row>
    <row r="178" spans="1:23" x14ac:dyDescent="0.2">
      <c r="B178" s="1019" t="s">
        <v>609</v>
      </c>
      <c r="C178" s="1011" t="e">
        <f t="shared" ref="C178:W178" ca="1" si="33">AVERAGE(C173:C177)</f>
        <v>#VALUE!</v>
      </c>
      <c r="D178" s="1011" t="e">
        <f t="shared" ca="1" si="33"/>
        <v>#VALUE!</v>
      </c>
      <c r="E178" s="1011" t="e">
        <f t="shared" ca="1" si="33"/>
        <v>#VALUE!</v>
      </c>
      <c r="F178" s="1011" t="e">
        <f t="shared" ca="1" si="33"/>
        <v>#VALUE!</v>
      </c>
      <c r="G178" s="1011" t="e">
        <f t="shared" ca="1" si="33"/>
        <v>#VALUE!</v>
      </c>
      <c r="H178" s="1011" t="e">
        <f t="shared" ca="1" si="33"/>
        <v>#VALUE!</v>
      </c>
      <c r="I178" s="1011" t="e">
        <f t="shared" ca="1" si="33"/>
        <v>#VALUE!</v>
      </c>
      <c r="J178" s="1011" t="e">
        <f t="shared" ca="1" si="33"/>
        <v>#VALUE!</v>
      </c>
      <c r="K178" s="1011" t="e">
        <f t="shared" ca="1" si="33"/>
        <v>#VALUE!</v>
      </c>
      <c r="L178" s="1011" t="e">
        <f t="shared" ca="1" si="33"/>
        <v>#VALUE!</v>
      </c>
      <c r="M178" s="1011" t="e">
        <f t="shared" ca="1" si="33"/>
        <v>#VALUE!</v>
      </c>
      <c r="N178" s="1011" t="e">
        <f t="shared" ca="1" si="33"/>
        <v>#VALUE!</v>
      </c>
      <c r="O178" s="1011" t="e">
        <f t="shared" ca="1" si="33"/>
        <v>#VALUE!</v>
      </c>
      <c r="P178" s="1011" t="e">
        <f t="shared" ca="1" si="33"/>
        <v>#VALUE!</v>
      </c>
      <c r="Q178" s="1011" t="e">
        <f t="shared" ca="1" si="33"/>
        <v>#VALUE!</v>
      </c>
      <c r="R178" s="1011" t="e">
        <f t="shared" ca="1" si="33"/>
        <v>#VALUE!</v>
      </c>
      <c r="S178" s="1011" t="e">
        <f t="shared" ca="1" si="33"/>
        <v>#VALUE!</v>
      </c>
      <c r="T178" s="1011" t="e">
        <f t="shared" ca="1" si="33"/>
        <v>#VALUE!</v>
      </c>
      <c r="U178" s="1011" t="e">
        <f t="shared" ca="1" si="33"/>
        <v>#VALUE!</v>
      </c>
      <c r="V178" s="1011" t="e">
        <f t="shared" ca="1" si="33"/>
        <v>#VALUE!</v>
      </c>
      <c r="W178" s="1011" t="e">
        <f t="shared" ca="1" si="33"/>
        <v>#VALUE!</v>
      </c>
    </row>
    <row r="179" spans="1:23" x14ac:dyDescent="0.2">
      <c r="B179" s="1019" t="s">
        <v>610</v>
      </c>
      <c r="C179" s="1011" t="e">
        <f t="shared" ref="C179:W179" ca="1" si="34">STDEV(C173:C177)/C178*100</f>
        <v>#VALUE!</v>
      </c>
      <c r="D179" s="1011" t="e">
        <f t="shared" ca="1" si="34"/>
        <v>#VALUE!</v>
      </c>
      <c r="E179" s="1011" t="e">
        <f t="shared" ca="1" si="34"/>
        <v>#VALUE!</v>
      </c>
      <c r="F179" s="1011" t="e">
        <f t="shared" ca="1" si="34"/>
        <v>#VALUE!</v>
      </c>
      <c r="G179" s="1011" t="e">
        <f t="shared" ca="1" si="34"/>
        <v>#VALUE!</v>
      </c>
      <c r="H179" s="1011" t="e">
        <f t="shared" ca="1" si="34"/>
        <v>#VALUE!</v>
      </c>
      <c r="I179" s="1011" t="e">
        <f t="shared" ca="1" si="34"/>
        <v>#VALUE!</v>
      </c>
      <c r="J179" s="1011" t="e">
        <f t="shared" ca="1" si="34"/>
        <v>#VALUE!</v>
      </c>
      <c r="K179" s="1011" t="e">
        <f t="shared" ca="1" si="34"/>
        <v>#VALUE!</v>
      </c>
      <c r="L179" s="1011" t="e">
        <f t="shared" ca="1" si="34"/>
        <v>#VALUE!</v>
      </c>
      <c r="M179" s="1011" t="e">
        <f t="shared" ca="1" si="34"/>
        <v>#VALUE!</v>
      </c>
      <c r="N179" s="1011" t="e">
        <f t="shared" ca="1" si="34"/>
        <v>#VALUE!</v>
      </c>
      <c r="O179" s="1011" t="e">
        <f t="shared" ca="1" si="34"/>
        <v>#VALUE!</v>
      </c>
      <c r="P179" s="1011" t="e">
        <f t="shared" ca="1" si="34"/>
        <v>#VALUE!</v>
      </c>
      <c r="Q179" s="1011" t="e">
        <f t="shared" ca="1" si="34"/>
        <v>#VALUE!</v>
      </c>
      <c r="R179" s="1011" t="e">
        <f t="shared" ca="1" si="34"/>
        <v>#VALUE!</v>
      </c>
      <c r="S179" s="1011" t="e">
        <f t="shared" ca="1" si="34"/>
        <v>#VALUE!</v>
      </c>
      <c r="T179" s="1011" t="e">
        <f t="shared" ca="1" si="34"/>
        <v>#VALUE!</v>
      </c>
      <c r="U179" s="1011" t="e">
        <f t="shared" ca="1" si="34"/>
        <v>#VALUE!</v>
      </c>
      <c r="V179" s="1011" t="e">
        <f t="shared" ca="1" si="34"/>
        <v>#VALUE!</v>
      </c>
      <c r="W179" s="1011" t="e">
        <f t="shared" ca="1" si="34"/>
        <v>#VALUE!</v>
      </c>
    </row>
    <row r="180" spans="1:23" x14ac:dyDescent="0.2">
      <c r="A180" s="1017" t="e">
        <f ca="1">INDEX($AI$7:$BJ$7,1,(C180-1)*2+1)</f>
        <v>#REF!</v>
      </c>
      <c r="B180" s="1018"/>
      <c r="C180" s="577">
        <f>C170+1</f>
        <v>14</v>
      </c>
    </row>
    <row r="182" spans="1:23" x14ac:dyDescent="0.2">
      <c r="C182" s="577" t="s">
        <v>203</v>
      </c>
      <c r="D182" s="577" t="s">
        <v>204</v>
      </c>
      <c r="E182" s="577" t="s">
        <v>205</v>
      </c>
      <c r="F182" s="577" t="s">
        <v>206</v>
      </c>
      <c r="G182" s="577" t="s">
        <v>207</v>
      </c>
      <c r="H182" s="577" t="s">
        <v>266</v>
      </c>
      <c r="I182" s="577" t="s">
        <v>267</v>
      </c>
      <c r="J182" s="577" t="s">
        <v>268</v>
      </c>
      <c r="K182" s="577" t="s">
        <v>269</v>
      </c>
      <c r="L182" s="577" t="s">
        <v>270</v>
      </c>
      <c r="M182" s="577" t="s">
        <v>271</v>
      </c>
      <c r="N182" s="577" t="s">
        <v>272</v>
      </c>
      <c r="O182" s="577" t="s">
        <v>273</v>
      </c>
      <c r="P182" s="577" t="s">
        <v>274</v>
      </c>
      <c r="Q182" s="577" t="s">
        <v>275</v>
      </c>
      <c r="R182" s="577" t="s">
        <v>276</v>
      </c>
      <c r="S182" s="577" t="s">
        <v>277</v>
      </c>
      <c r="T182" s="577" t="s">
        <v>278</v>
      </c>
      <c r="U182" s="577" t="s">
        <v>279</v>
      </c>
      <c r="V182" s="577" t="s">
        <v>280</v>
      </c>
      <c r="W182" s="577" t="s">
        <v>297</v>
      </c>
    </row>
    <row r="183" spans="1:23" x14ac:dyDescent="0.2">
      <c r="A183" s="577">
        <f>A173</f>
        <v>54.3</v>
      </c>
      <c r="B183" s="577">
        <v>1</v>
      </c>
      <c r="C183" s="1016" t="e">
        <f ca="1">C$44/(INDEX($AI$10:$BJ$14,$B183,(C180-1)*2+1)*RWDI_FACTORS!$D$12*(1+$B$1*INDEX($AI$10:$BJ$14,$B183,(C180-1)*2+2)))</f>
        <v>#VALUE!</v>
      </c>
      <c r="D183" s="1016" t="e">
        <f ca="1">D$44/(INDEX($AI$10:$BJ$14,$B183,(C180-1)*2+1)*RWDI_FACTORS!$D$12*(1+$B$1*INDEX($AI$10:$BJ$14,$B183,(C180-1)*2+2)))</f>
        <v>#VALUE!</v>
      </c>
      <c r="E183" s="1016" t="e">
        <f ca="1">E$44/(INDEX($AI$10:$BJ$14,$B183,(C180-1)*2+1)*RWDI_FACTORS!$D$12*(1+$B$1*INDEX($AI$10:$BJ$14,$B183,(C180-1)*2+2)))</f>
        <v>#VALUE!</v>
      </c>
      <c r="F183" s="1016" t="e">
        <f ca="1">F$44/(INDEX($AI$10:$BJ$14,$B183,(C180-1)*2+1)*RWDI_FACTORS!$D$12*(1+$B$1*INDEX($AI$10:$BJ$14,$B183,(C180-1)*2+2)))</f>
        <v>#VALUE!</v>
      </c>
      <c r="G183" s="1016" t="e">
        <f ca="1">G$44/(INDEX($AI$10:$BJ$14,$B183,(C180-1)*2+1)*RWDI_FACTORS!$D$12*(1+$B$1*INDEX($AI$10:$BJ$14,$B183,(C180-1)*2+2)))</f>
        <v>#VALUE!</v>
      </c>
      <c r="H183" s="1016" t="e">
        <f ca="1">H$44/(INDEX($AI$10:$BJ$14,$B183,(C180-1)*2+1)*RWDI_FACTORS!$D$12*(1+$B$1*INDEX($AI$10:$BJ$14,$B183,(C180-1)*2+2)))</f>
        <v>#VALUE!</v>
      </c>
      <c r="I183" s="1016" t="e">
        <f ca="1">I$44/(INDEX($AI$10:$BJ$14,$B183,(C180-1)*2+1)*RWDI_FACTORS!$D$12*(1+$B$1*INDEX($AI$10:$BJ$14,$B183,(C180-1)*2+2)))</f>
        <v>#VALUE!</v>
      </c>
      <c r="J183" s="1016" t="e">
        <f ca="1">J$44/(INDEX($AI$10:$BJ$14,$B183,(C180-1)*2+1)*RWDI_FACTORS!$D$12*(1+$B$1*INDEX($AI$10:$BJ$14,$B183,(C180-1)*2+2)))</f>
        <v>#VALUE!</v>
      </c>
      <c r="K183" s="1016" t="e">
        <f ca="1">K$44/(INDEX($AI$10:$BJ$14,$B183,(C180-1)*2+1)*RWDI_FACTORS!$D$12*(1+$B$1*INDEX($AI$10:$BJ$14,$B183,(C180-1)*2+2)))</f>
        <v>#VALUE!</v>
      </c>
      <c r="L183" s="1016" t="e">
        <f ca="1">L$44/(INDEX($AI$10:$BJ$14,$B183,(C180-1)*2+1)*RWDI_FACTORS!$D$12*(1+$B$1*INDEX($AI$10:$BJ$14,$B183,(C180-1)*2+2)))</f>
        <v>#VALUE!</v>
      </c>
      <c r="M183" s="1016" t="e">
        <f ca="1">M$44/(INDEX($AI$10:$BJ$14,$B183,(C180-1)*2+1)*RWDI_FACTORS!$D$12*(1+$B$1*INDEX($AI$10:$BJ$14,$B183,(C180-1)*2+2)))</f>
        <v>#VALUE!</v>
      </c>
      <c r="N183" s="1016" t="e">
        <f ca="1">N$44/(INDEX($AI$10:$BJ$14,$B183,(C180-1)*2+1)*RWDI_FACTORS!$D$12*(1+$B$1*INDEX($AI$10:$BJ$14,$B183,(C180-1)*2+2)))</f>
        <v>#VALUE!</v>
      </c>
      <c r="O183" s="1016" t="e">
        <f ca="1">O$44/(INDEX($AI$10:$BJ$14,$B183,(C180-1)*2+1)*RWDI_FACTORS!$D$12*(1+$B$1*INDEX($AI$10:$BJ$14,$B183,(C180-1)*2+2)))</f>
        <v>#VALUE!</v>
      </c>
      <c r="P183" s="1016" t="e">
        <f ca="1">P$44/(INDEX($AI$10:$BJ$14,$B183,(C180-1)*2+1)*RWDI_FACTORS!$D$12*(1+$B$1*INDEX($AI$10:$BJ$14,$B183,(C180-1)*2+2)))</f>
        <v>#VALUE!</v>
      </c>
      <c r="Q183" s="1016" t="e">
        <f ca="1">Q$44/(INDEX($AI$10:$BJ$14,$B183,(C180-1)*2+1)*RWDI_FACTORS!$D$12*(1+$B$1*INDEX($AI$10:$BJ$14,$B183,(C180-1)*2+2)))</f>
        <v>#VALUE!</v>
      </c>
      <c r="R183" s="1016" t="e">
        <f ca="1">R$44/(INDEX($AI$10:$BJ$14,$B183,(C180-1)*2+1)*RWDI_FACTORS!$D$12*(1+$B$1*INDEX($AI$10:$BJ$14,$B183,(C180-1)*2+2)))</f>
        <v>#VALUE!</v>
      </c>
      <c r="S183" s="1016" t="e">
        <f ca="1">S$44/(INDEX($AI$10:$BJ$14,$B183,(C180-1)*2+1)*RWDI_FACTORS!$D$12*(1+$B$1*INDEX($AI$10:$BJ$14,$B183,(C180-1)*2+2)))</f>
        <v>#VALUE!</v>
      </c>
      <c r="T183" s="1016" t="e">
        <f ca="1">T$44/(INDEX($AI$10:$BJ$14,$B183,(C180-1)*2+1)*RWDI_FACTORS!$D$12*(1+$B$1*INDEX($AI$10:$BJ$14,$B183,(C180-1)*2+2)))</f>
        <v>#VALUE!</v>
      </c>
      <c r="U183" s="1016" t="e">
        <f ca="1">U$44/(INDEX($AI$10:$BJ$14,$B183,(C180-1)*2+1)*RWDI_FACTORS!$D$12*(1+$B$1*INDEX($AI$10:$BJ$14,$B183,(C180-1)*2+2)))</f>
        <v>#VALUE!</v>
      </c>
      <c r="V183" s="1016" t="e">
        <f ca="1">V$44/(INDEX($AI$10:$BJ$14,$B183,(C180-1)*2+1)*RWDI_FACTORS!$D$12*(1+$B$1*INDEX($AI$10:$BJ$14,$B183,(C180-1)*2+2)))</f>
        <v>#VALUE!</v>
      </c>
      <c r="W183" s="1016" t="e">
        <f ca="1">W$44/(INDEX($AI$10:$BJ$14,$B183,(C180-1)*2+1)*RWDI_FACTORS!$D$12*(1+$B$1*INDEX($AI$10:$BJ$14,$B183,(C180-1)*2+2)))</f>
        <v>#VALUE!</v>
      </c>
    </row>
    <row r="184" spans="1:23" x14ac:dyDescent="0.2">
      <c r="A184" s="577">
        <f>A174</f>
        <v>90.5</v>
      </c>
      <c r="B184" s="577">
        <v>2</v>
      </c>
      <c r="C184" s="1016" t="e">
        <f ca="1">C$45/(INDEX($AI$10:$BJ$14,$B184,(C180-1)*2+1)*RWDI_FACTORS!$D$12*(1+$B$1*INDEX($AI$10:$BJ$14,$B184,(C180-1)*2+2)))</f>
        <v>#VALUE!</v>
      </c>
      <c r="D184" s="1016" t="e">
        <f ca="1">D$45/(INDEX($AI$10:$BJ$14,$B184,(C180-1)*2+1)*RWDI_FACTORS!$D$12*(1+$B$1*INDEX($AI$10:$BJ$14,$B184,(C180-1)*2+2)))</f>
        <v>#VALUE!</v>
      </c>
      <c r="E184" s="1016" t="e">
        <f ca="1">E$45/(INDEX($AI$10:$BJ$14,$B184,(C180-1)*2+1)*RWDI_FACTORS!$D$12*(1+$B$1*INDEX($AI$10:$BJ$14,$B184,(C180-1)*2+2)))</f>
        <v>#VALUE!</v>
      </c>
      <c r="F184" s="1016" t="e">
        <f ca="1">F$45/(INDEX($AI$10:$BJ$14,$B184,(C180-1)*2+1)*RWDI_FACTORS!$D$12*(1+$B$1*INDEX($AI$10:$BJ$14,$B184,(C180-1)*2+2)))</f>
        <v>#VALUE!</v>
      </c>
      <c r="G184" s="1016" t="e">
        <f ca="1">G$45/(INDEX($AI$10:$BJ$14,$B184,(C180-1)*2+1)*RWDI_FACTORS!$D$12*(1+$B$1*INDEX($AI$10:$BJ$14,$B184,(C180-1)*2+2)))</f>
        <v>#VALUE!</v>
      </c>
      <c r="H184" s="1016" t="e">
        <f ca="1">H$45/(INDEX($AI$10:$BJ$14,$B184,(C180-1)*2+1)*RWDI_FACTORS!$D$12*(1+$B$1*INDEX($AI$10:$BJ$14,$B184,(C180-1)*2+2)))</f>
        <v>#VALUE!</v>
      </c>
      <c r="I184" s="1016" t="e">
        <f ca="1">I$45/(INDEX($AI$10:$BJ$14,$B184,(C180-1)*2+1)*RWDI_FACTORS!$D$12*(1+$B$1*INDEX($AI$10:$BJ$14,$B184,(C180-1)*2+2)))</f>
        <v>#VALUE!</v>
      </c>
      <c r="J184" s="1016" t="e">
        <f ca="1">J$45/(INDEX($AI$10:$BJ$14,$B184,(C180-1)*2+1)*RWDI_FACTORS!$D$12*(1+$B$1*INDEX($AI$10:$BJ$14,$B184,(C180-1)*2+2)))</f>
        <v>#VALUE!</v>
      </c>
      <c r="K184" s="1016" t="e">
        <f ca="1">K$45/(INDEX($AI$10:$BJ$14,$B184,(C180-1)*2+1)*RWDI_FACTORS!$D$12*(1+$B$1*INDEX($AI$10:$BJ$14,$B184,(C180-1)*2+2)))</f>
        <v>#VALUE!</v>
      </c>
      <c r="L184" s="1016" t="e">
        <f ca="1">L$45/(INDEX($AI$10:$BJ$14,$B184,(C180-1)*2+1)*RWDI_FACTORS!$D$12*(1+$B$1*INDEX($AI$10:$BJ$14,$B184,(C180-1)*2+2)))</f>
        <v>#VALUE!</v>
      </c>
      <c r="M184" s="1016" t="e">
        <f ca="1">M$45/(INDEX($AI$10:$BJ$14,$B184,(C180-1)*2+1)*RWDI_FACTORS!$D$12*(1+$B$1*INDEX($AI$10:$BJ$14,$B184,(C180-1)*2+2)))</f>
        <v>#VALUE!</v>
      </c>
      <c r="N184" s="1016" t="e">
        <f ca="1">N$45/(INDEX($AI$10:$BJ$14,$B184,(C180-1)*2+1)*RWDI_FACTORS!$D$12*(1+$B$1*INDEX($AI$10:$BJ$14,$B184,(C180-1)*2+2)))</f>
        <v>#VALUE!</v>
      </c>
      <c r="O184" s="1016" t="e">
        <f ca="1">O$45/(INDEX($AI$10:$BJ$14,$B184,(C180-1)*2+1)*RWDI_FACTORS!$D$12*(1+$B$1*INDEX($AI$10:$BJ$14,$B184,(C180-1)*2+2)))</f>
        <v>#VALUE!</v>
      </c>
      <c r="P184" s="1016" t="e">
        <f ca="1">P$45/(INDEX($AI$10:$BJ$14,$B184,(C180-1)*2+1)*RWDI_FACTORS!$D$12*(1+$B$1*INDEX($AI$10:$BJ$14,$B184,(C180-1)*2+2)))</f>
        <v>#VALUE!</v>
      </c>
      <c r="Q184" s="1016" t="e">
        <f ca="1">Q$45/(INDEX($AI$10:$BJ$14,$B184,(C180-1)*2+1)*RWDI_FACTORS!$D$12*(1+$B$1*INDEX($AI$10:$BJ$14,$B184,(C180-1)*2+2)))</f>
        <v>#VALUE!</v>
      </c>
      <c r="R184" s="1016" t="e">
        <f ca="1">R$45/(INDEX($AI$10:$BJ$14,$B184,(C180-1)*2+1)*RWDI_FACTORS!$D$12*(1+$B$1*INDEX($AI$10:$BJ$14,$B184,(C180-1)*2+2)))</f>
        <v>#VALUE!</v>
      </c>
      <c r="S184" s="1016" t="e">
        <f ca="1">S$45/(INDEX($AI$10:$BJ$14,$B184,(C180-1)*2+1)*RWDI_FACTORS!$D$12*(1+$B$1*INDEX($AI$10:$BJ$14,$B184,(C180-1)*2+2)))</f>
        <v>#VALUE!</v>
      </c>
      <c r="T184" s="1016" t="e">
        <f ca="1">T$45/(INDEX($AI$10:$BJ$14,$B184,(C180-1)*2+1)*RWDI_FACTORS!$D$12*(1+$B$1*INDEX($AI$10:$BJ$14,$B184,(C180-1)*2+2)))</f>
        <v>#VALUE!</v>
      </c>
      <c r="U184" s="1016" t="e">
        <f ca="1">U$45/(INDEX($AI$10:$BJ$14,$B184,(C180-1)*2+1)*RWDI_FACTORS!$D$12*(1+$B$1*INDEX($AI$10:$BJ$14,$B184,(C180-1)*2+2)))</f>
        <v>#VALUE!</v>
      </c>
      <c r="V184" s="1016" t="e">
        <f ca="1">V$45/(INDEX($AI$10:$BJ$14,$B184,(C180-1)*2+1)*RWDI_FACTORS!$D$12*(1+$B$1*INDEX($AI$10:$BJ$14,$B184,(C180-1)*2+2)))</f>
        <v>#VALUE!</v>
      </c>
      <c r="W184" s="1016" t="e">
        <f ca="1">W$45/(INDEX($AI$10:$BJ$14,$B184,(C180-1)*2+1)*RWDI_FACTORS!$D$12*(1+$B$1*INDEX($AI$10:$BJ$14,$B184,(C180-1)*2+2)))</f>
        <v>#VALUE!</v>
      </c>
    </row>
    <row r="185" spans="1:23" x14ac:dyDescent="0.2">
      <c r="A185" s="577">
        <f>A175</f>
        <v>120.7</v>
      </c>
      <c r="B185" s="577">
        <v>3</v>
      </c>
      <c r="C185" s="1016" t="e">
        <f ca="1">C$46/(INDEX($AI$10:$BJ$14,$B185,(C180-1)*2+1)*RWDI_FACTORS!$D$12*(1+$B$1*INDEX($AI$10:$BJ$14,$B185,(C180-1)*2+2)))</f>
        <v>#VALUE!</v>
      </c>
      <c r="D185" s="1016" t="e">
        <f ca="1">D$46/(INDEX($AI$10:$BJ$14,$B185,(C180-1)*2+1)*RWDI_FACTORS!$D$12*(1+$B$1*INDEX($AI$10:$BJ$14,$B185,(C180-1)*2+2)))</f>
        <v>#VALUE!</v>
      </c>
      <c r="E185" s="1016" t="e">
        <f ca="1">E$46/(INDEX($AI$10:$BJ$14,$B185,(C180-1)*2+1)*RWDI_FACTORS!$D$12*(1+$B$1*INDEX($AI$10:$BJ$14,$B185,(C180-1)*2+2)))</f>
        <v>#VALUE!</v>
      </c>
      <c r="F185" s="1016" t="e">
        <f ca="1">F$46/(INDEX($AI$10:$BJ$14,$B185,(C180-1)*2+1)*RWDI_FACTORS!$D$12*(1+$B$1*INDEX($AI$10:$BJ$14,$B185,(C180-1)*2+2)))</f>
        <v>#VALUE!</v>
      </c>
      <c r="G185" s="1016" t="e">
        <f ca="1">G$46/(INDEX($AI$10:$BJ$14,$B185,(C180-1)*2+1)*RWDI_FACTORS!$D$12*(1+$B$1*INDEX($AI$10:$BJ$14,$B185,(C180-1)*2+2)))</f>
        <v>#VALUE!</v>
      </c>
      <c r="H185" s="1016" t="e">
        <f ca="1">H$46/(INDEX($AI$10:$BJ$14,$B185,(C180-1)*2+1)*RWDI_FACTORS!$D$12*(1+$B$1*INDEX($AI$10:$BJ$14,$B185,(C180-1)*2+2)))</f>
        <v>#VALUE!</v>
      </c>
      <c r="I185" s="1016" t="e">
        <f ca="1">I$46/(INDEX($AI$10:$BJ$14,$B185,(C180-1)*2+1)*RWDI_FACTORS!$D$12*(1+$B$1*INDEX($AI$10:$BJ$14,$B185,(C180-1)*2+2)))</f>
        <v>#VALUE!</v>
      </c>
      <c r="J185" s="1016" t="e">
        <f ca="1">J$46/(INDEX($AI$10:$BJ$14,$B185,(C180-1)*2+1)*RWDI_FACTORS!$D$12*(1+$B$1*INDEX($AI$10:$BJ$14,$B185,(C180-1)*2+2)))</f>
        <v>#VALUE!</v>
      </c>
      <c r="K185" s="1016" t="e">
        <f ca="1">K$46/(INDEX($AI$10:$BJ$14,$B185,(C180-1)*2+1)*RWDI_FACTORS!$D$12*(1+$B$1*INDEX($AI$10:$BJ$14,$B185,(C180-1)*2+2)))</f>
        <v>#VALUE!</v>
      </c>
      <c r="L185" s="1016" t="e">
        <f ca="1">L$46/(INDEX($AI$10:$BJ$14,$B185,(C180-1)*2+1)*RWDI_FACTORS!$D$12*(1+$B$1*INDEX($AI$10:$BJ$14,$B185,(C180-1)*2+2)))</f>
        <v>#VALUE!</v>
      </c>
      <c r="M185" s="1016" t="e">
        <f ca="1">M$46/(INDEX($AI$10:$BJ$14,$B185,(C180-1)*2+1)*RWDI_FACTORS!$D$12*(1+$B$1*INDEX($AI$10:$BJ$14,$B185,(C180-1)*2+2)))</f>
        <v>#VALUE!</v>
      </c>
      <c r="N185" s="1016" t="e">
        <f ca="1">N$46/(INDEX($AI$10:$BJ$14,$B185,(C180-1)*2+1)*RWDI_FACTORS!$D$12*(1+$B$1*INDEX($AI$10:$BJ$14,$B185,(C180-1)*2+2)))</f>
        <v>#VALUE!</v>
      </c>
      <c r="O185" s="1016" t="e">
        <f ca="1">O$46/(INDEX($AI$10:$BJ$14,$B185,(C180-1)*2+1)*RWDI_FACTORS!$D$12*(1+$B$1*INDEX($AI$10:$BJ$14,$B185,(C180-1)*2+2)))</f>
        <v>#VALUE!</v>
      </c>
      <c r="P185" s="1016" t="e">
        <f ca="1">P$46/(INDEX($AI$10:$BJ$14,$B185,(C180-1)*2+1)*RWDI_FACTORS!$D$12*(1+$B$1*INDEX($AI$10:$BJ$14,$B185,(C180-1)*2+2)))</f>
        <v>#VALUE!</v>
      </c>
      <c r="Q185" s="1016" t="e">
        <f ca="1">Q$46/(INDEX($AI$10:$BJ$14,$B185,(C180-1)*2+1)*RWDI_FACTORS!$D$12*(1+$B$1*INDEX($AI$10:$BJ$14,$B185,(C180-1)*2+2)))</f>
        <v>#VALUE!</v>
      </c>
      <c r="R185" s="1016" t="e">
        <f ca="1">R$46/(INDEX($AI$10:$BJ$14,$B185,(C180-1)*2+1)*RWDI_FACTORS!$D$12*(1+$B$1*INDEX($AI$10:$BJ$14,$B185,(C180-1)*2+2)))</f>
        <v>#VALUE!</v>
      </c>
      <c r="S185" s="1016" t="e">
        <f ca="1">S$46/(INDEX($AI$10:$BJ$14,$B185,(C180-1)*2+1)*RWDI_FACTORS!$D$12*(1+$B$1*INDEX($AI$10:$BJ$14,$B185,(C180-1)*2+2)))</f>
        <v>#VALUE!</v>
      </c>
      <c r="T185" s="1016" t="e">
        <f ca="1">T$46/(INDEX($AI$10:$BJ$14,$B185,(C180-1)*2+1)*RWDI_FACTORS!$D$12*(1+$B$1*INDEX($AI$10:$BJ$14,$B185,(C180-1)*2+2)))</f>
        <v>#VALUE!</v>
      </c>
      <c r="U185" s="1016" t="e">
        <f ca="1">U$46/(INDEX($AI$10:$BJ$14,$B185,(C180-1)*2+1)*RWDI_FACTORS!$D$12*(1+$B$1*INDEX($AI$10:$BJ$14,$B185,(C180-1)*2+2)))</f>
        <v>#VALUE!</v>
      </c>
      <c r="V185" s="1016" t="e">
        <f ca="1">V$46/(INDEX($AI$10:$BJ$14,$B185,(C180-1)*2+1)*RWDI_FACTORS!$D$12*(1+$B$1*INDEX($AI$10:$BJ$14,$B185,(C180-1)*2+2)))</f>
        <v>#VALUE!</v>
      </c>
      <c r="W185" s="1016" t="e">
        <f ca="1">W$46/(INDEX($AI$10:$BJ$14,$B185,(C180-1)*2+1)*RWDI_FACTORS!$D$12*(1+$B$1*INDEX($AI$10:$BJ$14,$B185,(C180-1)*2+2)))</f>
        <v>#VALUE!</v>
      </c>
    </row>
    <row r="186" spans="1:23" x14ac:dyDescent="0.2">
      <c r="A186" s="577">
        <f>A176</f>
        <v>144.80000000000001</v>
      </c>
      <c r="B186" s="577">
        <v>4</v>
      </c>
      <c r="C186" s="1016" t="e">
        <f ca="1">C$47/(INDEX($AI$10:$BJ$14,$B186,(C180-1)*2+1)*RWDI_FACTORS!$D$12*(1+$B$1*INDEX($AI$10:$BJ$14,$B186,(C180-1)*2+2)))</f>
        <v>#VALUE!</v>
      </c>
      <c r="D186" s="1016" t="e">
        <f ca="1">D$47/(INDEX($AI$10:$BJ$14,$B186,(C180-1)*2+1)*RWDI_FACTORS!$D$12*(1+$B$1*INDEX($AI$10:$BJ$14,$B186,(C180-1)*2+2)))</f>
        <v>#VALUE!</v>
      </c>
      <c r="E186" s="1016" t="e">
        <f ca="1">E$47/(INDEX($AI$10:$BJ$14,$B186,(C180-1)*2+1)*RWDI_FACTORS!$D$12*(1+$B$1*INDEX($AI$10:$BJ$14,$B186,(C180-1)*2+2)))</f>
        <v>#VALUE!</v>
      </c>
      <c r="F186" s="1016" t="e">
        <f ca="1">F$47/(INDEX($AI$10:$BJ$14,$B186,(C180-1)*2+1)*RWDI_FACTORS!$D$12*(1+$B$1*INDEX($AI$10:$BJ$14,$B186,(C180-1)*2+2)))</f>
        <v>#VALUE!</v>
      </c>
      <c r="G186" s="1016" t="e">
        <f ca="1">G$47/(INDEX($AI$10:$BJ$14,$B186,(C180-1)*2+1)*RWDI_FACTORS!$D$12*(1+$B$1*INDEX($AI$10:$BJ$14,$B186,(C180-1)*2+2)))</f>
        <v>#VALUE!</v>
      </c>
      <c r="H186" s="1016" t="e">
        <f ca="1">H$47/(INDEX($AI$10:$BJ$14,$B186,(C180-1)*2+1)*RWDI_FACTORS!$D$12*(1+$B$1*INDEX($AI$10:$BJ$14,$B186,(C180-1)*2+2)))</f>
        <v>#VALUE!</v>
      </c>
      <c r="I186" s="1016" t="e">
        <f ca="1">I$47/(INDEX($AI$10:$BJ$14,$B186,(C180-1)*2+1)*RWDI_FACTORS!$D$12*(1+$B$1*INDEX($AI$10:$BJ$14,$B186,(C180-1)*2+2)))</f>
        <v>#VALUE!</v>
      </c>
      <c r="J186" s="1016" t="e">
        <f ca="1">J$47/(INDEX($AI$10:$BJ$14,$B186,(C180-1)*2+1)*RWDI_FACTORS!$D$12*(1+$B$1*INDEX($AI$10:$BJ$14,$B186,(C180-1)*2+2)))</f>
        <v>#VALUE!</v>
      </c>
      <c r="K186" s="1016" t="e">
        <f ca="1">K$47/(INDEX($AI$10:$BJ$14,$B186,(C180-1)*2+1)*RWDI_FACTORS!$D$12*(1+$B$1*INDEX($AI$10:$BJ$14,$B186,(C180-1)*2+2)))</f>
        <v>#VALUE!</v>
      </c>
      <c r="L186" s="1016" t="e">
        <f ca="1">L$47/(INDEX($AI$10:$BJ$14,$B186,(C180-1)*2+1)*RWDI_FACTORS!$D$12*(1+$B$1*INDEX($AI$10:$BJ$14,$B186,(C180-1)*2+2)))</f>
        <v>#VALUE!</v>
      </c>
      <c r="M186" s="1016" t="e">
        <f ca="1">M$47/(INDEX($AI$10:$BJ$14,$B186,(C180-1)*2+1)*RWDI_FACTORS!$D$12*(1+$B$1*INDEX($AI$10:$BJ$14,$B186,(C180-1)*2+2)))</f>
        <v>#VALUE!</v>
      </c>
      <c r="N186" s="1016" t="e">
        <f ca="1">N$47/(INDEX($AI$10:$BJ$14,$B186,(C180-1)*2+1)*RWDI_FACTORS!$D$12*(1+$B$1*INDEX($AI$10:$BJ$14,$B186,(C180-1)*2+2)))</f>
        <v>#VALUE!</v>
      </c>
      <c r="O186" s="1016" t="e">
        <f ca="1">O$47/(INDEX($AI$10:$BJ$14,$B186,(C180-1)*2+1)*RWDI_FACTORS!$D$12*(1+$B$1*INDEX($AI$10:$BJ$14,$B186,(C180-1)*2+2)))</f>
        <v>#VALUE!</v>
      </c>
      <c r="P186" s="1016" t="e">
        <f ca="1">P$47/(INDEX($AI$10:$BJ$14,$B186,(C180-1)*2+1)*RWDI_FACTORS!$D$12*(1+$B$1*INDEX($AI$10:$BJ$14,$B186,(C180-1)*2+2)))</f>
        <v>#VALUE!</v>
      </c>
      <c r="Q186" s="1016" t="e">
        <f ca="1">Q$47/(INDEX($AI$10:$BJ$14,$B186,(C180-1)*2+1)*RWDI_FACTORS!$D$12*(1+$B$1*INDEX($AI$10:$BJ$14,$B186,(C180-1)*2+2)))</f>
        <v>#VALUE!</v>
      </c>
      <c r="R186" s="1016" t="e">
        <f ca="1">R$47/(INDEX($AI$10:$BJ$14,$B186,(C180-1)*2+1)*RWDI_FACTORS!$D$12*(1+$B$1*INDEX($AI$10:$BJ$14,$B186,(C180-1)*2+2)))</f>
        <v>#VALUE!</v>
      </c>
      <c r="S186" s="1016" t="e">
        <f ca="1">S$47/(INDEX($AI$10:$BJ$14,$B186,(C180-1)*2+1)*RWDI_FACTORS!$D$12*(1+$B$1*INDEX($AI$10:$BJ$14,$B186,(C180-1)*2+2)))</f>
        <v>#VALUE!</v>
      </c>
      <c r="T186" s="1016" t="e">
        <f ca="1">T$47/(INDEX($AI$10:$BJ$14,$B186,(C180-1)*2+1)*RWDI_FACTORS!$D$12*(1+$B$1*INDEX($AI$10:$BJ$14,$B186,(C180-1)*2+2)))</f>
        <v>#VALUE!</v>
      </c>
      <c r="U186" s="1016" t="e">
        <f ca="1">U$47/(INDEX($AI$10:$BJ$14,$B186,(C180-1)*2+1)*RWDI_FACTORS!$D$12*(1+$B$1*INDEX($AI$10:$BJ$14,$B186,(C180-1)*2+2)))</f>
        <v>#VALUE!</v>
      </c>
      <c r="V186" s="1016" t="e">
        <f ca="1">V$47/(INDEX($AI$10:$BJ$14,$B186,(C180-1)*2+1)*RWDI_FACTORS!$D$12*(1+$B$1*INDEX($AI$10:$BJ$14,$B186,(C180-1)*2+2)))</f>
        <v>#VALUE!</v>
      </c>
      <c r="W186" s="1016" t="e">
        <f ca="1">W$47/(INDEX($AI$10:$BJ$14,$B186,(C180-1)*2+1)*RWDI_FACTORS!$D$12*(1+$B$1*INDEX($AI$10:$BJ$14,$B186,(C180-1)*2+2)))</f>
        <v>#VALUE!</v>
      </c>
    </row>
    <row r="187" spans="1:23" x14ac:dyDescent="0.2">
      <c r="A187" s="577">
        <f>A177</f>
        <v>181</v>
      </c>
      <c r="B187" s="577">
        <v>5</v>
      </c>
      <c r="C187" s="1016" t="e">
        <f ca="1">C$48/(INDEX($AI$10:$BJ$14,$B187,(C180-1)*2+1)*RWDI_FACTORS!$D$12*(1+$B$1*INDEX($AI$10:$BJ$14,$B187,(C180-1)*2+2)))</f>
        <v>#VALUE!</v>
      </c>
      <c r="D187" s="1016" t="e">
        <f ca="1">D$48/(INDEX($AI$10:$BJ$14,$B187,(C180-1)*2+1)*RWDI_FACTORS!$D$12*(1+$B$1*INDEX($AI$10:$BJ$14,$B187,(C180-1)*2+2)))</f>
        <v>#VALUE!</v>
      </c>
      <c r="E187" s="1016" t="e">
        <f ca="1">E$48/(INDEX($AI$10:$BJ$14,$B187,(C180-1)*2+1)*RWDI_FACTORS!$D$12*(1+$B$1*INDEX($AI$10:$BJ$14,$B187,(C180-1)*2+2)))</f>
        <v>#VALUE!</v>
      </c>
      <c r="F187" s="1016" t="e">
        <f ca="1">F$48/(INDEX($AI$10:$BJ$14,$B187,(C180-1)*2+1)*RWDI_FACTORS!$D$12*(1+$B$1*INDEX($AI$10:$BJ$14,$B187,(C180-1)*2+2)))</f>
        <v>#VALUE!</v>
      </c>
      <c r="G187" s="1016" t="e">
        <f ca="1">G$48/(INDEX($AI$10:$BJ$14,$B187,(C180-1)*2+1)*RWDI_FACTORS!$D$12*(1+$B$1*INDEX($AI$10:$BJ$14,$B187,(C180-1)*2+2)))</f>
        <v>#VALUE!</v>
      </c>
      <c r="H187" s="1016" t="e">
        <f ca="1">H$48/(INDEX($AI$10:$BJ$14,$B187,(C180-1)*2+1)*RWDI_FACTORS!$D$12*(1+$B$1*INDEX($AI$10:$BJ$14,$B187,(C180-1)*2+2)))</f>
        <v>#VALUE!</v>
      </c>
      <c r="I187" s="1016" t="e">
        <f ca="1">I$48/(INDEX($AI$10:$BJ$14,$B187,(C180-1)*2+1)*RWDI_FACTORS!$D$12*(1+$B$1*INDEX($AI$10:$BJ$14,$B187,(C180-1)*2+2)))</f>
        <v>#VALUE!</v>
      </c>
      <c r="J187" s="1016" t="e">
        <f ca="1">J$48/(INDEX($AI$10:$BJ$14,$B187,(C180-1)*2+1)*RWDI_FACTORS!$D$12*(1+$B$1*INDEX($AI$10:$BJ$14,$B187,(C180-1)*2+2)))</f>
        <v>#VALUE!</v>
      </c>
      <c r="K187" s="1016" t="e">
        <f ca="1">K$48/(INDEX($AI$10:$BJ$14,$B187,(C180-1)*2+1)*RWDI_FACTORS!$D$12*(1+$B$1*INDEX($AI$10:$BJ$14,$B187,(C180-1)*2+2)))</f>
        <v>#VALUE!</v>
      </c>
      <c r="L187" s="1016" t="e">
        <f ca="1">L$48/(INDEX($AI$10:$BJ$14,$B187,(C180-1)*2+1)*RWDI_FACTORS!$D$12*(1+$B$1*INDEX($AI$10:$BJ$14,$B187,(C180-1)*2+2)))</f>
        <v>#VALUE!</v>
      </c>
      <c r="M187" s="1016" t="e">
        <f ca="1">M$48/(INDEX($AI$10:$BJ$14,$B187,(C180-1)*2+1)*RWDI_FACTORS!$D$12*(1+$B$1*INDEX($AI$10:$BJ$14,$B187,(C180-1)*2+2)))</f>
        <v>#VALUE!</v>
      </c>
      <c r="N187" s="1016" t="e">
        <f ca="1">N$48/(INDEX($AI$10:$BJ$14,$B187,(C180-1)*2+1)*RWDI_FACTORS!$D$12*(1+$B$1*INDEX($AI$10:$BJ$14,$B187,(C180-1)*2+2)))</f>
        <v>#VALUE!</v>
      </c>
      <c r="O187" s="1016" t="e">
        <f ca="1">O$48/(INDEX($AI$10:$BJ$14,$B187,(C180-1)*2+1)*RWDI_FACTORS!$D$12*(1+$B$1*INDEX($AI$10:$BJ$14,$B187,(C180-1)*2+2)))</f>
        <v>#VALUE!</v>
      </c>
      <c r="P187" s="1016" t="e">
        <f ca="1">P$48/(INDEX($AI$10:$BJ$14,$B187,(C180-1)*2+1)*RWDI_FACTORS!$D$12*(1+$B$1*INDEX($AI$10:$BJ$14,$B187,(C180-1)*2+2)))</f>
        <v>#VALUE!</v>
      </c>
      <c r="Q187" s="1016" t="e">
        <f ca="1">Q$48/(INDEX($AI$10:$BJ$14,$B187,(C180-1)*2+1)*RWDI_FACTORS!$D$12*(1+$B$1*INDEX($AI$10:$BJ$14,$B187,(C180-1)*2+2)))</f>
        <v>#VALUE!</v>
      </c>
      <c r="R187" s="1016" t="e">
        <f ca="1">R$48/(INDEX($AI$10:$BJ$14,$B187,(C180-1)*2+1)*RWDI_FACTORS!$D$12*(1+$B$1*INDEX($AI$10:$BJ$14,$B187,(C180-1)*2+2)))</f>
        <v>#VALUE!</v>
      </c>
      <c r="S187" s="1016" t="e">
        <f ca="1">S$48/(INDEX($AI$10:$BJ$14,$B187,(C180-1)*2+1)*RWDI_FACTORS!$D$12*(1+$B$1*INDEX($AI$10:$BJ$14,$B187,(C180-1)*2+2)))</f>
        <v>#VALUE!</v>
      </c>
      <c r="T187" s="1016" t="e">
        <f ca="1">T$48/(INDEX($AI$10:$BJ$14,$B187,(C180-1)*2+1)*RWDI_FACTORS!$D$12*(1+$B$1*INDEX($AI$10:$BJ$14,$B187,(C180-1)*2+2)))</f>
        <v>#VALUE!</v>
      </c>
      <c r="U187" s="1016" t="e">
        <f ca="1">U$48/(INDEX($AI$10:$BJ$14,$B187,(C180-1)*2+1)*RWDI_FACTORS!$D$12*(1+$B$1*INDEX($AI$10:$BJ$14,$B187,(C180-1)*2+2)))</f>
        <v>#VALUE!</v>
      </c>
      <c r="V187" s="1016" t="e">
        <f ca="1">V$48/(INDEX($AI$10:$BJ$14,$B187,(C180-1)*2+1)*RWDI_FACTORS!$D$12*(1+$B$1*INDEX($AI$10:$BJ$14,$B187,(C180-1)*2+2)))</f>
        <v>#VALUE!</v>
      </c>
      <c r="W187" s="1016" t="e">
        <f ca="1">W$48/(INDEX($AI$10:$BJ$14,$B187,(C180-1)*2+1)*RWDI_FACTORS!$D$12*(1+$B$1*INDEX($AI$10:$BJ$14,$B187,(C180-1)*2+2)))</f>
        <v>#VALUE!</v>
      </c>
    </row>
    <row r="188" spans="1:23" x14ac:dyDescent="0.2">
      <c r="B188" s="1019" t="s">
        <v>609</v>
      </c>
      <c r="C188" s="1011" t="e">
        <f t="shared" ref="C188:W188" ca="1" si="35">AVERAGE(C183:C187)</f>
        <v>#VALUE!</v>
      </c>
      <c r="D188" s="1011" t="e">
        <f t="shared" ca="1" si="35"/>
        <v>#VALUE!</v>
      </c>
      <c r="E188" s="1011" t="e">
        <f t="shared" ca="1" si="35"/>
        <v>#VALUE!</v>
      </c>
      <c r="F188" s="1011" t="e">
        <f t="shared" ca="1" si="35"/>
        <v>#VALUE!</v>
      </c>
      <c r="G188" s="1011" t="e">
        <f t="shared" ca="1" si="35"/>
        <v>#VALUE!</v>
      </c>
      <c r="H188" s="1011" t="e">
        <f t="shared" ca="1" si="35"/>
        <v>#VALUE!</v>
      </c>
      <c r="I188" s="1011" t="e">
        <f t="shared" ca="1" si="35"/>
        <v>#VALUE!</v>
      </c>
      <c r="J188" s="1011" t="e">
        <f t="shared" ca="1" si="35"/>
        <v>#VALUE!</v>
      </c>
      <c r="K188" s="1011" t="e">
        <f t="shared" ca="1" si="35"/>
        <v>#VALUE!</v>
      </c>
      <c r="L188" s="1011" t="e">
        <f t="shared" ca="1" si="35"/>
        <v>#VALUE!</v>
      </c>
      <c r="M188" s="1011" t="e">
        <f t="shared" ca="1" si="35"/>
        <v>#VALUE!</v>
      </c>
      <c r="N188" s="1011" t="e">
        <f t="shared" ca="1" si="35"/>
        <v>#VALUE!</v>
      </c>
      <c r="O188" s="1011" t="e">
        <f t="shared" ca="1" si="35"/>
        <v>#VALUE!</v>
      </c>
      <c r="P188" s="1011" t="e">
        <f t="shared" ca="1" si="35"/>
        <v>#VALUE!</v>
      </c>
      <c r="Q188" s="1011" t="e">
        <f t="shared" ca="1" si="35"/>
        <v>#VALUE!</v>
      </c>
      <c r="R188" s="1011" t="e">
        <f t="shared" ca="1" si="35"/>
        <v>#VALUE!</v>
      </c>
      <c r="S188" s="1011" t="e">
        <f t="shared" ca="1" si="35"/>
        <v>#VALUE!</v>
      </c>
      <c r="T188" s="1011" t="e">
        <f t="shared" ca="1" si="35"/>
        <v>#VALUE!</v>
      </c>
      <c r="U188" s="1011" t="e">
        <f t="shared" ca="1" si="35"/>
        <v>#VALUE!</v>
      </c>
      <c r="V188" s="1011" t="e">
        <f t="shared" ca="1" si="35"/>
        <v>#VALUE!</v>
      </c>
      <c r="W188" s="1011" t="e">
        <f t="shared" ca="1" si="35"/>
        <v>#VALUE!</v>
      </c>
    </row>
    <row r="189" spans="1:23" x14ac:dyDescent="0.2">
      <c r="B189" s="1019" t="s">
        <v>610</v>
      </c>
      <c r="C189" s="1011" t="e">
        <f t="shared" ref="C189:W189" ca="1" si="36">STDEV(C183:C187)/C188*100</f>
        <v>#VALUE!</v>
      </c>
      <c r="D189" s="1011" t="e">
        <f t="shared" ca="1" si="36"/>
        <v>#VALUE!</v>
      </c>
      <c r="E189" s="1011" t="e">
        <f t="shared" ca="1" si="36"/>
        <v>#VALUE!</v>
      </c>
      <c r="F189" s="1011" t="e">
        <f t="shared" ca="1" si="36"/>
        <v>#VALUE!</v>
      </c>
      <c r="G189" s="1011" t="e">
        <f t="shared" ca="1" si="36"/>
        <v>#VALUE!</v>
      </c>
      <c r="H189" s="1011" t="e">
        <f t="shared" ca="1" si="36"/>
        <v>#VALUE!</v>
      </c>
      <c r="I189" s="1011" t="e">
        <f t="shared" ca="1" si="36"/>
        <v>#VALUE!</v>
      </c>
      <c r="J189" s="1011" t="e">
        <f t="shared" ca="1" si="36"/>
        <v>#VALUE!</v>
      </c>
      <c r="K189" s="1011" t="e">
        <f t="shared" ca="1" si="36"/>
        <v>#VALUE!</v>
      </c>
      <c r="L189" s="1011" t="e">
        <f t="shared" ca="1" si="36"/>
        <v>#VALUE!</v>
      </c>
      <c r="M189" s="1011" t="e">
        <f t="shared" ca="1" si="36"/>
        <v>#VALUE!</v>
      </c>
      <c r="N189" s="1011" t="e">
        <f t="shared" ca="1" si="36"/>
        <v>#VALUE!</v>
      </c>
      <c r="O189" s="1011" t="e">
        <f t="shared" ca="1" si="36"/>
        <v>#VALUE!</v>
      </c>
      <c r="P189" s="1011" t="e">
        <f t="shared" ca="1" si="36"/>
        <v>#VALUE!</v>
      </c>
      <c r="Q189" s="1011" t="e">
        <f t="shared" ca="1" si="36"/>
        <v>#VALUE!</v>
      </c>
      <c r="R189" s="1011" t="e">
        <f t="shared" ca="1" si="36"/>
        <v>#VALUE!</v>
      </c>
      <c r="S189" s="1011" t="e">
        <f t="shared" ca="1" si="36"/>
        <v>#VALUE!</v>
      </c>
      <c r="T189" s="1011" t="e">
        <f t="shared" ca="1" si="36"/>
        <v>#VALUE!</v>
      </c>
      <c r="U189" s="1011" t="e">
        <f t="shared" ca="1" si="36"/>
        <v>#VALUE!</v>
      </c>
      <c r="V189" s="1011" t="e">
        <f t="shared" ca="1" si="36"/>
        <v>#VALUE!</v>
      </c>
      <c r="W189" s="1011" t="e">
        <f t="shared" ca="1" si="36"/>
        <v>#VALUE!</v>
      </c>
    </row>
    <row r="190" spans="1:23" x14ac:dyDescent="0.2">
      <c r="A190" s="1017" t="e">
        <f ca="1">INDEX($AI$7:$BL$7,1,(C190-1)*2+1)</f>
        <v>#REF!</v>
      </c>
      <c r="B190" s="1018"/>
      <c r="C190" s="577">
        <f>C180+1</f>
        <v>15</v>
      </c>
    </row>
    <row r="192" spans="1:23" x14ac:dyDescent="0.2">
      <c r="C192" s="577" t="s">
        <v>203</v>
      </c>
      <c r="D192" s="577" t="s">
        <v>204</v>
      </c>
      <c r="E192" s="577" t="s">
        <v>205</v>
      </c>
      <c r="F192" s="577" t="s">
        <v>206</v>
      </c>
      <c r="G192" s="577" t="s">
        <v>207</v>
      </c>
      <c r="H192" s="577" t="s">
        <v>266</v>
      </c>
      <c r="I192" s="577" t="s">
        <v>267</v>
      </c>
      <c r="J192" s="577" t="s">
        <v>268</v>
      </c>
      <c r="K192" s="577" t="s">
        <v>269</v>
      </c>
      <c r="L192" s="577" t="s">
        <v>270</v>
      </c>
      <c r="M192" s="577" t="s">
        <v>271</v>
      </c>
      <c r="N192" s="577" t="s">
        <v>272</v>
      </c>
      <c r="O192" s="577" t="s">
        <v>273</v>
      </c>
      <c r="P192" s="577" t="s">
        <v>274</v>
      </c>
      <c r="Q192" s="577" t="s">
        <v>275</v>
      </c>
      <c r="R192" s="577" t="s">
        <v>276</v>
      </c>
      <c r="S192" s="577" t="s">
        <v>277</v>
      </c>
      <c r="T192" s="577" t="s">
        <v>278</v>
      </c>
      <c r="U192" s="577" t="s">
        <v>279</v>
      </c>
      <c r="V192" s="577" t="s">
        <v>280</v>
      </c>
      <c r="W192" s="577" t="s">
        <v>297</v>
      </c>
    </row>
    <row r="193" spans="1:23" x14ac:dyDescent="0.2">
      <c r="A193" s="577">
        <f>A183</f>
        <v>54.3</v>
      </c>
      <c r="B193" s="577">
        <v>1</v>
      </c>
      <c r="C193" s="1016" t="e">
        <f ca="1">C$44/(INDEX($AI$10:$BL$14,$B193,(C190-1)*2+1)*RWDI_FACTORS!$D$12*(1+$B$1*INDEX($AI$10:$BL$14,$B193,(C190-1)*2+2)))</f>
        <v>#VALUE!</v>
      </c>
      <c r="D193" s="1016" t="e">
        <f ca="1">D$44/(INDEX($AI$10:$BL$14,$B193,(C190-1)*2+1)*RWDI_FACTORS!$D$12*(1+$B$1*INDEX($AI$10:$BL$14,$B193,(C190-1)*2+2)))</f>
        <v>#VALUE!</v>
      </c>
      <c r="E193" s="1016" t="e">
        <f ca="1">E$44/(INDEX($AI$10:$BL$14,$B193,(C190-1)*2+1)*RWDI_FACTORS!$D$12*(1+$B$1*INDEX($AI$10:$BL$14,$B193,(C190-1)*2+2)))</f>
        <v>#VALUE!</v>
      </c>
      <c r="F193" s="1016" t="e">
        <f ca="1">F$44/(INDEX($AI$10:$BL$14,$B193,(C190-1)*2+1)*RWDI_FACTORS!$D$12*(1+$B$1*INDEX($AI$10:$BL$14,$B193,(C190-1)*2+2)))</f>
        <v>#VALUE!</v>
      </c>
      <c r="G193" s="1016" t="e">
        <f ca="1">G$44/(INDEX($AI$10:$BL$14,$B193,(C190-1)*2+1)*RWDI_FACTORS!$D$12*(1+$B$1*INDEX($AI$10:$BL$14,$B193,(C190-1)*2+2)))</f>
        <v>#VALUE!</v>
      </c>
      <c r="H193" s="1016" t="e">
        <f ca="1">H$44/(INDEX($AI$10:$BL$14,$B193,(C190-1)*2+1)*RWDI_FACTORS!$D$12*(1+$B$1*INDEX($AI$10:$BL$14,$B193,(C190-1)*2+2)))</f>
        <v>#VALUE!</v>
      </c>
      <c r="I193" s="1016" t="e">
        <f ca="1">I$44/(INDEX($AI$10:$BL$14,$B193,(C190-1)*2+1)*RWDI_FACTORS!$D$12*(1+$B$1*INDEX($AI$10:$BL$14,$B193,(C190-1)*2+2)))</f>
        <v>#VALUE!</v>
      </c>
      <c r="J193" s="1016" t="e">
        <f ca="1">J$44/(INDEX($AI$10:$BL$14,$B193,(C190-1)*2+1)*RWDI_FACTORS!$D$12*(1+$B$1*INDEX($AI$10:$BL$14,$B193,(C190-1)*2+2)))</f>
        <v>#VALUE!</v>
      </c>
      <c r="K193" s="1016" t="e">
        <f ca="1">K$44/(INDEX($AI$10:$BL$14,$B193,(C190-1)*2+1)*RWDI_FACTORS!$D$12*(1+$B$1*INDEX($AI$10:$BL$14,$B193,(C190-1)*2+2)))</f>
        <v>#VALUE!</v>
      </c>
      <c r="L193" s="1016" t="e">
        <f ca="1">L$44/(INDEX($AI$10:$BL$14,$B193,(C190-1)*2+1)*RWDI_FACTORS!$D$12*(1+$B$1*INDEX($AI$10:$BL$14,$B193,(C190-1)*2+2)))</f>
        <v>#VALUE!</v>
      </c>
      <c r="M193" s="1016" t="e">
        <f ca="1">M$44/(INDEX($AI$10:$BL$14,$B193,(C190-1)*2+1)*RWDI_FACTORS!$D$12*(1+$B$1*INDEX($AI$10:$BL$14,$B193,(C190-1)*2+2)))</f>
        <v>#VALUE!</v>
      </c>
      <c r="N193" s="1016" t="e">
        <f ca="1">N$44/(INDEX($AI$10:$BL$14,$B193,(C190-1)*2+1)*RWDI_FACTORS!$D$12*(1+$B$1*INDEX($AI$10:$BL$14,$B193,(C190-1)*2+2)))</f>
        <v>#VALUE!</v>
      </c>
      <c r="O193" s="1016" t="e">
        <f ca="1">O$44/(INDEX($AI$10:$BL$14,$B193,(C190-1)*2+1)*RWDI_FACTORS!$D$12*(1+$B$1*INDEX($AI$10:$BL$14,$B193,(C190-1)*2+2)))</f>
        <v>#VALUE!</v>
      </c>
      <c r="P193" s="1016" t="e">
        <f ca="1">P$44/(INDEX($AI$10:$BL$14,$B193,(C190-1)*2+1)*RWDI_FACTORS!$D$12*(1+$B$1*INDEX($AI$10:$BL$14,$B193,(C190-1)*2+2)))</f>
        <v>#VALUE!</v>
      </c>
      <c r="Q193" s="1016" t="e">
        <f ca="1">Q$44/(INDEX($AI$10:$BL$14,$B193,(C190-1)*2+1)*RWDI_FACTORS!$D$12*(1+$B$1*INDEX($AI$10:$BL$14,$B193,(C190-1)*2+2)))</f>
        <v>#VALUE!</v>
      </c>
      <c r="R193" s="1016" t="e">
        <f ca="1">R$44/(INDEX($AI$10:$BL$14,$B193,(C190-1)*2+1)*RWDI_FACTORS!$D$12*(1+$B$1*INDEX($AI$10:$BL$14,$B193,(C190-1)*2+2)))</f>
        <v>#VALUE!</v>
      </c>
      <c r="S193" s="1016" t="e">
        <f ca="1">S$44/(INDEX($AI$10:$BL$14,$B193,(C190-1)*2+1)*RWDI_FACTORS!$D$12*(1+$B$1*INDEX($AI$10:$BL$14,$B193,(C190-1)*2+2)))</f>
        <v>#VALUE!</v>
      </c>
      <c r="T193" s="1016" t="e">
        <f ca="1">T$44/(INDEX($AI$10:$BL$14,$B193,(C190-1)*2+1)*RWDI_FACTORS!$D$12*(1+$B$1*INDEX($AI$10:$BL$14,$B193,(C190-1)*2+2)))</f>
        <v>#VALUE!</v>
      </c>
      <c r="U193" s="1016" t="e">
        <f ca="1">U$44/(INDEX($AI$10:$BL$14,$B193,(C190-1)*2+1)*RWDI_FACTORS!$D$12*(1+$B$1*INDEX($AI$10:$BL$14,$B193,(C190-1)*2+2)))</f>
        <v>#VALUE!</v>
      </c>
      <c r="V193" s="1016" t="e">
        <f ca="1">V$44/(INDEX($AI$10:$BL$14,$B193,(C190-1)*2+1)*RWDI_FACTORS!$D$12*(1+$B$1*INDEX($AI$10:$BL$14,$B193,(C190-1)*2+2)))</f>
        <v>#VALUE!</v>
      </c>
      <c r="W193" s="1016" t="e">
        <f ca="1">W$44/(INDEX($AI$10:$BL$14,$B193,(C190-1)*2+1)*RWDI_FACTORS!$D$12*(1+$B$1*INDEX($AI$10:$BL$14,$B193,(C190-1)*2+2)))</f>
        <v>#VALUE!</v>
      </c>
    </row>
    <row r="194" spans="1:23" x14ac:dyDescent="0.2">
      <c r="A194" s="577">
        <f>A184</f>
        <v>90.5</v>
      </c>
      <c r="B194" s="577">
        <v>2</v>
      </c>
      <c r="C194" s="1016" t="e">
        <f ca="1">C$45/(INDEX($AI$10:$BL$14,$B194,(C190-1)*2+1)*RWDI_FACTORS!$D$12*(1+$B$1*INDEX($AI$10:$BL$14,$B194,(C190-1)*2+2)))</f>
        <v>#VALUE!</v>
      </c>
      <c r="D194" s="1016" t="e">
        <f ca="1">D$45/(INDEX($AI$10:$BL$14,$B194,(C190-1)*2+1)*RWDI_FACTORS!$D$12*(1+$B$1*INDEX($AI$10:$BL$14,$B194,(C190-1)*2+2)))</f>
        <v>#VALUE!</v>
      </c>
      <c r="E194" s="1016" t="e">
        <f ca="1">E$45/(INDEX($AI$10:$BL$14,$B194,(C190-1)*2+1)*RWDI_FACTORS!$D$12*(1+$B$1*INDEX($AI$10:$BL$14,$B194,(C190-1)*2+2)))</f>
        <v>#VALUE!</v>
      </c>
      <c r="F194" s="1016" t="e">
        <f ca="1">F$45/(INDEX($AI$10:$BL$14,$B194,(C190-1)*2+1)*RWDI_FACTORS!$D$12*(1+$B$1*INDEX($AI$10:$BL$14,$B194,(C190-1)*2+2)))</f>
        <v>#VALUE!</v>
      </c>
      <c r="G194" s="1016" t="e">
        <f ca="1">G$45/(INDEX($AI$10:$BL$14,$B194,(C190-1)*2+1)*RWDI_FACTORS!$D$12*(1+$B$1*INDEX($AI$10:$BL$14,$B194,(C190-1)*2+2)))</f>
        <v>#VALUE!</v>
      </c>
      <c r="H194" s="1016" t="e">
        <f ca="1">H$45/(INDEX($AI$10:$BL$14,$B194,(C190-1)*2+1)*RWDI_FACTORS!$D$12*(1+$B$1*INDEX($AI$10:$BL$14,$B194,(C190-1)*2+2)))</f>
        <v>#VALUE!</v>
      </c>
      <c r="I194" s="1016" t="e">
        <f ca="1">I$45/(INDEX($AI$10:$BL$14,$B194,(C190-1)*2+1)*RWDI_FACTORS!$D$12*(1+$B$1*INDEX($AI$10:$BL$14,$B194,(C190-1)*2+2)))</f>
        <v>#VALUE!</v>
      </c>
      <c r="J194" s="1016" t="e">
        <f ca="1">J$45/(INDEX($AI$10:$BL$14,$B194,(C190-1)*2+1)*RWDI_FACTORS!$D$12*(1+$B$1*INDEX($AI$10:$BL$14,$B194,(C190-1)*2+2)))</f>
        <v>#VALUE!</v>
      </c>
      <c r="K194" s="1016" t="e">
        <f ca="1">K$45/(INDEX($AI$10:$BL$14,$B194,(C190-1)*2+1)*RWDI_FACTORS!$D$12*(1+$B$1*INDEX($AI$10:$BL$14,$B194,(C190-1)*2+2)))</f>
        <v>#VALUE!</v>
      </c>
      <c r="L194" s="1016" t="e">
        <f ca="1">L$45/(INDEX($AI$10:$BL$14,$B194,(C190-1)*2+1)*RWDI_FACTORS!$D$12*(1+$B$1*INDEX($AI$10:$BL$14,$B194,(C190-1)*2+2)))</f>
        <v>#VALUE!</v>
      </c>
      <c r="M194" s="1016" t="e">
        <f ca="1">M$45/(INDEX($AI$10:$BL$14,$B194,(C190-1)*2+1)*RWDI_FACTORS!$D$12*(1+$B$1*INDEX($AI$10:$BL$14,$B194,(C190-1)*2+2)))</f>
        <v>#VALUE!</v>
      </c>
      <c r="N194" s="1016" t="e">
        <f ca="1">N$45/(INDEX($AI$10:$BL$14,$B194,(C190-1)*2+1)*RWDI_FACTORS!$D$12*(1+$B$1*INDEX($AI$10:$BL$14,$B194,(C190-1)*2+2)))</f>
        <v>#VALUE!</v>
      </c>
      <c r="O194" s="1016" t="e">
        <f ca="1">O$45/(INDEX($AI$10:$BL$14,$B194,(C190-1)*2+1)*RWDI_FACTORS!$D$12*(1+$B$1*INDEX($AI$10:$BL$14,$B194,(C190-1)*2+2)))</f>
        <v>#VALUE!</v>
      </c>
      <c r="P194" s="1016" t="e">
        <f ca="1">P$45/(INDEX($AI$10:$BL$14,$B194,(C190-1)*2+1)*RWDI_FACTORS!$D$12*(1+$B$1*INDEX($AI$10:$BL$14,$B194,(C190-1)*2+2)))</f>
        <v>#VALUE!</v>
      </c>
      <c r="Q194" s="1016" t="e">
        <f ca="1">Q$45/(INDEX($AI$10:$BL$14,$B194,(C190-1)*2+1)*RWDI_FACTORS!$D$12*(1+$B$1*INDEX($AI$10:$BL$14,$B194,(C190-1)*2+2)))</f>
        <v>#VALUE!</v>
      </c>
      <c r="R194" s="1016" t="e">
        <f ca="1">R$45/(INDEX($AI$10:$BL$14,$B194,(C190-1)*2+1)*RWDI_FACTORS!$D$12*(1+$B$1*INDEX($AI$10:$BL$14,$B194,(C190-1)*2+2)))</f>
        <v>#VALUE!</v>
      </c>
      <c r="S194" s="1016" t="e">
        <f ca="1">S$45/(INDEX($AI$10:$BL$14,$B194,(C190-1)*2+1)*RWDI_FACTORS!$D$12*(1+$B$1*INDEX($AI$10:$BL$14,$B194,(C190-1)*2+2)))</f>
        <v>#VALUE!</v>
      </c>
      <c r="T194" s="1016" t="e">
        <f ca="1">T$45/(INDEX($AI$10:$BL$14,$B194,(C190-1)*2+1)*RWDI_FACTORS!$D$12*(1+$B$1*INDEX($AI$10:$BL$14,$B194,(C190-1)*2+2)))</f>
        <v>#VALUE!</v>
      </c>
      <c r="U194" s="1016" t="e">
        <f ca="1">U$45/(INDEX($AI$10:$BL$14,$B194,(C190-1)*2+1)*RWDI_FACTORS!$D$12*(1+$B$1*INDEX($AI$10:$BL$14,$B194,(C190-1)*2+2)))</f>
        <v>#VALUE!</v>
      </c>
      <c r="V194" s="1016" t="e">
        <f ca="1">V$45/(INDEX($AI$10:$BL$14,$B194,(C190-1)*2+1)*RWDI_FACTORS!$D$12*(1+$B$1*INDEX($AI$10:$BL$14,$B194,(C190-1)*2+2)))</f>
        <v>#VALUE!</v>
      </c>
      <c r="W194" s="1016" t="e">
        <f ca="1">W$45/(INDEX($AI$10:$BL$14,$B194,(C190-1)*2+1)*RWDI_FACTORS!$D$12*(1+$B$1*INDEX($AI$10:$BL$14,$B194,(C190-1)*2+2)))</f>
        <v>#VALUE!</v>
      </c>
    </row>
    <row r="195" spans="1:23" x14ac:dyDescent="0.2">
      <c r="A195" s="577">
        <f>A185</f>
        <v>120.7</v>
      </c>
      <c r="B195" s="577">
        <v>3</v>
      </c>
      <c r="C195" s="1016" t="e">
        <f ca="1">C$46/(INDEX($AI$10:$BL$14,$B195,(C190-1)*2+1)*RWDI_FACTORS!$D$12*(1+$B$1*INDEX($AI$10:$BL$14,$B195,(C190-1)*2+2)))</f>
        <v>#VALUE!</v>
      </c>
      <c r="D195" s="1016" t="e">
        <f ca="1">D$46/(INDEX($AI$10:$BL$14,$B195,(C190-1)*2+1)*RWDI_FACTORS!$D$12*(1+$B$1*INDEX($AI$10:$BL$14,$B195,(C190-1)*2+2)))</f>
        <v>#VALUE!</v>
      </c>
      <c r="E195" s="1016" t="e">
        <f ca="1">E$46/(INDEX($AI$10:$BL$14,$B195,(C190-1)*2+1)*RWDI_FACTORS!$D$12*(1+$B$1*INDEX($AI$10:$BL$14,$B195,(C190-1)*2+2)))</f>
        <v>#VALUE!</v>
      </c>
      <c r="F195" s="1016" t="e">
        <f ca="1">F$46/(INDEX($AI$10:$BL$14,$B195,(C190-1)*2+1)*RWDI_FACTORS!$D$12*(1+$B$1*INDEX($AI$10:$BL$14,$B195,(C190-1)*2+2)))</f>
        <v>#VALUE!</v>
      </c>
      <c r="G195" s="1016" t="e">
        <f ca="1">G$46/(INDEX($AI$10:$BL$14,$B195,(C190-1)*2+1)*RWDI_FACTORS!$D$12*(1+$B$1*INDEX($AI$10:$BL$14,$B195,(C190-1)*2+2)))</f>
        <v>#VALUE!</v>
      </c>
      <c r="H195" s="1016" t="e">
        <f ca="1">H$46/(INDEX($AI$10:$BL$14,$B195,(C190-1)*2+1)*RWDI_FACTORS!$D$12*(1+$B$1*INDEX($AI$10:$BL$14,$B195,(C190-1)*2+2)))</f>
        <v>#VALUE!</v>
      </c>
      <c r="I195" s="1016" t="e">
        <f ca="1">I$46/(INDEX($AI$10:$BL$14,$B195,(C190-1)*2+1)*RWDI_FACTORS!$D$12*(1+$B$1*INDEX($AI$10:$BL$14,$B195,(C190-1)*2+2)))</f>
        <v>#VALUE!</v>
      </c>
      <c r="J195" s="1016" t="e">
        <f ca="1">J$46/(INDEX($AI$10:$BL$14,$B195,(C190-1)*2+1)*RWDI_FACTORS!$D$12*(1+$B$1*INDEX($AI$10:$BL$14,$B195,(C190-1)*2+2)))</f>
        <v>#VALUE!</v>
      </c>
      <c r="K195" s="1016" t="e">
        <f ca="1">K$46/(INDEX($AI$10:$BL$14,$B195,(C190-1)*2+1)*RWDI_FACTORS!$D$12*(1+$B$1*INDEX($AI$10:$BL$14,$B195,(C190-1)*2+2)))</f>
        <v>#VALUE!</v>
      </c>
      <c r="L195" s="1016" t="e">
        <f ca="1">L$46/(INDEX($AI$10:$BL$14,$B195,(C190-1)*2+1)*RWDI_FACTORS!$D$12*(1+$B$1*INDEX($AI$10:$BL$14,$B195,(C190-1)*2+2)))</f>
        <v>#VALUE!</v>
      </c>
      <c r="M195" s="1016" t="e">
        <f ca="1">M$46/(INDEX($AI$10:$BL$14,$B195,(C190-1)*2+1)*RWDI_FACTORS!$D$12*(1+$B$1*INDEX($AI$10:$BL$14,$B195,(C190-1)*2+2)))</f>
        <v>#VALUE!</v>
      </c>
      <c r="N195" s="1016" t="e">
        <f ca="1">N$46/(INDEX($AI$10:$BL$14,$B195,(C190-1)*2+1)*RWDI_FACTORS!$D$12*(1+$B$1*INDEX($AI$10:$BL$14,$B195,(C190-1)*2+2)))</f>
        <v>#VALUE!</v>
      </c>
      <c r="O195" s="1016" t="e">
        <f ca="1">O$46/(INDEX($AI$10:$BL$14,$B195,(C190-1)*2+1)*RWDI_FACTORS!$D$12*(1+$B$1*INDEX($AI$10:$BL$14,$B195,(C190-1)*2+2)))</f>
        <v>#VALUE!</v>
      </c>
      <c r="P195" s="1016" t="e">
        <f ca="1">P$46/(INDEX($AI$10:$BL$14,$B195,(C190-1)*2+1)*RWDI_FACTORS!$D$12*(1+$B$1*INDEX($AI$10:$BL$14,$B195,(C190-1)*2+2)))</f>
        <v>#VALUE!</v>
      </c>
      <c r="Q195" s="1016" t="e">
        <f ca="1">Q$46/(INDEX($AI$10:$BL$14,$B195,(C190-1)*2+1)*RWDI_FACTORS!$D$12*(1+$B$1*INDEX($AI$10:$BL$14,$B195,(C190-1)*2+2)))</f>
        <v>#VALUE!</v>
      </c>
      <c r="R195" s="1016" t="e">
        <f ca="1">R$46/(INDEX($AI$10:$BL$14,$B195,(C190-1)*2+1)*RWDI_FACTORS!$D$12*(1+$B$1*INDEX($AI$10:$BL$14,$B195,(C190-1)*2+2)))</f>
        <v>#VALUE!</v>
      </c>
      <c r="S195" s="1016" t="e">
        <f ca="1">S$46/(INDEX($AI$10:$BL$14,$B195,(C190-1)*2+1)*RWDI_FACTORS!$D$12*(1+$B$1*INDEX($AI$10:$BL$14,$B195,(C190-1)*2+2)))</f>
        <v>#VALUE!</v>
      </c>
      <c r="T195" s="1016" t="e">
        <f ca="1">T$46/(INDEX($AI$10:$BL$14,$B195,(C190-1)*2+1)*RWDI_FACTORS!$D$12*(1+$B$1*INDEX($AI$10:$BL$14,$B195,(C190-1)*2+2)))</f>
        <v>#VALUE!</v>
      </c>
      <c r="U195" s="1016" t="e">
        <f ca="1">U$46/(INDEX($AI$10:$BL$14,$B195,(C190-1)*2+1)*RWDI_FACTORS!$D$12*(1+$B$1*INDEX($AI$10:$BL$14,$B195,(C190-1)*2+2)))</f>
        <v>#VALUE!</v>
      </c>
      <c r="V195" s="1016" t="e">
        <f ca="1">V$46/(INDEX($AI$10:$BL$14,$B195,(C190-1)*2+1)*RWDI_FACTORS!$D$12*(1+$B$1*INDEX($AI$10:$BL$14,$B195,(C190-1)*2+2)))</f>
        <v>#VALUE!</v>
      </c>
      <c r="W195" s="1016" t="e">
        <f ca="1">W$46/(INDEX($AI$10:$BL$14,$B195,(C190-1)*2+1)*RWDI_FACTORS!$D$12*(1+$B$1*INDEX($AI$10:$BL$14,$B195,(C190-1)*2+2)))</f>
        <v>#VALUE!</v>
      </c>
    </row>
    <row r="196" spans="1:23" x14ac:dyDescent="0.2">
      <c r="A196" s="577">
        <f>A186</f>
        <v>144.80000000000001</v>
      </c>
      <c r="B196" s="577">
        <v>4</v>
      </c>
      <c r="C196" s="1016" t="e">
        <f ca="1">C$47/(INDEX($AI$10:$BL$14,$B196,(C190-1)*2+1)*RWDI_FACTORS!$D$12*(1+$B$1*INDEX($AI$10:$BL$14,$B196,(C190-1)*2+2)))</f>
        <v>#VALUE!</v>
      </c>
      <c r="D196" s="1016" t="e">
        <f ca="1">D$47/(INDEX($AI$10:$BL$14,$B196,(C190-1)*2+1)*RWDI_FACTORS!$D$12*(1+$B$1*INDEX($AI$10:$BL$14,$B196,(C190-1)*2+2)))</f>
        <v>#VALUE!</v>
      </c>
      <c r="E196" s="1016" t="e">
        <f ca="1">E$47/(INDEX($AI$10:$BL$14,$B196,(C190-1)*2+1)*RWDI_FACTORS!$D$12*(1+$B$1*INDEX($AI$10:$BL$14,$B196,(C190-1)*2+2)))</f>
        <v>#VALUE!</v>
      </c>
      <c r="F196" s="1016" t="e">
        <f ca="1">F$47/(INDEX($AI$10:$BL$14,$B196,(C190-1)*2+1)*RWDI_FACTORS!$D$12*(1+$B$1*INDEX($AI$10:$BL$14,$B196,(C190-1)*2+2)))</f>
        <v>#VALUE!</v>
      </c>
      <c r="G196" s="1016" t="e">
        <f ca="1">G$47/(INDEX($AI$10:$BL$14,$B196,(C190-1)*2+1)*RWDI_FACTORS!$D$12*(1+$B$1*INDEX($AI$10:$BL$14,$B196,(C190-1)*2+2)))</f>
        <v>#VALUE!</v>
      </c>
      <c r="H196" s="1016" t="e">
        <f ca="1">H$47/(INDEX($AI$10:$BL$14,$B196,(C190-1)*2+1)*RWDI_FACTORS!$D$12*(1+$B$1*INDEX($AI$10:$BL$14,$B196,(C190-1)*2+2)))</f>
        <v>#VALUE!</v>
      </c>
      <c r="I196" s="1016" t="e">
        <f ca="1">I$47/(INDEX($AI$10:$BL$14,$B196,(C190-1)*2+1)*RWDI_FACTORS!$D$12*(1+$B$1*INDEX($AI$10:$BL$14,$B196,(C190-1)*2+2)))</f>
        <v>#VALUE!</v>
      </c>
      <c r="J196" s="1016" t="e">
        <f ca="1">J$47/(INDEX($AI$10:$BL$14,$B196,(C190-1)*2+1)*RWDI_FACTORS!$D$12*(1+$B$1*INDEX($AI$10:$BL$14,$B196,(C190-1)*2+2)))</f>
        <v>#VALUE!</v>
      </c>
      <c r="K196" s="1016" t="e">
        <f ca="1">K$47/(INDEX($AI$10:$BL$14,$B196,(C190-1)*2+1)*RWDI_FACTORS!$D$12*(1+$B$1*INDEX($AI$10:$BL$14,$B196,(C190-1)*2+2)))</f>
        <v>#VALUE!</v>
      </c>
      <c r="L196" s="1016" t="e">
        <f ca="1">L$47/(INDEX($AI$10:$BL$14,$B196,(C190-1)*2+1)*RWDI_FACTORS!$D$12*(1+$B$1*INDEX($AI$10:$BL$14,$B196,(C190-1)*2+2)))</f>
        <v>#VALUE!</v>
      </c>
      <c r="M196" s="1016" t="e">
        <f ca="1">M$47/(INDEX($AI$10:$BL$14,$B196,(C190-1)*2+1)*RWDI_FACTORS!$D$12*(1+$B$1*INDEX($AI$10:$BL$14,$B196,(C190-1)*2+2)))</f>
        <v>#VALUE!</v>
      </c>
      <c r="N196" s="1016" t="e">
        <f ca="1">N$47/(INDEX($AI$10:$BL$14,$B196,(C190-1)*2+1)*RWDI_FACTORS!$D$12*(1+$B$1*INDEX($AI$10:$BL$14,$B196,(C190-1)*2+2)))</f>
        <v>#VALUE!</v>
      </c>
      <c r="O196" s="1016" t="e">
        <f ca="1">O$47/(INDEX($AI$10:$BL$14,$B196,(C190-1)*2+1)*RWDI_FACTORS!$D$12*(1+$B$1*INDEX($AI$10:$BL$14,$B196,(C190-1)*2+2)))</f>
        <v>#VALUE!</v>
      </c>
      <c r="P196" s="1016" t="e">
        <f ca="1">P$47/(INDEX($AI$10:$BL$14,$B196,(C190-1)*2+1)*RWDI_FACTORS!$D$12*(1+$B$1*INDEX($AI$10:$BL$14,$B196,(C190-1)*2+2)))</f>
        <v>#VALUE!</v>
      </c>
      <c r="Q196" s="1016" t="e">
        <f ca="1">Q$47/(INDEX($AI$10:$BL$14,$B196,(C190-1)*2+1)*RWDI_FACTORS!$D$12*(1+$B$1*INDEX($AI$10:$BL$14,$B196,(C190-1)*2+2)))</f>
        <v>#VALUE!</v>
      </c>
      <c r="R196" s="1016" t="e">
        <f ca="1">R$47/(INDEX($AI$10:$BL$14,$B196,(C190-1)*2+1)*RWDI_FACTORS!$D$12*(1+$B$1*INDEX($AI$10:$BL$14,$B196,(C190-1)*2+2)))</f>
        <v>#VALUE!</v>
      </c>
      <c r="S196" s="1016" t="e">
        <f ca="1">S$47/(INDEX($AI$10:$BL$14,$B196,(C190-1)*2+1)*RWDI_FACTORS!$D$12*(1+$B$1*INDEX($AI$10:$BL$14,$B196,(C190-1)*2+2)))</f>
        <v>#VALUE!</v>
      </c>
      <c r="T196" s="1016" t="e">
        <f ca="1">T$47/(INDEX($AI$10:$BL$14,$B196,(C190-1)*2+1)*RWDI_FACTORS!$D$12*(1+$B$1*INDEX($AI$10:$BL$14,$B196,(C190-1)*2+2)))</f>
        <v>#VALUE!</v>
      </c>
      <c r="U196" s="1016" t="e">
        <f ca="1">U$47/(INDEX($AI$10:$BL$14,$B196,(C190-1)*2+1)*RWDI_FACTORS!$D$12*(1+$B$1*INDEX($AI$10:$BL$14,$B196,(C190-1)*2+2)))</f>
        <v>#VALUE!</v>
      </c>
      <c r="V196" s="1016" t="e">
        <f ca="1">V$47/(INDEX($AI$10:$BL$14,$B196,(C190-1)*2+1)*RWDI_FACTORS!$D$12*(1+$B$1*INDEX($AI$10:$BL$14,$B196,(C190-1)*2+2)))</f>
        <v>#VALUE!</v>
      </c>
      <c r="W196" s="1016" t="e">
        <f ca="1">W$47/(INDEX($AI$10:$BL$14,$B196,(C190-1)*2+1)*RWDI_FACTORS!$D$12*(1+$B$1*INDEX($AI$10:$BL$14,$B196,(C190-1)*2+2)))</f>
        <v>#VALUE!</v>
      </c>
    </row>
    <row r="197" spans="1:23" x14ac:dyDescent="0.2">
      <c r="A197" s="577">
        <f>A187</f>
        <v>181</v>
      </c>
      <c r="B197" s="577">
        <v>5</v>
      </c>
      <c r="C197" s="1016" t="e">
        <f ca="1">C$48/(INDEX($AI$10:$BL$14,$B197,(C190-1)*2+1)*RWDI_FACTORS!$D$12*(1+$B$1*INDEX($AI$10:$BL$14,$B197,(C190-1)*2+2)))</f>
        <v>#VALUE!</v>
      </c>
      <c r="D197" s="1016" t="e">
        <f ca="1">D$48/(INDEX($AI$10:$BL$14,$B197,(C190-1)*2+1)*RWDI_FACTORS!$D$12*(1+$B$1*INDEX($AI$10:$BL$14,$B197,(C190-1)*2+2)))</f>
        <v>#VALUE!</v>
      </c>
      <c r="E197" s="1016" t="e">
        <f ca="1">E$48/(INDEX($AI$10:$BL$14,$B197,(C190-1)*2+1)*RWDI_FACTORS!$D$12*(1+$B$1*INDEX($AI$10:$BL$14,$B197,(C190-1)*2+2)))</f>
        <v>#VALUE!</v>
      </c>
      <c r="F197" s="1016" t="e">
        <f ca="1">F$48/(INDEX($AI$10:$BL$14,$B197,(C190-1)*2+1)*RWDI_FACTORS!$D$12*(1+$B$1*INDEX($AI$10:$BL$14,$B197,(C190-1)*2+2)))</f>
        <v>#VALUE!</v>
      </c>
      <c r="G197" s="1016" t="e">
        <f ca="1">G$48/(INDEX($AI$10:$BL$14,$B197,(C190-1)*2+1)*RWDI_FACTORS!$D$12*(1+$B$1*INDEX($AI$10:$BL$14,$B197,(C190-1)*2+2)))</f>
        <v>#VALUE!</v>
      </c>
      <c r="H197" s="1016" t="e">
        <f ca="1">H$48/(INDEX($AI$10:$BL$14,$B197,(C190-1)*2+1)*RWDI_FACTORS!$D$12*(1+$B$1*INDEX($AI$10:$BL$14,$B197,(C190-1)*2+2)))</f>
        <v>#VALUE!</v>
      </c>
      <c r="I197" s="1016" t="e">
        <f ca="1">I$48/(INDEX($AI$10:$BL$14,$B197,(C190-1)*2+1)*RWDI_FACTORS!$D$12*(1+$B$1*INDEX($AI$10:$BL$14,$B197,(C190-1)*2+2)))</f>
        <v>#VALUE!</v>
      </c>
      <c r="J197" s="1016" t="e">
        <f ca="1">J$48/(INDEX($AI$10:$BL$14,$B197,(C190-1)*2+1)*RWDI_FACTORS!$D$12*(1+$B$1*INDEX($AI$10:$BL$14,$B197,(C190-1)*2+2)))</f>
        <v>#VALUE!</v>
      </c>
      <c r="K197" s="1016" t="e">
        <f ca="1">K$48/(INDEX($AI$10:$BL$14,$B197,(C190-1)*2+1)*RWDI_FACTORS!$D$12*(1+$B$1*INDEX($AI$10:$BL$14,$B197,(C190-1)*2+2)))</f>
        <v>#VALUE!</v>
      </c>
      <c r="L197" s="1016" t="e">
        <f ca="1">L$48/(INDEX($AI$10:$BL$14,$B197,(C190-1)*2+1)*RWDI_FACTORS!$D$12*(1+$B$1*INDEX($AI$10:$BL$14,$B197,(C190-1)*2+2)))</f>
        <v>#VALUE!</v>
      </c>
      <c r="M197" s="1016" t="e">
        <f ca="1">M$48/(INDEX($AI$10:$BL$14,$B197,(C190-1)*2+1)*RWDI_FACTORS!$D$12*(1+$B$1*INDEX($AI$10:$BL$14,$B197,(C190-1)*2+2)))</f>
        <v>#VALUE!</v>
      </c>
      <c r="N197" s="1016" t="e">
        <f ca="1">N$48/(INDEX($AI$10:$BL$14,$B197,(C190-1)*2+1)*RWDI_FACTORS!$D$12*(1+$B$1*INDEX($AI$10:$BL$14,$B197,(C190-1)*2+2)))</f>
        <v>#VALUE!</v>
      </c>
      <c r="O197" s="1016" t="e">
        <f ca="1">O$48/(INDEX($AI$10:$BL$14,$B197,(C190-1)*2+1)*RWDI_FACTORS!$D$12*(1+$B$1*INDEX($AI$10:$BL$14,$B197,(C190-1)*2+2)))</f>
        <v>#VALUE!</v>
      </c>
      <c r="P197" s="1016" t="e">
        <f ca="1">P$48/(INDEX($AI$10:$BL$14,$B197,(C190-1)*2+1)*RWDI_FACTORS!$D$12*(1+$B$1*INDEX($AI$10:$BL$14,$B197,(C190-1)*2+2)))</f>
        <v>#VALUE!</v>
      </c>
      <c r="Q197" s="1016" t="e">
        <f ca="1">Q$48/(INDEX($AI$10:$BL$14,$B197,(C190-1)*2+1)*RWDI_FACTORS!$D$12*(1+$B$1*INDEX($AI$10:$BL$14,$B197,(C190-1)*2+2)))</f>
        <v>#VALUE!</v>
      </c>
      <c r="R197" s="1016" t="e">
        <f ca="1">R$48/(INDEX($AI$10:$BL$14,$B197,(C190-1)*2+1)*RWDI_FACTORS!$D$12*(1+$B$1*INDEX($AI$10:$BL$14,$B197,(C190-1)*2+2)))</f>
        <v>#VALUE!</v>
      </c>
      <c r="S197" s="1016" t="e">
        <f ca="1">S$48/(INDEX($AI$10:$BL$14,$B197,(C190-1)*2+1)*RWDI_FACTORS!$D$12*(1+$B$1*INDEX($AI$10:$BL$14,$B197,(C190-1)*2+2)))</f>
        <v>#VALUE!</v>
      </c>
      <c r="T197" s="1016" t="e">
        <f ca="1">T$48/(INDEX($AI$10:$BL$14,$B197,(C190-1)*2+1)*RWDI_FACTORS!$D$12*(1+$B$1*INDEX($AI$10:$BL$14,$B197,(C190-1)*2+2)))</f>
        <v>#VALUE!</v>
      </c>
      <c r="U197" s="1016" t="e">
        <f ca="1">U$48/(INDEX($AI$10:$BL$14,$B197,(C190-1)*2+1)*RWDI_FACTORS!$D$12*(1+$B$1*INDEX($AI$10:$BL$14,$B197,(C190-1)*2+2)))</f>
        <v>#VALUE!</v>
      </c>
      <c r="V197" s="1016" t="e">
        <f ca="1">V$48/(INDEX($AI$10:$BL$14,$B197,(C190-1)*2+1)*RWDI_FACTORS!$D$12*(1+$B$1*INDEX($AI$10:$BL$14,$B197,(C190-1)*2+2)))</f>
        <v>#VALUE!</v>
      </c>
      <c r="W197" s="1016" t="e">
        <f ca="1">W$48/(INDEX($AI$10:$BL$14,$B197,(C190-1)*2+1)*RWDI_FACTORS!$D$12*(1+$B$1*INDEX($AI$10:$BL$14,$B197,(C190-1)*2+2)))</f>
        <v>#VALUE!</v>
      </c>
    </row>
    <row r="198" spans="1:23" x14ac:dyDescent="0.2">
      <c r="B198" s="1019" t="s">
        <v>609</v>
      </c>
      <c r="C198" s="1011" t="e">
        <f t="shared" ref="C198:W198" ca="1" si="37">AVERAGE(C193:C197)</f>
        <v>#VALUE!</v>
      </c>
      <c r="D198" s="1011" t="e">
        <f t="shared" ca="1" si="37"/>
        <v>#VALUE!</v>
      </c>
      <c r="E198" s="1011" t="e">
        <f t="shared" ca="1" si="37"/>
        <v>#VALUE!</v>
      </c>
      <c r="F198" s="1011" t="e">
        <f t="shared" ca="1" si="37"/>
        <v>#VALUE!</v>
      </c>
      <c r="G198" s="1011" t="e">
        <f t="shared" ca="1" si="37"/>
        <v>#VALUE!</v>
      </c>
      <c r="H198" s="1011" t="e">
        <f t="shared" ca="1" si="37"/>
        <v>#VALUE!</v>
      </c>
      <c r="I198" s="1011" t="e">
        <f t="shared" ca="1" si="37"/>
        <v>#VALUE!</v>
      </c>
      <c r="J198" s="1011" t="e">
        <f t="shared" ca="1" si="37"/>
        <v>#VALUE!</v>
      </c>
      <c r="K198" s="1011" t="e">
        <f t="shared" ca="1" si="37"/>
        <v>#VALUE!</v>
      </c>
      <c r="L198" s="1011" t="e">
        <f t="shared" ca="1" si="37"/>
        <v>#VALUE!</v>
      </c>
      <c r="M198" s="1011" t="e">
        <f t="shared" ca="1" si="37"/>
        <v>#VALUE!</v>
      </c>
      <c r="N198" s="1011" t="e">
        <f t="shared" ca="1" si="37"/>
        <v>#VALUE!</v>
      </c>
      <c r="O198" s="1011" t="e">
        <f t="shared" ca="1" si="37"/>
        <v>#VALUE!</v>
      </c>
      <c r="P198" s="1011" t="e">
        <f t="shared" ca="1" si="37"/>
        <v>#VALUE!</v>
      </c>
      <c r="Q198" s="1011" t="e">
        <f t="shared" ca="1" si="37"/>
        <v>#VALUE!</v>
      </c>
      <c r="R198" s="1011" t="e">
        <f t="shared" ca="1" si="37"/>
        <v>#VALUE!</v>
      </c>
      <c r="S198" s="1011" t="e">
        <f t="shared" ca="1" si="37"/>
        <v>#VALUE!</v>
      </c>
      <c r="T198" s="1011" t="e">
        <f t="shared" ca="1" si="37"/>
        <v>#VALUE!</v>
      </c>
      <c r="U198" s="1011" t="e">
        <f t="shared" ca="1" si="37"/>
        <v>#VALUE!</v>
      </c>
      <c r="V198" s="1011" t="e">
        <f t="shared" ca="1" si="37"/>
        <v>#VALUE!</v>
      </c>
      <c r="W198" s="1011" t="e">
        <f t="shared" ca="1" si="37"/>
        <v>#VALUE!</v>
      </c>
    </row>
    <row r="199" spans="1:23" x14ac:dyDescent="0.2">
      <c r="B199" s="1019" t="s">
        <v>610</v>
      </c>
      <c r="C199" s="1011" t="e">
        <f t="shared" ref="C199:W199" ca="1" si="38">STDEV(C193:C197)/C198*100</f>
        <v>#VALUE!</v>
      </c>
      <c r="D199" s="1011" t="e">
        <f t="shared" ca="1" si="38"/>
        <v>#VALUE!</v>
      </c>
      <c r="E199" s="1011" t="e">
        <f t="shared" ca="1" si="38"/>
        <v>#VALUE!</v>
      </c>
      <c r="F199" s="1011" t="e">
        <f t="shared" ca="1" si="38"/>
        <v>#VALUE!</v>
      </c>
      <c r="G199" s="1011" t="e">
        <f t="shared" ca="1" si="38"/>
        <v>#VALUE!</v>
      </c>
      <c r="H199" s="1011" t="e">
        <f t="shared" ca="1" si="38"/>
        <v>#VALUE!</v>
      </c>
      <c r="I199" s="1011" t="e">
        <f t="shared" ca="1" si="38"/>
        <v>#VALUE!</v>
      </c>
      <c r="J199" s="1011" t="e">
        <f t="shared" ca="1" si="38"/>
        <v>#VALUE!</v>
      </c>
      <c r="K199" s="1011" t="e">
        <f t="shared" ca="1" si="38"/>
        <v>#VALUE!</v>
      </c>
      <c r="L199" s="1011" t="e">
        <f t="shared" ca="1" si="38"/>
        <v>#VALUE!</v>
      </c>
      <c r="M199" s="1011" t="e">
        <f t="shared" ca="1" si="38"/>
        <v>#VALUE!</v>
      </c>
      <c r="N199" s="1011" t="e">
        <f t="shared" ca="1" si="38"/>
        <v>#VALUE!</v>
      </c>
      <c r="O199" s="1011" t="e">
        <f t="shared" ca="1" si="38"/>
        <v>#VALUE!</v>
      </c>
      <c r="P199" s="1011" t="e">
        <f t="shared" ca="1" si="38"/>
        <v>#VALUE!</v>
      </c>
      <c r="Q199" s="1011" t="e">
        <f t="shared" ca="1" si="38"/>
        <v>#VALUE!</v>
      </c>
      <c r="R199" s="1011" t="e">
        <f t="shared" ca="1" si="38"/>
        <v>#VALUE!</v>
      </c>
      <c r="S199" s="1011" t="e">
        <f t="shared" ca="1" si="38"/>
        <v>#VALUE!</v>
      </c>
      <c r="T199" s="1011" t="e">
        <f t="shared" ca="1" si="38"/>
        <v>#VALUE!</v>
      </c>
      <c r="U199" s="1011" t="e">
        <f t="shared" ca="1" si="38"/>
        <v>#VALUE!</v>
      </c>
      <c r="V199" s="1011" t="e">
        <f t="shared" ca="1" si="38"/>
        <v>#VALUE!</v>
      </c>
      <c r="W199" s="1011" t="e">
        <f t="shared" ca="1" si="38"/>
        <v>#VALUE!</v>
      </c>
    </row>
    <row r="214" spans="2:24" x14ac:dyDescent="0.2">
      <c r="C214" s="577" t="str">
        <f t="shared" ref="C214:W214" si="39">C172</f>
        <v>A</v>
      </c>
      <c r="D214" s="577" t="str">
        <f t="shared" si="39"/>
        <v>B</v>
      </c>
      <c r="E214" s="577" t="str">
        <f t="shared" si="39"/>
        <v>C</v>
      </c>
      <c r="F214" s="577" t="str">
        <f t="shared" si="39"/>
        <v>D</v>
      </c>
      <c r="G214" s="577" t="str">
        <f t="shared" si="39"/>
        <v>E</v>
      </c>
      <c r="H214" s="577" t="str">
        <f t="shared" si="39"/>
        <v>F</v>
      </c>
      <c r="I214" s="577" t="str">
        <f t="shared" si="39"/>
        <v>G</v>
      </c>
      <c r="J214" s="577" t="str">
        <f t="shared" si="39"/>
        <v>H</v>
      </c>
      <c r="K214" s="577" t="str">
        <f t="shared" si="39"/>
        <v>I</v>
      </c>
      <c r="L214" s="577" t="str">
        <f t="shared" si="39"/>
        <v>J</v>
      </c>
      <c r="M214" s="577" t="str">
        <f t="shared" si="39"/>
        <v>K</v>
      </c>
      <c r="N214" s="577" t="str">
        <f t="shared" si="39"/>
        <v>L</v>
      </c>
      <c r="O214" s="577" t="str">
        <f t="shared" si="39"/>
        <v>M</v>
      </c>
      <c r="P214" s="577" t="str">
        <f t="shared" si="39"/>
        <v>N</v>
      </c>
      <c r="Q214" s="577" t="str">
        <f t="shared" si="39"/>
        <v>O</v>
      </c>
      <c r="R214" s="577" t="str">
        <f t="shared" si="39"/>
        <v>P</v>
      </c>
      <c r="S214" s="577" t="str">
        <f t="shared" si="39"/>
        <v>Q</v>
      </c>
      <c r="T214" s="577" t="str">
        <f t="shared" si="39"/>
        <v>R</v>
      </c>
      <c r="U214" s="577" t="str">
        <f t="shared" si="39"/>
        <v>S</v>
      </c>
      <c r="V214" s="577" t="str">
        <f t="shared" si="39"/>
        <v>T</v>
      </c>
      <c r="W214" s="577" t="str">
        <f t="shared" si="39"/>
        <v>U</v>
      </c>
    </row>
    <row r="215" spans="2:24" x14ac:dyDescent="0.2">
      <c r="B215" s="577">
        <v>1</v>
      </c>
      <c r="C215" s="1016">
        <f t="shared" ref="C215:W215" ca="1" si="40">C58</f>
        <v>0.99220253991074814</v>
      </c>
      <c r="D215" s="1016">
        <f t="shared" ca="1" si="40"/>
        <v>0.95357299648520666</v>
      </c>
      <c r="E215" s="1016">
        <f t="shared" ca="1" si="40"/>
        <v>0.89743343072590154</v>
      </c>
      <c r="F215" s="1016">
        <f t="shared" ca="1" si="40"/>
        <v>0.85420619360221628</v>
      </c>
      <c r="G215" s="1016">
        <f t="shared" ca="1" si="40"/>
        <v>0.7824421522725149</v>
      </c>
      <c r="H215" s="1016">
        <f t="shared" ca="1" si="40"/>
        <v>0.99220253991074814</v>
      </c>
      <c r="I215" s="1016">
        <f t="shared" ca="1" si="40"/>
        <v>0.95357299648520666</v>
      </c>
      <c r="J215" s="1016">
        <f t="shared" ca="1" si="40"/>
        <v>0.89743343072590154</v>
      </c>
      <c r="K215" s="1016">
        <f t="shared" ca="1" si="40"/>
        <v>0.85420619360221628</v>
      </c>
      <c r="L215" s="1016">
        <f t="shared" ca="1" si="40"/>
        <v>0.7824421522725149</v>
      </c>
      <c r="M215" s="1016">
        <f t="shared" ca="1" si="40"/>
        <v>0.99220253991074814</v>
      </c>
      <c r="N215" s="1016">
        <f t="shared" ca="1" si="40"/>
        <v>0.95357299648520666</v>
      </c>
      <c r="O215" s="1016">
        <f t="shared" ca="1" si="40"/>
        <v>0.89743343072590154</v>
      </c>
      <c r="P215" s="1016">
        <f t="shared" ca="1" si="40"/>
        <v>0.85420619360221628</v>
      </c>
      <c r="Q215" s="1016">
        <f t="shared" ca="1" si="40"/>
        <v>0.7824421522725149</v>
      </c>
      <c r="R215" s="1016">
        <f t="shared" ca="1" si="40"/>
        <v>0.81470531708474003</v>
      </c>
      <c r="S215" s="1016">
        <f t="shared" ca="1" si="40"/>
        <v>0.84217265692628518</v>
      </c>
      <c r="T215" s="1016">
        <f t="shared" ca="1" si="40"/>
        <v>0</v>
      </c>
      <c r="U215" s="1016">
        <f t="shared" ca="1" si="40"/>
        <v>0</v>
      </c>
      <c r="V215" s="1016">
        <f t="shared" ca="1" si="40"/>
        <v>0</v>
      </c>
      <c r="W215" s="1016">
        <f t="shared" ca="1" si="40"/>
        <v>0</v>
      </c>
      <c r="X215" s="1016"/>
    </row>
    <row r="216" spans="2:24" x14ac:dyDescent="0.2">
      <c r="B216" s="577">
        <v>2</v>
      </c>
      <c r="C216" s="1016">
        <f t="shared" ref="C216:W216" ca="1" si="41">C68</f>
        <v>1.0327537774212088</v>
      </c>
      <c r="D216" s="1016">
        <f t="shared" ca="1" si="41"/>
        <v>0.9924752791836331</v>
      </c>
      <c r="E216" s="1016">
        <f t="shared" ca="1" si="41"/>
        <v>0.93393885345039873</v>
      </c>
      <c r="F216" s="1016">
        <f t="shared" ca="1" si="41"/>
        <v>0.88885489366760184</v>
      </c>
      <c r="G216" s="1016">
        <f t="shared" ca="1" si="41"/>
        <v>0.81393959173059971</v>
      </c>
      <c r="H216" s="1016">
        <f t="shared" ca="1" si="41"/>
        <v>1.0327537774212088</v>
      </c>
      <c r="I216" s="1016">
        <f t="shared" ca="1" si="41"/>
        <v>0.9924752791836331</v>
      </c>
      <c r="J216" s="1016">
        <f t="shared" ca="1" si="41"/>
        <v>0.93393885345039873</v>
      </c>
      <c r="K216" s="1016">
        <f t="shared" ca="1" si="41"/>
        <v>0.88885489366760184</v>
      </c>
      <c r="L216" s="1016">
        <f t="shared" ca="1" si="41"/>
        <v>0.81393959173059971</v>
      </c>
      <c r="M216" s="1016">
        <f t="shared" ca="1" si="41"/>
        <v>1.0327537774212088</v>
      </c>
      <c r="N216" s="1016">
        <f t="shared" ca="1" si="41"/>
        <v>0.9924752791836331</v>
      </c>
      <c r="O216" s="1016">
        <f t="shared" ca="1" si="41"/>
        <v>0.93393885345039873</v>
      </c>
      <c r="P216" s="1016">
        <f t="shared" ca="1" si="41"/>
        <v>0.88885489366760184</v>
      </c>
      <c r="Q216" s="1016">
        <f t="shared" ca="1" si="41"/>
        <v>0.81393959173059971</v>
      </c>
      <c r="R216" s="1016">
        <f t="shared" ca="1" si="41"/>
        <v>0.84761299375066912</v>
      </c>
      <c r="S216" s="1016">
        <f t="shared" ca="1" si="41"/>
        <v>0.8763015872321549</v>
      </c>
      <c r="T216" s="1016">
        <f t="shared" ca="1" si="41"/>
        <v>0</v>
      </c>
      <c r="U216" s="1016">
        <f t="shared" ca="1" si="41"/>
        <v>0</v>
      </c>
      <c r="V216" s="1016">
        <f t="shared" ca="1" si="41"/>
        <v>0</v>
      </c>
      <c r="W216" s="1016">
        <f t="shared" ca="1" si="41"/>
        <v>0</v>
      </c>
      <c r="X216" s="1016"/>
    </row>
    <row r="217" spans="2:24" x14ac:dyDescent="0.2">
      <c r="B217" s="577">
        <v>3</v>
      </c>
      <c r="C217" s="1016">
        <f t="shared" ref="C217:W217" ca="1" si="42">C78</f>
        <v>1.0699651998453039</v>
      </c>
      <c r="D217" s="1016">
        <f t="shared" ca="1" si="42"/>
        <v>1.0281485143752143</v>
      </c>
      <c r="E217" s="1016">
        <f t="shared" ca="1" si="42"/>
        <v>0.96737678537941196</v>
      </c>
      <c r="F217" s="1016">
        <f t="shared" ca="1" si="42"/>
        <v>0.92055834919123858</v>
      </c>
      <c r="G217" s="1016">
        <f t="shared" ca="1" si="42"/>
        <v>0.84266090270285066</v>
      </c>
      <c r="H217" s="1016">
        <f t="shared" ca="1" si="42"/>
        <v>1.0699651998453039</v>
      </c>
      <c r="I217" s="1016">
        <f t="shared" ca="1" si="42"/>
        <v>1.0281485143752143</v>
      </c>
      <c r="J217" s="1016">
        <f t="shared" ca="1" si="42"/>
        <v>0.96737678537941196</v>
      </c>
      <c r="K217" s="1016">
        <f t="shared" ca="1" si="42"/>
        <v>0.92055834919123858</v>
      </c>
      <c r="L217" s="1016">
        <f t="shared" ca="1" si="42"/>
        <v>0.84266090270285066</v>
      </c>
      <c r="M217" s="1016">
        <f t="shared" ca="1" si="42"/>
        <v>1.0699651998453039</v>
      </c>
      <c r="N217" s="1016">
        <f t="shared" ca="1" si="42"/>
        <v>1.0281485143752143</v>
      </c>
      <c r="O217" s="1016">
        <f t="shared" ca="1" si="42"/>
        <v>0.96737678537941196</v>
      </c>
      <c r="P217" s="1016">
        <f t="shared" ca="1" si="42"/>
        <v>0.92055834919123858</v>
      </c>
      <c r="Q217" s="1016">
        <f t="shared" ca="1" si="42"/>
        <v>0.84266090270285066</v>
      </c>
      <c r="R217" s="1016">
        <f t="shared" ca="1" si="42"/>
        <v>0.87766905230235603</v>
      </c>
      <c r="S217" s="1016">
        <f t="shared" ca="1" si="42"/>
        <v>0.90751401169254176</v>
      </c>
      <c r="T217" s="1016">
        <f t="shared" ca="1" si="42"/>
        <v>0</v>
      </c>
      <c r="U217" s="1016">
        <f t="shared" ca="1" si="42"/>
        <v>0</v>
      </c>
      <c r="V217" s="1016">
        <f t="shared" ca="1" si="42"/>
        <v>0</v>
      </c>
      <c r="W217" s="1016">
        <f t="shared" ca="1" si="42"/>
        <v>0</v>
      </c>
      <c r="X217" s="1016"/>
    </row>
    <row r="218" spans="2:24" x14ac:dyDescent="0.2">
      <c r="B218" s="577">
        <v>4</v>
      </c>
      <c r="C218" s="1016">
        <f t="shared" ref="C218:W218" ca="1" si="43">C88</f>
        <v>1.1256733361052425</v>
      </c>
      <c r="D218" s="1016">
        <f t="shared" ca="1" si="43"/>
        <v>1.0816024938147069</v>
      </c>
      <c r="E218" s="1016">
        <f t="shared" ca="1" si="43"/>
        <v>1.0175544209975602</v>
      </c>
      <c r="F218" s="1016">
        <f t="shared" ca="1" si="43"/>
        <v>0.96819950494616569</v>
      </c>
      <c r="G218" s="1016">
        <f t="shared" ca="1" si="43"/>
        <v>0.88600350003970862</v>
      </c>
      <c r="H218" s="1016">
        <f t="shared" ca="1" si="43"/>
        <v>1.1256733361052425</v>
      </c>
      <c r="I218" s="1016">
        <f t="shared" ca="1" si="43"/>
        <v>1.0816024938147069</v>
      </c>
      <c r="J218" s="1016">
        <f t="shared" ca="1" si="43"/>
        <v>1.0175544209975602</v>
      </c>
      <c r="K218" s="1016">
        <f t="shared" ca="1" si="43"/>
        <v>0.96819950494616569</v>
      </c>
      <c r="L218" s="1016">
        <f t="shared" ca="1" si="43"/>
        <v>0.88600350003970862</v>
      </c>
      <c r="M218" s="1016">
        <f t="shared" ca="1" si="43"/>
        <v>1.1256733361052425</v>
      </c>
      <c r="N218" s="1016">
        <f t="shared" ca="1" si="43"/>
        <v>1.0816024938147069</v>
      </c>
      <c r="O218" s="1016">
        <f t="shared" ca="1" si="43"/>
        <v>1.0175544209975602</v>
      </c>
      <c r="P218" s="1016">
        <f t="shared" ca="1" si="43"/>
        <v>0.96819950494616569</v>
      </c>
      <c r="Q218" s="1016">
        <f t="shared" ca="1" si="43"/>
        <v>0.88600350003970862</v>
      </c>
      <c r="R218" s="1016">
        <f t="shared" ca="1" si="43"/>
        <v>0.92293767552699391</v>
      </c>
      <c r="S218" s="1016">
        <f t="shared" ca="1" si="43"/>
        <v>0.95444379124154788</v>
      </c>
      <c r="T218" s="1016">
        <f t="shared" ca="1" si="43"/>
        <v>0</v>
      </c>
      <c r="U218" s="1016">
        <f t="shared" ca="1" si="43"/>
        <v>0</v>
      </c>
      <c r="V218" s="1016">
        <f t="shared" ca="1" si="43"/>
        <v>0</v>
      </c>
      <c r="W218" s="1016">
        <f t="shared" ca="1" si="43"/>
        <v>0</v>
      </c>
      <c r="X218" s="1016"/>
    </row>
    <row r="219" spans="2:24" x14ac:dyDescent="0.2">
      <c r="B219" s="577">
        <v>5</v>
      </c>
      <c r="C219" s="1016">
        <f t="shared" ref="C219:W219" ca="1" si="44">C98</f>
        <v>1.1255121021108672</v>
      </c>
      <c r="D219" s="1016">
        <f t="shared" ca="1" si="44"/>
        <v>1.0813472744527308</v>
      </c>
      <c r="E219" s="1016">
        <f t="shared" ca="1" si="44"/>
        <v>1.0171620890884854</v>
      </c>
      <c r="F219" s="1016">
        <f t="shared" ca="1" si="44"/>
        <v>0.9676855844786505</v>
      </c>
      <c r="G219" s="1016">
        <f t="shared" ca="1" si="44"/>
        <v>0.88518560697460058</v>
      </c>
      <c r="H219" s="1016">
        <f t="shared" ca="1" si="44"/>
        <v>1.1255121021108672</v>
      </c>
      <c r="I219" s="1016">
        <f t="shared" ca="1" si="44"/>
        <v>1.0813472744527308</v>
      </c>
      <c r="J219" s="1016">
        <f t="shared" ca="1" si="44"/>
        <v>1.0171620890884854</v>
      </c>
      <c r="K219" s="1016">
        <f t="shared" ca="1" si="44"/>
        <v>0.9676855844786505</v>
      </c>
      <c r="L219" s="1016">
        <f t="shared" ca="1" si="44"/>
        <v>0.88518560697460058</v>
      </c>
      <c r="M219" s="1016">
        <f t="shared" ca="1" si="44"/>
        <v>1.1255121021108672</v>
      </c>
      <c r="N219" s="1016">
        <f t="shared" ca="1" si="44"/>
        <v>1.0813472744527308</v>
      </c>
      <c r="O219" s="1016">
        <f t="shared" ca="1" si="44"/>
        <v>1.0171620890884854</v>
      </c>
      <c r="P219" s="1016">
        <f t="shared" ca="1" si="44"/>
        <v>0.9676855844786505</v>
      </c>
      <c r="Q219" s="1016">
        <f t="shared" ca="1" si="44"/>
        <v>0.88518560697460058</v>
      </c>
      <c r="R219" s="1016">
        <f t="shared" ca="1" si="44"/>
        <v>0.92224839867368047</v>
      </c>
      <c r="S219" s="1016">
        <f t="shared" ca="1" si="44"/>
        <v>0.9538903086693894</v>
      </c>
      <c r="T219" s="1016">
        <f t="shared" ca="1" si="44"/>
        <v>0</v>
      </c>
      <c r="U219" s="1016">
        <f t="shared" ca="1" si="44"/>
        <v>0</v>
      </c>
      <c r="V219" s="1016">
        <f t="shared" ca="1" si="44"/>
        <v>0</v>
      </c>
      <c r="W219" s="1016">
        <f t="shared" ca="1" si="44"/>
        <v>0</v>
      </c>
      <c r="X219" s="1016"/>
    </row>
    <row r="220" spans="2:24" x14ac:dyDescent="0.2">
      <c r="B220" s="577">
        <v>6</v>
      </c>
      <c r="C220" s="1016">
        <f t="shared" ref="C220:W220" ca="1" si="45">C108</f>
        <v>1.1621703205060019</v>
      </c>
      <c r="D220" s="1016">
        <f t="shared" ca="1" si="45"/>
        <v>1.1164697468574849</v>
      </c>
      <c r="E220" s="1016">
        <f t="shared" ca="1" si="45"/>
        <v>1.0500527075097554</v>
      </c>
      <c r="F220" s="1016">
        <f t="shared" ca="1" si="45"/>
        <v>0.99884183664642789</v>
      </c>
      <c r="G220" s="1016">
        <f t="shared" ca="1" si="45"/>
        <v>0.91334334226366853</v>
      </c>
      <c r="H220" s="1016">
        <f t="shared" ca="1" si="45"/>
        <v>1.1621703205060019</v>
      </c>
      <c r="I220" s="1016">
        <f t="shared" ca="1" si="45"/>
        <v>1.1164697468574849</v>
      </c>
      <c r="J220" s="1016">
        <f t="shared" ca="1" si="45"/>
        <v>1.0500527075097554</v>
      </c>
      <c r="K220" s="1016">
        <f t="shared" ca="1" si="45"/>
        <v>0.99884183664642789</v>
      </c>
      <c r="L220" s="1016">
        <f t="shared" ca="1" si="45"/>
        <v>0.91334334226366853</v>
      </c>
      <c r="M220" s="1016">
        <f t="shared" ca="1" si="45"/>
        <v>1.1621703205060019</v>
      </c>
      <c r="N220" s="1016">
        <f t="shared" ca="1" si="45"/>
        <v>1.1164697468574849</v>
      </c>
      <c r="O220" s="1016">
        <f t="shared" ca="1" si="45"/>
        <v>1.0500527075097554</v>
      </c>
      <c r="P220" s="1016">
        <f t="shared" ca="1" si="45"/>
        <v>0.99884183664642789</v>
      </c>
      <c r="Q220" s="1016">
        <f t="shared" ca="1" si="45"/>
        <v>0.91334334226366853</v>
      </c>
      <c r="R220" s="1016">
        <f t="shared" ca="1" si="45"/>
        <v>0.95174451053185827</v>
      </c>
      <c r="S220" s="1016">
        <f t="shared" ca="1" si="45"/>
        <v>0.98455631489299533</v>
      </c>
      <c r="T220" s="1016">
        <f t="shared" ca="1" si="45"/>
        <v>0</v>
      </c>
      <c r="U220" s="1016">
        <f t="shared" ca="1" si="45"/>
        <v>0</v>
      </c>
      <c r="V220" s="1016">
        <f t="shared" ca="1" si="45"/>
        <v>0</v>
      </c>
      <c r="W220" s="1016">
        <f t="shared" ca="1" si="45"/>
        <v>0</v>
      </c>
      <c r="X220" s="1016"/>
    </row>
    <row r="221" spans="2:24" x14ac:dyDescent="0.2">
      <c r="B221" s="577">
        <v>7</v>
      </c>
      <c r="C221" s="1016" t="e">
        <f t="shared" ref="C221:W221" ca="1" si="46">C118</f>
        <v>#VALUE!</v>
      </c>
      <c r="D221" s="1016" t="e">
        <f t="shared" ca="1" si="46"/>
        <v>#VALUE!</v>
      </c>
      <c r="E221" s="1016" t="e">
        <f t="shared" ca="1" si="46"/>
        <v>#VALUE!</v>
      </c>
      <c r="F221" s="1016" t="e">
        <f t="shared" ca="1" si="46"/>
        <v>#VALUE!</v>
      </c>
      <c r="G221" s="1016" t="e">
        <f t="shared" ca="1" si="46"/>
        <v>#VALUE!</v>
      </c>
      <c r="H221" s="1016" t="e">
        <f t="shared" ca="1" si="46"/>
        <v>#VALUE!</v>
      </c>
      <c r="I221" s="1016" t="e">
        <f t="shared" ca="1" si="46"/>
        <v>#VALUE!</v>
      </c>
      <c r="J221" s="1016" t="e">
        <f t="shared" ca="1" si="46"/>
        <v>#VALUE!</v>
      </c>
      <c r="K221" s="1016" t="e">
        <f t="shared" ca="1" si="46"/>
        <v>#VALUE!</v>
      </c>
      <c r="L221" s="1016" t="e">
        <f t="shared" ca="1" si="46"/>
        <v>#VALUE!</v>
      </c>
      <c r="M221" s="1016" t="e">
        <f t="shared" ca="1" si="46"/>
        <v>#VALUE!</v>
      </c>
      <c r="N221" s="1016" t="e">
        <f t="shared" ca="1" si="46"/>
        <v>#VALUE!</v>
      </c>
      <c r="O221" s="1016" t="e">
        <f t="shared" ca="1" si="46"/>
        <v>#VALUE!</v>
      </c>
      <c r="P221" s="1016" t="e">
        <f t="shared" ca="1" si="46"/>
        <v>#VALUE!</v>
      </c>
      <c r="Q221" s="1016" t="e">
        <f t="shared" ca="1" si="46"/>
        <v>#VALUE!</v>
      </c>
      <c r="R221" s="1016" t="e">
        <f t="shared" ca="1" si="46"/>
        <v>#VALUE!</v>
      </c>
      <c r="S221" s="1016" t="e">
        <f t="shared" ca="1" si="46"/>
        <v>#VALUE!</v>
      </c>
      <c r="T221" s="1016" t="e">
        <f t="shared" ca="1" si="46"/>
        <v>#VALUE!</v>
      </c>
      <c r="U221" s="1016" t="e">
        <f t="shared" ca="1" si="46"/>
        <v>#VALUE!</v>
      </c>
      <c r="V221" s="1016" t="e">
        <f t="shared" ca="1" si="46"/>
        <v>#VALUE!</v>
      </c>
      <c r="W221" s="1016" t="e">
        <f t="shared" ca="1" si="46"/>
        <v>#VALUE!</v>
      </c>
      <c r="X221" s="1016"/>
    </row>
    <row r="222" spans="2:24" x14ac:dyDescent="0.2">
      <c r="B222" s="577">
        <v>8</v>
      </c>
      <c r="C222" s="1016" t="e">
        <f t="shared" ref="C222:W222" ca="1" si="47">C128</f>
        <v>#VALUE!</v>
      </c>
      <c r="D222" s="1016" t="e">
        <f t="shared" ca="1" si="47"/>
        <v>#VALUE!</v>
      </c>
      <c r="E222" s="1016" t="e">
        <f t="shared" ca="1" si="47"/>
        <v>#VALUE!</v>
      </c>
      <c r="F222" s="1016" t="e">
        <f t="shared" ca="1" si="47"/>
        <v>#VALUE!</v>
      </c>
      <c r="G222" s="1016" t="e">
        <f t="shared" ca="1" si="47"/>
        <v>#VALUE!</v>
      </c>
      <c r="H222" s="1016" t="e">
        <f t="shared" ca="1" si="47"/>
        <v>#VALUE!</v>
      </c>
      <c r="I222" s="1016" t="e">
        <f t="shared" ca="1" si="47"/>
        <v>#VALUE!</v>
      </c>
      <c r="J222" s="1016" t="e">
        <f t="shared" ca="1" si="47"/>
        <v>#VALUE!</v>
      </c>
      <c r="K222" s="1016" t="e">
        <f t="shared" ca="1" si="47"/>
        <v>#VALUE!</v>
      </c>
      <c r="L222" s="1016" t="e">
        <f t="shared" ca="1" si="47"/>
        <v>#VALUE!</v>
      </c>
      <c r="M222" s="1016" t="e">
        <f t="shared" ca="1" si="47"/>
        <v>#VALUE!</v>
      </c>
      <c r="N222" s="1016" t="e">
        <f t="shared" ca="1" si="47"/>
        <v>#VALUE!</v>
      </c>
      <c r="O222" s="1016" t="e">
        <f t="shared" ca="1" si="47"/>
        <v>#VALUE!</v>
      </c>
      <c r="P222" s="1016" t="e">
        <f t="shared" ca="1" si="47"/>
        <v>#VALUE!</v>
      </c>
      <c r="Q222" s="1016" t="e">
        <f t="shared" ca="1" si="47"/>
        <v>#VALUE!</v>
      </c>
      <c r="R222" s="1016" t="e">
        <f t="shared" ca="1" si="47"/>
        <v>#VALUE!</v>
      </c>
      <c r="S222" s="1016" t="e">
        <f t="shared" ca="1" si="47"/>
        <v>#VALUE!</v>
      </c>
      <c r="T222" s="1016" t="e">
        <f t="shared" ca="1" si="47"/>
        <v>#VALUE!</v>
      </c>
      <c r="U222" s="1016" t="e">
        <f t="shared" ca="1" si="47"/>
        <v>#VALUE!</v>
      </c>
      <c r="V222" s="1016" t="e">
        <f t="shared" ca="1" si="47"/>
        <v>#VALUE!</v>
      </c>
      <c r="W222" s="1016" t="e">
        <f t="shared" ca="1" si="47"/>
        <v>#VALUE!</v>
      </c>
      <c r="X222" s="1016"/>
    </row>
    <row r="223" spans="2:24" x14ac:dyDescent="0.2">
      <c r="B223" s="577">
        <v>9</v>
      </c>
      <c r="C223" s="1016" t="e">
        <f t="shared" ref="C223:W223" ca="1" si="48">C138</f>
        <v>#VALUE!</v>
      </c>
      <c r="D223" s="1016" t="e">
        <f t="shared" ca="1" si="48"/>
        <v>#VALUE!</v>
      </c>
      <c r="E223" s="1016" t="e">
        <f t="shared" ca="1" si="48"/>
        <v>#VALUE!</v>
      </c>
      <c r="F223" s="1016" t="e">
        <f t="shared" ca="1" si="48"/>
        <v>#VALUE!</v>
      </c>
      <c r="G223" s="1016" t="e">
        <f t="shared" ca="1" si="48"/>
        <v>#VALUE!</v>
      </c>
      <c r="H223" s="1016" t="e">
        <f t="shared" ca="1" si="48"/>
        <v>#VALUE!</v>
      </c>
      <c r="I223" s="1016" t="e">
        <f t="shared" ca="1" si="48"/>
        <v>#VALUE!</v>
      </c>
      <c r="J223" s="1016" t="e">
        <f t="shared" ca="1" si="48"/>
        <v>#VALUE!</v>
      </c>
      <c r="K223" s="1016" t="e">
        <f t="shared" ca="1" si="48"/>
        <v>#VALUE!</v>
      </c>
      <c r="L223" s="1016" t="e">
        <f t="shared" ca="1" si="48"/>
        <v>#VALUE!</v>
      </c>
      <c r="M223" s="1016" t="e">
        <f t="shared" ca="1" si="48"/>
        <v>#VALUE!</v>
      </c>
      <c r="N223" s="1016" t="e">
        <f t="shared" ca="1" si="48"/>
        <v>#VALUE!</v>
      </c>
      <c r="O223" s="1016" t="e">
        <f t="shared" ca="1" si="48"/>
        <v>#VALUE!</v>
      </c>
      <c r="P223" s="1016" t="e">
        <f t="shared" ca="1" si="48"/>
        <v>#VALUE!</v>
      </c>
      <c r="Q223" s="1016" t="e">
        <f t="shared" ca="1" si="48"/>
        <v>#VALUE!</v>
      </c>
      <c r="R223" s="1016" t="e">
        <f t="shared" ca="1" si="48"/>
        <v>#VALUE!</v>
      </c>
      <c r="S223" s="1016" t="e">
        <f t="shared" ca="1" si="48"/>
        <v>#VALUE!</v>
      </c>
      <c r="T223" s="1016" t="e">
        <f t="shared" ca="1" si="48"/>
        <v>#VALUE!</v>
      </c>
      <c r="U223" s="1016" t="e">
        <f t="shared" ca="1" si="48"/>
        <v>#VALUE!</v>
      </c>
      <c r="V223" s="1016" t="e">
        <f t="shared" ca="1" si="48"/>
        <v>#VALUE!</v>
      </c>
      <c r="W223" s="1016" t="e">
        <f t="shared" ca="1" si="48"/>
        <v>#VALUE!</v>
      </c>
      <c r="X223" s="1016"/>
    </row>
    <row r="224" spans="2:24" x14ac:dyDescent="0.2">
      <c r="B224" s="577">
        <v>10</v>
      </c>
      <c r="C224" s="1016" t="e">
        <f t="shared" ref="C224:W224" ca="1" si="49">C148</f>
        <v>#VALUE!</v>
      </c>
      <c r="D224" s="1016" t="e">
        <f t="shared" ca="1" si="49"/>
        <v>#VALUE!</v>
      </c>
      <c r="E224" s="1016" t="e">
        <f t="shared" ca="1" si="49"/>
        <v>#VALUE!</v>
      </c>
      <c r="F224" s="1016" t="e">
        <f t="shared" ca="1" si="49"/>
        <v>#VALUE!</v>
      </c>
      <c r="G224" s="1016" t="e">
        <f t="shared" ca="1" si="49"/>
        <v>#VALUE!</v>
      </c>
      <c r="H224" s="1016" t="e">
        <f t="shared" ca="1" si="49"/>
        <v>#VALUE!</v>
      </c>
      <c r="I224" s="1016" t="e">
        <f t="shared" ca="1" si="49"/>
        <v>#VALUE!</v>
      </c>
      <c r="J224" s="1016" t="e">
        <f t="shared" ca="1" si="49"/>
        <v>#VALUE!</v>
      </c>
      <c r="K224" s="1016" t="e">
        <f t="shared" ca="1" si="49"/>
        <v>#VALUE!</v>
      </c>
      <c r="L224" s="1016" t="e">
        <f t="shared" ca="1" si="49"/>
        <v>#VALUE!</v>
      </c>
      <c r="M224" s="1016" t="e">
        <f t="shared" ca="1" si="49"/>
        <v>#VALUE!</v>
      </c>
      <c r="N224" s="1016" t="e">
        <f t="shared" ca="1" si="49"/>
        <v>#VALUE!</v>
      </c>
      <c r="O224" s="1016" t="e">
        <f t="shared" ca="1" si="49"/>
        <v>#VALUE!</v>
      </c>
      <c r="P224" s="1016" t="e">
        <f t="shared" ca="1" si="49"/>
        <v>#VALUE!</v>
      </c>
      <c r="Q224" s="1016" t="e">
        <f t="shared" ca="1" si="49"/>
        <v>#VALUE!</v>
      </c>
      <c r="R224" s="1016" t="e">
        <f t="shared" ca="1" si="49"/>
        <v>#VALUE!</v>
      </c>
      <c r="S224" s="1016" t="e">
        <f t="shared" ca="1" si="49"/>
        <v>#VALUE!</v>
      </c>
      <c r="T224" s="1016" t="e">
        <f t="shared" ca="1" si="49"/>
        <v>#VALUE!</v>
      </c>
      <c r="U224" s="1016" t="e">
        <f t="shared" ca="1" si="49"/>
        <v>#VALUE!</v>
      </c>
      <c r="V224" s="1016" t="e">
        <f t="shared" ca="1" si="49"/>
        <v>#VALUE!</v>
      </c>
      <c r="W224" s="1016" t="e">
        <f t="shared" ca="1" si="49"/>
        <v>#VALUE!</v>
      </c>
      <c r="X224" s="1016"/>
    </row>
    <row r="225" spans="2:24" x14ac:dyDescent="0.2">
      <c r="B225" s="577">
        <v>11</v>
      </c>
      <c r="C225" s="1016" t="e">
        <f t="shared" ref="C225:W225" ca="1" si="50">C158</f>
        <v>#VALUE!</v>
      </c>
      <c r="D225" s="1016" t="e">
        <f t="shared" ca="1" si="50"/>
        <v>#VALUE!</v>
      </c>
      <c r="E225" s="1016" t="e">
        <f t="shared" ca="1" si="50"/>
        <v>#VALUE!</v>
      </c>
      <c r="F225" s="1016" t="e">
        <f t="shared" ca="1" si="50"/>
        <v>#VALUE!</v>
      </c>
      <c r="G225" s="1016" t="e">
        <f t="shared" ca="1" si="50"/>
        <v>#VALUE!</v>
      </c>
      <c r="H225" s="1016" t="e">
        <f t="shared" ca="1" si="50"/>
        <v>#VALUE!</v>
      </c>
      <c r="I225" s="1016" t="e">
        <f t="shared" ca="1" si="50"/>
        <v>#VALUE!</v>
      </c>
      <c r="J225" s="1016" t="e">
        <f t="shared" ca="1" si="50"/>
        <v>#VALUE!</v>
      </c>
      <c r="K225" s="1016" t="e">
        <f t="shared" ca="1" si="50"/>
        <v>#VALUE!</v>
      </c>
      <c r="L225" s="1016" t="e">
        <f t="shared" ca="1" si="50"/>
        <v>#VALUE!</v>
      </c>
      <c r="M225" s="1016" t="e">
        <f t="shared" ca="1" si="50"/>
        <v>#VALUE!</v>
      </c>
      <c r="N225" s="1016" t="e">
        <f t="shared" ca="1" si="50"/>
        <v>#VALUE!</v>
      </c>
      <c r="O225" s="1016" t="e">
        <f t="shared" ca="1" si="50"/>
        <v>#VALUE!</v>
      </c>
      <c r="P225" s="1016" t="e">
        <f t="shared" ca="1" si="50"/>
        <v>#VALUE!</v>
      </c>
      <c r="Q225" s="1016" t="e">
        <f t="shared" ca="1" si="50"/>
        <v>#VALUE!</v>
      </c>
      <c r="R225" s="1016" t="e">
        <f t="shared" ca="1" si="50"/>
        <v>#VALUE!</v>
      </c>
      <c r="S225" s="1016" t="e">
        <f t="shared" ca="1" si="50"/>
        <v>#VALUE!</v>
      </c>
      <c r="T225" s="1016" t="e">
        <f t="shared" ca="1" si="50"/>
        <v>#VALUE!</v>
      </c>
      <c r="U225" s="1016" t="e">
        <f t="shared" ca="1" si="50"/>
        <v>#VALUE!</v>
      </c>
      <c r="V225" s="1016" t="e">
        <f t="shared" ca="1" si="50"/>
        <v>#VALUE!</v>
      </c>
      <c r="W225" s="1016" t="e">
        <f t="shared" ca="1" si="50"/>
        <v>#VALUE!</v>
      </c>
      <c r="X225" s="1016"/>
    </row>
    <row r="226" spans="2:24" x14ac:dyDescent="0.2">
      <c r="B226" s="577">
        <v>12</v>
      </c>
      <c r="C226" s="1016" t="e">
        <f t="shared" ref="C226:W226" ca="1" si="51">C168</f>
        <v>#VALUE!</v>
      </c>
      <c r="D226" s="1016" t="e">
        <f t="shared" ca="1" si="51"/>
        <v>#VALUE!</v>
      </c>
      <c r="E226" s="1016" t="e">
        <f t="shared" ca="1" si="51"/>
        <v>#VALUE!</v>
      </c>
      <c r="F226" s="1016" t="e">
        <f t="shared" ca="1" si="51"/>
        <v>#VALUE!</v>
      </c>
      <c r="G226" s="1016" t="e">
        <f t="shared" ca="1" si="51"/>
        <v>#VALUE!</v>
      </c>
      <c r="H226" s="1016" t="e">
        <f t="shared" ca="1" si="51"/>
        <v>#VALUE!</v>
      </c>
      <c r="I226" s="1016" t="e">
        <f t="shared" ca="1" si="51"/>
        <v>#VALUE!</v>
      </c>
      <c r="J226" s="1016" t="e">
        <f t="shared" ca="1" si="51"/>
        <v>#VALUE!</v>
      </c>
      <c r="K226" s="1016" t="e">
        <f t="shared" ca="1" si="51"/>
        <v>#VALUE!</v>
      </c>
      <c r="L226" s="1016" t="e">
        <f t="shared" ca="1" si="51"/>
        <v>#VALUE!</v>
      </c>
      <c r="M226" s="1016" t="e">
        <f t="shared" ca="1" si="51"/>
        <v>#VALUE!</v>
      </c>
      <c r="N226" s="1016" t="e">
        <f t="shared" ca="1" si="51"/>
        <v>#VALUE!</v>
      </c>
      <c r="O226" s="1016" t="e">
        <f t="shared" ca="1" si="51"/>
        <v>#VALUE!</v>
      </c>
      <c r="P226" s="1016" t="e">
        <f t="shared" ca="1" si="51"/>
        <v>#VALUE!</v>
      </c>
      <c r="Q226" s="1016" t="e">
        <f t="shared" ca="1" si="51"/>
        <v>#VALUE!</v>
      </c>
      <c r="R226" s="1016" t="e">
        <f t="shared" ca="1" si="51"/>
        <v>#VALUE!</v>
      </c>
      <c r="S226" s="1016" t="e">
        <f t="shared" ca="1" si="51"/>
        <v>#VALUE!</v>
      </c>
      <c r="T226" s="1016" t="e">
        <f t="shared" ca="1" si="51"/>
        <v>#VALUE!</v>
      </c>
      <c r="U226" s="1016" t="e">
        <f t="shared" ca="1" si="51"/>
        <v>#VALUE!</v>
      </c>
      <c r="V226" s="1016" t="e">
        <f t="shared" ca="1" si="51"/>
        <v>#VALUE!</v>
      </c>
      <c r="W226" s="1016" t="e">
        <f t="shared" ca="1" si="51"/>
        <v>#VALUE!</v>
      </c>
      <c r="X226" s="1016"/>
    </row>
    <row r="227" spans="2:24" x14ac:dyDescent="0.2">
      <c r="B227" s="577">
        <v>13</v>
      </c>
      <c r="C227" s="1016" t="e">
        <f t="shared" ref="C227:W227" ca="1" si="52">C178</f>
        <v>#VALUE!</v>
      </c>
      <c r="D227" s="1016" t="e">
        <f t="shared" ca="1" si="52"/>
        <v>#VALUE!</v>
      </c>
      <c r="E227" s="1016" t="e">
        <f t="shared" ca="1" si="52"/>
        <v>#VALUE!</v>
      </c>
      <c r="F227" s="1016" t="e">
        <f t="shared" ca="1" si="52"/>
        <v>#VALUE!</v>
      </c>
      <c r="G227" s="1016" t="e">
        <f t="shared" ca="1" si="52"/>
        <v>#VALUE!</v>
      </c>
      <c r="H227" s="1016" t="e">
        <f t="shared" ca="1" si="52"/>
        <v>#VALUE!</v>
      </c>
      <c r="I227" s="1016" t="e">
        <f t="shared" ca="1" si="52"/>
        <v>#VALUE!</v>
      </c>
      <c r="J227" s="1016" t="e">
        <f t="shared" ca="1" si="52"/>
        <v>#VALUE!</v>
      </c>
      <c r="K227" s="1016" t="e">
        <f t="shared" ca="1" si="52"/>
        <v>#VALUE!</v>
      </c>
      <c r="L227" s="1016" t="e">
        <f t="shared" ca="1" si="52"/>
        <v>#VALUE!</v>
      </c>
      <c r="M227" s="1016" t="e">
        <f t="shared" ca="1" si="52"/>
        <v>#VALUE!</v>
      </c>
      <c r="N227" s="1016" t="e">
        <f t="shared" ca="1" si="52"/>
        <v>#VALUE!</v>
      </c>
      <c r="O227" s="1016" t="e">
        <f t="shared" ca="1" si="52"/>
        <v>#VALUE!</v>
      </c>
      <c r="P227" s="1016" t="e">
        <f t="shared" ca="1" si="52"/>
        <v>#VALUE!</v>
      </c>
      <c r="Q227" s="1016" t="e">
        <f t="shared" ca="1" si="52"/>
        <v>#VALUE!</v>
      </c>
      <c r="R227" s="1016" t="e">
        <f t="shared" ca="1" si="52"/>
        <v>#VALUE!</v>
      </c>
      <c r="S227" s="1016" t="e">
        <f t="shared" ca="1" si="52"/>
        <v>#VALUE!</v>
      </c>
      <c r="T227" s="1016" t="e">
        <f t="shared" ca="1" si="52"/>
        <v>#VALUE!</v>
      </c>
      <c r="U227" s="1016" t="e">
        <f t="shared" ca="1" si="52"/>
        <v>#VALUE!</v>
      </c>
      <c r="V227" s="1016" t="e">
        <f t="shared" ca="1" si="52"/>
        <v>#VALUE!</v>
      </c>
      <c r="W227" s="1016" t="e">
        <f t="shared" ca="1" si="52"/>
        <v>#VALUE!</v>
      </c>
      <c r="X227" s="1016"/>
    </row>
    <row r="228" spans="2:24" x14ac:dyDescent="0.2">
      <c r="B228" s="577">
        <v>14</v>
      </c>
      <c r="C228" s="1016" t="e">
        <f ca="1">C188</f>
        <v>#VALUE!</v>
      </c>
      <c r="D228" s="1016" t="e">
        <f t="shared" ref="D228:W228" ca="1" si="53">D188</f>
        <v>#VALUE!</v>
      </c>
      <c r="E228" s="1016" t="e">
        <f t="shared" ca="1" si="53"/>
        <v>#VALUE!</v>
      </c>
      <c r="F228" s="1016" t="e">
        <f t="shared" ca="1" si="53"/>
        <v>#VALUE!</v>
      </c>
      <c r="G228" s="1016" t="e">
        <f t="shared" ca="1" si="53"/>
        <v>#VALUE!</v>
      </c>
      <c r="H228" s="1016" t="e">
        <f t="shared" ca="1" si="53"/>
        <v>#VALUE!</v>
      </c>
      <c r="I228" s="1016" t="e">
        <f t="shared" ca="1" si="53"/>
        <v>#VALUE!</v>
      </c>
      <c r="J228" s="1016" t="e">
        <f t="shared" ca="1" si="53"/>
        <v>#VALUE!</v>
      </c>
      <c r="K228" s="1016" t="e">
        <f t="shared" ca="1" si="53"/>
        <v>#VALUE!</v>
      </c>
      <c r="L228" s="1016" t="e">
        <f t="shared" ca="1" si="53"/>
        <v>#VALUE!</v>
      </c>
      <c r="M228" s="1016" t="e">
        <f t="shared" ca="1" si="53"/>
        <v>#VALUE!</v>
      </c>
      <c r="N228" s="1016" t="e">
        <f t="shared" ca="1" si="53"/>
        <v>#VALUE!</v>
      </c>
      <c r="O228" s="1016" t="e">
        <f t="shared" ca="1" si="53"/>
        <v>#VALUE!</v>
      </c>
      <c r="P228" s="1016" t="e">
        <f t="shared" ca="1" si="53"/>
        <v>#VALUE!</v>
      </c>
      <c r="Q228" s="1016" t="e">
        <f t="shared" ca="1" si="53"/>
        <v>#VALUE!</v>
      </c>
      <c r="R228" s="1016" t="e">
        <f t="shared" ca="1" si="53"/>
        <v>#VALUE!</v>
      </c>
      <c r="S228" s="1016" t="e">
        <f t="shared" ca="1" si="53"/>
        <v>#VALUE!</v>
      </c>
      <c r="T228" s="1016" t="e">
        <f t="shared" ca="1" si="53"/>
        <v>#VALUE!</v>
      </c>
      <c r="U228" s="1016" t="e">
        <f t="shared" ca="1" si="53"/>
        <v>#VALUE!</v>
      </c>
      <c r="V228" s="1016" t="e">
        <f t="shared" ca="1" si="53"/>
        <v>#VALUE!</v>
      </c>
      <c r="W228" s="1016" t="e">
        <f t="shared" ca="1" si="53"/>
        <v>#VALUE!</v>
      </c>
      <c r="X228" s="1016"/>
    </row>
    <row r="229" spans="2:24" x14ac:dyDescent="0.2">
      <c r="B229" s="577">
        <v>15</v>
      </c>
      <c r="C229" s="1016" t="e">
        <f ca="1">C198</f>
        <v>#VALUE!</v>
      </c>
      <c r="D229" s="1016" t="e">
        <f t="shared" ref="D229:W229" ca="1" si="54">D198</f>
        <v>#VALUE!</v>
      </c>
      <c r="E229" s="1016" t="e">
        <f t="shared" ca="1" si="54"/>
        <v>#VALUE!</v>
      </c>
      <c r="F229" s="1016" t="e">
        <f t="shared" ca="1" si="54"/>
        <v>#VALUE!</v>
      </c>
      <c r="G229" s="1016" t="e">
        <f t="shared" ca="1" si="54"/>
        <v>#VALUE!</v>
      </c>
      <c r="H229" s="1016" t="e">
        <f t="shared" ca="1" si="54"/>
        <v>#VALUE!</v>
      </c>
      <c r="I229" s="1016" t="e">
        <f t="shared" ca="1" si="54"/>
        <v>#VALUE!</v>
      </c>
      <c r="J229" s="1016" t="e">
        <f t="shared" ca="1" si="54"/>
        <v>#VALUE!</v>
      </c>
      <c r="K229" s="1016" t="e">
        <f t="shared" ca="1" si="54"/>
        <v>#VALUE!</v>
      </c>
      <c r="L229" s="1016" t="e">
        <f t="shared" ca="1" si="54"/>
        <v>#VALUE!</v>
      </c>
      <c r="M229" s="1016" t="e">
        <f t="shared" ca="1" si="54"/>
        <v>#VALUE!</v>
      </c>
      <c r="N229" s="1016" t="e">
        <f t="shared" ca="1" si="54"/>
        <v>#VALUE!</v>
      </c>
      <c r="O229" s="1016" t="e">
        <f t="shared" ca="1" si="54"/>
        <v>#VALUE!</v>
      </c>
      <c r="P229" s="1016" t="e">
        <f t="shared" ca="1" si="54"/>
        <v>#VALUE!</v>
      </c>
      <c r="Q229" s="1016" t="e">
        <f t="shared" ca="1" si="54"/>
        <v>#VALUE!</v>
      </c>
      <c r="R229" s="1016" t="e">
        <f t="shared" ca="1" si="54"/>
        <v>#VALUE!</v>
      </c>
      <c r="S229" s="1016" t="e">
        <f t="shared" ca="1" si="54"/>
        <v>#VALUE!</v>
      </c>
      <c r="T229" s="1016" t="e">
        <f t="shared" ca="1" si="54"/>
        <v>#VALUE!</v>
      </c>
      <c r="U229" s="1016" t="e">
        <f t="shared" ca="1" si="54"/>
        <v>#VALUE!</v>
      </c>
      <c r="V229" s="1016" t="e">
        <f t="shared" ca="1" si="54"/>
        <v>#VALUE!</v>
      </c>
      <c r="W229" s="1016" t="e">
        <f t="shared" ca="1" si="54"/>
        <v>#VALUE!</v>
      </c>
    </row>
  </sheetData>
  <conditionalFormatting sqref="C215:C229">
    <cfRule type="colorScale" priority="21">
      <colorScale>
        <cfvo type="min"/>
        <cfvo type="percentile" val="50"/>
        <cfvo type="max"/>
        <color rgb="FFF8696B"/>
        <color rgb="FFFFEB84"/>
        <color rgb="FF63BE7B"/>
      </colorScale>
    </cfRule>
  </conditionalFormatting>
  <conditionalFormatting sqref="D215:D229">
    <cfRule type="colorScale" priority="20">
      <colorScale>
        <cfvo type="min"/>
        <cfvo type="percentile" val="50"/>
        <cfvo type="max"/>
        <color rgb="FFF8696B"/>
        <color rgb="FFFFEB84"/>
        <color rgb="FF63BE7B"/>
      </colorScale>
    </cfRule>
  </conditionalFormatting>
  <conditionalFormatting sqref="E215:E229">
    <cfRule type="colorScale" priority="19">
      <colorScale>
        <cfvo type="min"/>
        <cfvo type="percentile" val="50"/>
        <cfvo type="max"/>
        <color rgb="FFF8696B"/>
        <color rgb="FFFFEB84"/>
        <color rgb="FF63BE7B"/>
      </colorScale>
    </cfRule>
  </conditionalFormatting>
  <conditionalFormatting sqref="F215:F229">
    <cfRule type="colorScale" priority="18">
      <colorScale>
        <cfvo type="min"/>
        <cfvo type="percentile" val="50"/>
        <cfvo type="max"/>
        <color rgb="FFF8696B"/>
        <color rgb="FFFFEB84"/>
        <color rgb="FF63BE7B"/>
      </colorScale>
    </cfRule>
  </conditionalFormatting>
  <conditionalFormatting sqref="G215:G229">
    <cfRule type="colorScale" priority="17">
      <colorScale>
        <cfvo type="min"/>
        <cfvo type="percentile" val="50"/>
        <cfvo type="max"/>
        <color rgb="FFF8696B"/>
        <color rgb="FFFFEB84"/>
        <color rgb="FF63BE7B"/>
      </colorScale>
    </cfRule>
  </conditionalFormatting>
  <conditionalFormatting sqref="H215:H229">
    <cfRule type="colorScale" priority="16">
      <colorScale>
        <cfvo type="min"/>
        <cfvo type="percentile" val="50"/>
        <cfvo type="max"/>
        <color rgb="FFF8696B"/>
        <color rgb="FFFFEB84"/>
        <color rgb="FF63BE7B"/>
      </colorScale>
    </cfRule>
  </conditionalFormatting>
  <conditionalFormatting sqref="I215:I229">
    <cfRule type="colorScale" priority="15">
      <colorScale>
        <cfvo type="min"/>
        <cfvo type="percentile" val="50"/>
        <cfvo type="max"/>
        <color rgb="FFF8696B"/>
        <color rgb="FFFFEB84"/>
        <color rgb="FF63BE7B"/>
      </colorScale>
    </cfRule>
  </conditionalFormatting>
  <conditionalFormatting sqref="J215:J229">
    <cfRule type="colorScale" priority="14">
      <colorScale>
        <cfvo type="min"/>
        <cfvo type="percentile" val="50"/>
        <cfvo type="max"/>
        <color rgb="FFF8696B"/>
        <color rgb="FFFFEB84"/>
        <color rgb="FF63BE7B"/>
      </colorScale>
    </cfRule>
  </conditionalFormatting>
  <conditionalFormatting sqref="K215:K229">
    <cfRule type="colorScale" priority="13">
      <colorScale>
        <cfvo type="min"/>
        <cfvo type="percentile" val="50"/>
        <cfvo type="max"/>
        <color rgb="FFF8696B"/>
        <color rgb="FFFFEB84"/>
        <color rgb="FF63BE7B"/>
      </colorScale>
    </cfRule>
  </conditionalFormatting>
  <conditionalFormatting sqref="L215:L229">
    <cfRule type="colorScale" priority="12">
      <colorScale>
        <cfvo type="min"/>
        <cfvo type="percentile" val="50"/>
        <cfvo type="max"/>
        <color rgb="FFF8696B"/>
        <color rgb="FFFFEB84"/>
        <color rgb="FF63BE7B"/>
      </colorScale>
    </cfRule>
  </conditionalFormatting>
  <conditionalFormatting sqref="M215:M229">
    <cfRule type="colorScale" priority="11">
      <colorScale>
        <cfvo type="min"/>
        <cfvo type="percentile" val="50"/>
        <cfvo type="max"/>
        <color rgb="FFF8696B"/>
        <color rgb="FFFFEB84"/>
        <color rgb="FF63BE7B"/>
      </colorScale>
    </cfRule>
  </conditionalFormatting>
  <conditionalFormatting sqref="N215:N229">
    <cfRule type="colorScale" priority="10">
      <colorScale>
        <cfvo type="min"/>
        <cfvo type="percentile" val="50"/>
        <cfvo type="max"/>
        <color rgb="FFF8696B"/>
        <color rgb="FFFFEB84"/>
        <color rgb="FF63BE7B"/>
      </colorScale>
    </cfRule>
  </conditionalFormatting>
  <conditionalFormatting sqref="O215:O229">
    <cfRule type="colorScale" priority="9">
      <colorScale>
        <cfvo type="min"/>
        <cfvo type="percentile" val="50"/>
        <cfvo type="max"/>
        <color rgb="FFF8696B"/>
        <color rgb="FFFFEB84"/>
        <color rgb="FF63BE7B"/>
      </colorScale>
    </cfRule>
  </conditionalFormatting>
  <conditionalFormatting sqref="P215:P229">
    <cfRule type="colorScale" priority="8">
      <colorScale>
        <cfvo type="min"/>
        <cfvo type="percentile" val="50"/>
        <cfvo type="max"/>
        <color rgb="FFF8696B"/>
        <color rgb="FFFFEB84"/>
        <color rgb="FF63BE7B"/>
      </colorScale>
    </cfRule>
  </conditionalFormatting>
  <conditionalFormatting sqref="Q215:Q229">
    <cfRule type="colorScale" priority="7">
      <colorScale>
        <cfvo type="min"/>
        <cfvo type="percentile" val="50"/>
        <cfvo type="max"/>
        <color rgb="FFF8696B"/>
        <color rgb="FFFFEB84"/>
        <color rgb="FF63BE7B"/>
      </colorScale>
    </cfRule>
  </conditionalFormatting>
  <conditionalFormatting sqref="R215:R229">
    <cfRule type="colorScale" priority="6">
      <colorScale>
        <cfvo type="min"/>
        <cfvo type="percentile" val="50"/>
        <cfvo type="max"/>
        <color rgb="FFF8696B"/>
        <color rgb="FFFFEB84"/>
        <color rgb="FF63BE7B"/>
      </colorScale>
    </cfRule>
  </conditionalFormatting>
  <conditionalFormatting sqref="S215:S229">
    <cfRule type="colorScale" priority="5">
      <colorScale>
        <cfvo type="min"/>
        <cfvo type="percentile" val="50"/>
        <cfvo type="max"/>
        <color rgb="FFF8696B"/>
        <color rgb="FFFFEB84"/>
        <color rgb="FF63BE7B"/>
      </colorScale>
    </cfRule>
  </conditionalFormatting>
  <conditionalFormatting sqref="T215:T229">
    <cfRule type="colorScale" priority="4">
      <colorScale>
        <cfvo type="min"/>
        <cfvo type="percentile" val="50"/>
        <cfvo type="max"/>
        <color rgb="FFF8696B"/>
        <color rgb="FFFFEB84"/>
        <color rgb="FF63BE7B"/>
      </colorScale>
    </cfRule>
  </conditionalFormatting>
  <conditionalFormatting sqref="U215:U229">
    <cfRule type="colorScale" priority="3">
      <colorScale>
        <cfvo type="min"/>
        <cfvo type="percentile" val="50"/>
        <cfvo type="max"/>
        <color rgb="FFF8696B"/>
        <color rgb="FFFFEB84"/>
        <color rgb="FF63BE7B"/>
      </colorScale>
    </cfRule>
  </conditionalFormatting>
  <conditionalFormatting sqref="V215:V229">
    <cfRule type="colorScale" priority="2">
      <colorScale>
        <cfvo type="min"/>
        <cfvo type="percentile" val="50"/>
        <cfvo type="max"/>
        <color rgb="FFF8696B"/>
        <color rgb="FFFFEB84"/>
        <color rgb="FF63BE7B"/>
      </colorScale>
    </cfRule>
  </conditionalFormatting>
  <conditionalFormatting sqref="W215:W229">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4F7D3-5DDF-44CF-93B9-47F4EE163F89}">
  <sheetPr codeName="Sheet21">
    <tabColor rgb="FF7030A0"/>
  </sheetPr>
  <dimension ref="B2:Q44"/>
  <sheetViews>
    <sheetView workbookViewId="0"/>
  </sheetViews>
  <sheetFormatPr defaultColWidth="9.140625" defaultRowHeight="12.75" x14ac:dyDescent="0.2"/>
  <cols>
    <col min="1" max="1" width="9.140625" style="577"/>
    <col min="2" max="2" width="13.85546875" style="577" bestFit="1" customWidth="1"/>
    <col min="3" max="6" width="9.140625" style="577"/>
    <col min="7" max="13" width="17.85546875" style="577" customWidth="1"/>
    <col min="14" max="14" width="5.7109375" style="577" bestFit="1" customWidth="1"/>
    <col min="15" max="15" width="9.42578125" style="577" bestFit="1" customWidth="1"/>
    <col min="16" max="16" width="13" style="577" customWidth="1"/>
    <col min="17" max="16384" width="9.140625" style="577"/>
  </cols>
  <sheetData>
    <row r="2" spans="2:17" x14ac:dyDescent="0.2">
      <c r="F2" s="577" t="s">
        <v>661</v>
      </c>
      <c r="G2" s="1121" t="s">
        <v>809</v>
      </c>
    </row>
    <row r="4" spans="2:17" x14ac:dyDescent="0.2">
      <c r="G4" s="1012"/>
      <c r="O4" s="577" t="s">
        <v>751</v>
      </c>
      <c r="P4" s="577" t="str">
        <f>RWDI_FACTORS!C3</f>
        <v>A24LE</v>
      </c>
    </row>
    <row r="5" spans="2:17" x14ac:dyDescent="0.2">
      <c r="P5" s="1083" t="str">
        <f>IF(RIGHT(RWDI_FACTORS!C3,2)="ER","ER ", "")</f>
        <v/>
      </c>
    </row>
    <row r="6" spans="2:17" x14ac:dyDescent="0.2">
      <c r="G6" s="1121" t="s">
        <v>729</v>
      </c>
      <c r="H6" s="1083">
        <f>IF(LEFT(RWDI_FACTORS!C3,3)="A24",48,55)</f>
        <v>48</v>
      </c>
      <c r="P6" s="577">
        <f>IF(OR(LEFT(RWDI_FACTORS!C3,3)="A24",LEFT(RWDI_FACTORS!C3,3)="ind",LEFT(RWDI_FACTORS!C3,3)="mka",LEFT(RWDI_FACTORS!C3,3)="mkb")=TRUE,5,IF(P5="ER ",5,3))</f>
        <v>5</v>
      </c>
    </row>
    <row r="7" spans="2:17" x14ac:dyDescent="0.2">
      <c r="C7" s="577" t="s">
        <v>761</v>
      </c>
      <c r="E7" s="577" t="s">
        <v>762</v>
      </c>
      <c r="G7" s="1123" t="s">
        <v>649</v>
      </c>
      <c r="H7" s="1124">
        <f>RWDI_FACTORS!I3</f>
        <v>36</v>
      </c>
      <c r="I7" s="1124"/>
      <c r="J7" s="1124"/>
      <c r="K7" s="1124"/>
      <c r="L7" s="1124"/>
      <c r="M7" s="1125"/>
      <c r="P7" s="579" t="s">
        <v>542</v>
      </c>
    </row>
    <row r="8" spans="2:17" x14ac:dyDescent="0.2">
      <c r="C8" s="577">
        <f>COUNT(C9:C27)</f>
        <v>19</v>
      </c>
      <c r="D8" s="577">
        <f ca="1">COUNTIF(D9:D27,"&lt;&gt;0")</f>
        <v>6</v>
      </c>
      <c r="G8" s="1126"/>
      <c r="H8" s="773" t="s">
        <v>650</v>
      </c>
      <c r="I8" s="1071" t="s">
        <v>656</v>
      </c>
      <c r="J8" s="773" t="s">
        <v>651</v>
      </c>
      <c r="K8" s="1071" t="s">
        <v>655</v>
      </c>
      <c r="L8" s="773" t="s">
        <v>652</v>
      </c>
      <c r="M8" s="1127" t="s">
        <v>653</v>
      </c>
    </row>
    <row r="9" spans="2:17" x14ac:dyDescent="0.2">
      <c r="B9" s="1012" t="s">
        <v>657</v>
      </c>
      <c r="C9" s="577">
        <v>100</v>
      </c>
      <c r="D9" s="577">
        <f ca="1">IF(OR($P$4="ind", LEFT($P$4,2)="mk")=TRUE,COUNTIF($M$9:$M$44,"="&amp;E9),COUNTIF($M$9:$M$44,"="&amp;C9))</f>
        <v>6</v>
      </c>
      <c r="E9" s="577" t="s">
        <v>752</v>
      </c>
      <c r="G9" s="1126"/>
      <c r="H9" s="773">
        <f>IF(ISERROR(ROUNDUP(RWDI_FACTORS!J104,0))=TRUE,RWDI_FACTORS!J104,ROUNDUP(RWDI_FACTORS!J104,0))</f>
        <v>10</v>
      </c>
      <c r="I9" s="1072">
        <f>H6</f>
        <v>48</v>
      </c>
      <c r="J9" s="773" t="s">
        <v>266</v>
      </c>
      <c r="K9" s="1073">
        <f>RWDI_FACTORS!D7</f>
        <v>400</v>
      </c>
      <c r="L9" s="1072">
        <v>0</v>
      </c>
      <c r="M9" s="1127">
        <f t="shared" ref="M9:M44" ca="1" si="0">IF(OR($P$4="ind", LEFT($P$4,2)="mk")=TRUE,IF(Q9="",VLOOKUP(P9,$B$9:$E$28,4,FALSE),VLOOKUP(P9,$B$29:$E$34,4,FALSE)),VLOOKUP(P9,$B$9:$E$28,2,FALSE)+IF($P$6=3,IF(Q9="",0,99),0))</f>
        <v>100</v>
      </c>
      <c r="P9" s="577" t="str">
        <f ca="1">LEFT(RWDI_FACTORS!P104,LEN(RWDI_FACTORS!P104)-P6)&amp;$P$5</f>
        <v xml:space="preserve">Openwater </v>
      </c>
      <c r="Q9" s="577" t="str">
        <f>IF(RWDI_FACTORS!Q104="","",RWDI_FACTORS!Q104)</f>
        <v/>
      </c>
    </row>
    <row r="10" spans="2:17" x14ac:dyDescent="0.2">
      <c r="B10" s="579" t="s">
        <v>658</v>
      </c>
      <c r="C10" s="577">
        <v>200</v>
      </c>
      <c r="D10" s="577">
        <f t="shared" ref="D10:D34" ca="1" si="1">IF(OR($P$4="ind", LEFT($P$4,2)="mk")=TRUE,COUNTIF($M$9:$M$44,"="&amp;E10),COUNTIF($M$9:$M$44,"="&amp;C10))</f>
        <v>6</v>
      </c>
      <c r="E10" s="577" t="s">
        <v>294</v>
      </c>
      <c r="G10" s="1126"/>
      <c r="H10" s="773">
        <f>IF(ISERROR(ROUNDUP(RWDI_FACTORS!J105,0))=TRUE,RWDI_FACTORS!J105,ROUNDUP(RWDI_FACTORS!J105,0))</f>
        <v>20</v>
      </c>
      <c r="I10" s="1072">
        <f>I9</f>
        <v>48</v>
      </c>
      <c r="J10" s="773" t="s">
        <v>274</v>
      </c>
      <c r="K10" s="1073">
        <f>K9</f>
        <v>400</v>
      </c>
      <c r="L10" s="1072">
        <v>0</v>
      </c>
      <c r="M10" s="1127">
        <f t="shared" ca="1" si="0"/>
        <v>100</v>
      </c>
      <c r="P10" s="577" t="str">
        <f ca="1">IF(RWDI_FACTORS!P105="""",'Tunnel CTL File'!P9,LEFT(RWDI_FACTORS!P105,LEN(RWDI_FACTORS!P105)-$P$6)&amp;$P$5)</f>
        <v xml:space="preserve">Openwater </v>
      </c>
      <c r="Q10" s="577" t="str">
        <f>IF(RWDI_FACTORS!Q105="","",RWDI_FACTORS!Q105)</f>
        <v/>
      </c>
    </row>
    <row r="11" spans="2:17" x14ac:dyDescent="0.2">
      <c r="B11" s="1012" t="s">
        <v>740</v>
      </c>
      <c r="C11" s="577">
        <v>300</v>
      </c>
      <c r="D11" s="577">
        <f t="shared" ca="1" si="1"/>
        <v>6</v>
      </c>
      <c r="E11" s="577" t="s">
        <v>753</v>
      </c>
      <c r="G11" s="1126"/>
      <c r="H11" s="773">
        <f>IF(ISERROR(ROUNDUP(RWDI_FACTORS!J106,0))=TRUE,RWDI_FACTORS!J106,ROUNDUP(RWDI_FACTORS!J106,0))</f>
        <v>30</v>
      </c>
      <c r="I11" s="1072">
        <f t="shared" ref="I11:I44" si="2">I10</f>
        <v>48</v>
      </c>
      <c r="J11" s="773" t="s">
        <v>274</v>
      </c>
      <c r="K11" s="1073">
        <f t="shared" ref="K11:K44" si="3">K10</f>
        <v>400</v>
      </c>
      <c r="L11" s="1072">
        <v>0</v>
      </c>
      <c r="M11" s="1127">
        <f t="shared" ca="1" si="0"/>
        <v>100</v>
      </c>
      <c r="P11" s="577" t="str">
        <f ca="1">IF(RWDI_FACTORS!P106="""",'Tunnel CTL File'!P10,LEFT(RWDI_FACTORS!P106,LEN(RWDI_FACTORS!P106)-$P$6)&amp;$P$5)</f>
        <v xml:space="preserve">Openwater </v>
      </c>
      <c r="Q11" s="577" t="str">
        <f>IF(RWDI_FACTORS!Q106="","",RWDI_FACTORS!Q106)</f>
        <v/>
      </c>
    </row>
    <row r="12" spans="2:17" x14ac:dyDescent="0.2">
      <c r="B12" s="579" t="s">
        <v>659</v>
      </c>
      <c r="C12" s="577">
        <v>400</v>
      </c>
      <c r="D12" s="577">
        <f t="shared" ca="1" si="1"/>
        <v>9</v>
      </c>
      <c r="E12" s="577" t="s">
        <v>754</v>
      </c>
      <c r="G12" s="1126"/>
      <c r="H12" s="773">
        <f>IF(ISERROR(ROUNDUP(RWDI_FACTORS!J107,0))=TRUE,RWDI_FACTORS!J107,ROUNDUP(RWDI_FACTORS!J107,0))</f>
        <v>40</v>
      </c>
      <c r="I12" s="1072">
        <f t="shared" si="2"/>
        <v>48</v>
      </c>
      <c r="J12" s="773" t="s">
        <v>274</v>
      </c>
      <c r="K12" s="1073">
        <f t="shared" si="3"/>
        <v>400</v>
      </c>
      <c r="L12" s="1072">
        <v>0</v>
      </c>
      <c r="M12" s="1127">
        <f t="shared" ca="1" si="0"/>
        <v>200</v>
      </c>
      <c r="P12" s="577" t="str">
        <f ca="1">IF(RWDI_FACTORS!P107="""",'Tunnel CTL File'!P11,LEFT(RWDI_FACTORS!P107,LEN(RWDI_FACTORS!P107)-$P$6)&amp;$P$5)</f>
        <v xml:space="preserve">Open </v>
      </c>
      <c r="Q12" s="577" t="str">
        <f>IF(RWDI_FACTORS!Q107="","",RWDI_FACTORS!Q107)</f>
        <v/>
      </c>
    </row>
    <row r="13" spans="2:17" x14ac:dyDescent="0.2">
      <c r="B13" s="1012" t="s">
        <v>805</v>
      </c>
      <c r="C13" s="577">
        <v>900</v>
      </c>
      <c r="D13" s="577">
        <f t="shared" ca="1" si="1"/>
        <v>3</v>
      </c>
      <c r="E13" s="577" t="s">
        <v>803</v>
      </c>
      <c r="G13" s="1126"/>
      <c r="H13" s="773">
        <f>IF(ISERROR(ROUNDUP(RWDI_FACTORS!J108,0))=TRUE,RWDI_FACTORS!J108,ROUNDUP(RWDI_FACTORS!J108,0))</f>
        <v>50</v>
      </c>
      <c r="I13" s="1072">
        <f t="shared" si="2"/>
        <v>48</v>
      </c>
      <c r="J13" s="773" t="s">
        <v>654</v>
      </c>
      <c r="K13" s="1073">
        <f t="shared" si="3"/>
        <v>400</v>
      </c>
      <c r="L13" s="1072">
        <v>0</v>
      </c>
      <c r="M13" s="1127">
        <f t="shared" ca="1" si="0"/>
        <v>200</v>
      </c>
      <c r="P13" s="577" t="str">
        <f ca="1">IF(RWDI_FACTORS!P108="""",'Tunnel CTL File'!P12,LEFT(RWDI_FACTORS!P108,LEN(RWDI_FACTORS!P108)-$P$6)&amp;$P$5)</f>
        <v xml:space="preserve">Open </v>
      </c>
      <c r="Q13" s="577" t="str">
        <f>IF(RWDI_FACTORS!Q108="","",RWDI_FACTORS!Q108)</f>
        <v/>
      </c>
    </row>
    <row r="14" spans="2:17" x14ac:dyDescent="0.2">
      <c r="B14" s="579" t="s">
        <v>660</v>
      </c>
      <c r="C14" s="577">
        <v>500</v>
      </c>
      <c r="D14" s="577">
        <f t="shared" ca="1" si="1"/>
        <v>6</v>
      </c>
      <c r="E14" s="577" t="s">
        <v>755</v>
      </c>
      <c r="G14" s="1126"/>
      <c r="H14" s="773">
        <f>IF(ISERROR(ROUNDUP(RWDI_FACTORS!J109,0))=TRUE,RWDI_FACTORS!J109,ROUNDUP(RWDI_FACTORS!J109,0))</f>
        <v>60</v>
      </c>
      <c r="I14" s="1072">
        <f t="shared" si="2"/>
        <v>48</v>
      </c>
      <c r="J14" s="773" t="s">
        <v>274</v>
      </c>
      <c r="K14" s="1073">
        <f t="shared" si="3"/>
        <v>400</v>
      </c>
      <c r="L14" s="1072">
        <v>0</v>
      </c>
      <c r="M14" s="1127">
        <f t="shared" ca="1" si="0"/>
        <v>200</v>
      </c>
      <c r="P14" s="577" t="str">
        <f ca="1">IF(RWDI_FACTORS!P109="""",'Tunnel CTL File'!P13,LEFT(RWDI_FACTORS!P109,LEN(RWDI_FACTORS!P109)-$P$6)&amp;$P$5)</f>
        <v xml:space="preserve">Open </v>
      </c>
      <c r="Q14" s="577" t="str">
        <f>IF(RWDI_FACTORS!Q109="","",RWDI_FACTORS!Q109)</f>
        <v/>
      </c>
    </row>
    <row r="15" spans="2:17" x14ac:dyDescent="0.2">
      <c r="B15" s="1006" t="s">
        <v>741</v>
      </c>
      <c r="C15" s="577">
        <v>601</v>
      </c>
      <c r="D15" s="577">
        <f t="shared" ca="1" si="1"/>
        <v>0</v>
      </c>
      <c r="G15" s="1126"/>
      <c r="H15" s="773">
        <f>IF(ISERROR(ROUNDUP(RWDI_FACTORS!J110,0))=TRUE,RWDI_FACTORS!J110,ROUNDUP(RWDI_FACTORS!J110,0))</f>
        <v>70</v>
      </c>
      <c r="I15" s="1072">
        <f t="shared" si="2"/>
        <v>48</v>
      </c>
      <c r="J15" s="773" t="s">
        <v>274</v>
      </c>
      <c r="K15" s="1073">
        <f t="shared" si="3"/>
        <v>400</v>
      </c>
      <c r="L15" s="1072">
        <v>0</v>
      </c>
      <c r="M15" s="1127">
        <f t="shared" ca="1" si="0"/>
        <v>300</v>
      </c>
      <c r="P15" s="577" t="str">
        <f ca="1">IF(RWDI_FACTORS!P110="""",'Tunnel CTL File'!P14,LEFT(RWDI_FACTORS!P110,LEN(RWDI_FACTORS!P110)-$P$6)&amp;$P$5)</f>
        <v xml:space="preserve">Opsub </v>
      </c>
      <c r="Q15" s="577" t="str">
        <f>IF(RWDI_FACTORS!Q110="","",RWDI_FACTORS!Q110)</f>
        <v/>
      </c>
    </row>
    <row r="16" spans="2:17" x14ac:dyDescent="0.2">
      <c r="B16" s="1006" t="s">
        <v>742</v>
      </c>
      <c r="C16" s="577">
        <v>600</v>
      </c>
      <c r="D16" s="577">
        <f t="shared" ca="1" si="1"/>
        <v>0</v>
      </c>
      <c r="G16" s="1126"/>
      <c r="H16" s="773">
        <f>IF(ISERROR(ROUNDUP(RWDI_FACTORS!J111,0))=TRUE,RWDI_FACTORS!J111,ROUNDUP(RWDI_FACTORS!J111,0))</f>
        <v>80</v>
      </c>
      <c r="I16" s="1072">
        <f t="shared" si="2"/>
        <v>48</v>
      </c>
      <c r="J16" s="773" t="s">
        <v>274</v>
      </c>
      <c r="K16" s="1073">
        <f t="shared" si="3"/>
        <v>400</v>
      </c>
      <c r="L16" s="1072">
        <v>0</v>
      </c>
      <c r="M16" s="1127">
        <f t="shared" ca="1" si="0"/>
        <v>300</v>
      </c>
      <c r="P16" s="577" t="str">
        <f ca="1">IF(RWDI_FACTORS!P111="""",'Tunnel CTL File'!P15,LEFT(RWDI_FACTORS!P111,LEN(RWDI_FACTORS!P111)-$P$6)&amp;$P$5)</f>
        <v xml:space="preserve">Opsub </v>
      </c>
      <c r="Q16" s="577" t="str">
        <f>IF(RWDI_FACTORS!Q111="","",RWDI_FACTORS!Q111)</f>
        <v/>
      </c>
    </row>
    <row r="17" spans="2:17" x14ac:dyDescent="0.2">
      <c r="B17" s="1006" t="s">
        <v>743</v>
      </c>
      <c r="C17" s="577">
        <v>700</v>
      </c>
      <c r="D17" s="577">
        <f t="shared" ca="1" si="1"/>
        <v>0</v>
      </c>
      <c r="G17" s="1126"/>
      <c r="H17" s="773">
        <f>IF(ISERROR(ROUNDUP(RWDI_FACTORS!J112,0))=TRUE,RWDI_FACTORS!J112,ROUNDUP(RWDI_FACTORS!J112,0))</f>
        <v>90</v>
      </c>
      <c r="I17" s="1072">
        <f t="shared" si="2"/>
        <v>48</v>
      </c>
      <c r="J17" s="773" t="s">
        <v>654</v>
      </c>
      <c r="K17" s="1073">
        <f t="shared" si="3"/>
        <v>400</v>
      </c>
      <c r="L17" s="1072">
        <v>0</v>
      </c>
      <c r="M17" s="1127">
        <f t="shared" ca="1" si="0"/>
        <v>300</v>
      </c>
      <c r="P17" s="577" t="str">
        <f ca="1">IF(RWDI_FACTORS!P112="""",'Tunnel CTL File'!P16,LEFT(RWDI_FACTORS!P112,LEN(RWDI_FACTORS!P112)-$P$6)&amp;$P$5)</f>
        <v xml:space="preserve">Opsub </v>
      </c>
      <c r="Q17" s="577" t="str">
        <f>IF(RWDI_FACTORS!Q112="","",RWDI_FACTORS!Q112)</f>
        <v/>
      </c>
    </row>
    <row r="18" spans="2:17" x14ac:dyDescent="0.2">
      <c r="B18" s="1006" t="s">
        <v>744</v>
      </c>
      <c r="C18" s="577">
        <v>800</v>
      </c>
      <c r="D18" s="577">
        <f t="shared" ca="1" si="1"/>
        <v>0</v>
      </c>
      <c r="G18" s="1126"/>
      <c r="H18" s="773">
        <f>IF(ISERROR(ROUNDUP(RWDI_FACTORS!J113,0))=TRUE,RWDI_FACTORS!J113,ROUNDUP(RWDI_FACTORS!J113,0))</f>
        <v>100</v>
      </c>
      <c r="I18" s="1072">
        <f t="shared" si="2"/>
        <v>48</v>
      </c>
      <c r="J18" s="773" t="s">
        <v>274</v>
      </c>
      <c r="K18" s="1073">
        <f t="shared" si="3"/>
        <v>400</v>
      </c>
      <c r="L18" s="1072">
        <v>0</v>
      </c>
      <c r="M18" s="1127">
        <f t="shared" ca="1" si="0"/>
        <v>400</v>
      </c>
      <c r="P18" s="577" t="str">
        <f ca="1">IF(RWDI_FACTORS!P113="""",'Tunnel CTL File'!P17,LEFT(RWDI_FACTORS!P113,LEN(RWDI_FACTORS!P113)-$P$6)&amp;$P$5)</f>
        <v xml:space="preserve">Suburban </v>
      </c>
      <c r="Q18" s="577" t="str">
        <f>IF(RWDI_FACTORS!Q113="","",RWDI_FACTORS!Q113)</f>
        <v/>
      </c>
    </row>
    <row r="19" spans="2:17" x14ac:dyDescent="0.2">
      <c r="B19" s="1006" t="s">
        <v>721</v>
      </c>
      <c r="C19" s="577">
        <v>101</v>
      </c>
      <c r="D19" s="577">
        <f t="shared" ca="1" si="1"/>
        <v>0</v>
      </c>
      <c r="G19" s="1126"/>
      <c r="H19" s="773">
        <f>IF(ISERROR(ROUNDUP(RWDI_FACTORS!J114,0))=TRUE,RWDI_FACTORS!J114,ROUNDUP(RWDI_FACTORS!J114,0))</f>
        <v>110</v>
      </c>
      <c r="I19" s="1072">
        <f t="shared" si="2"/>
        <v>48</v>
      </c>
      <c r="J19" s="773" t="s">
        <v>274</v>
      </c>
      <c r="K19" s="1073">
        <f t="shared" si="3"/>
        <v>400</v>
      </c>
      <c r="L19" s="1072">
        <v>0</v>
      </c>
      <c r="M19" s="1127">
        <f t="shared" ca="1" si="0"/>
        <v>400</v>
      </c>
      <c r="P19" s="577" t="str">
        <f ca="1">IF(RWDI_FACTORS!P114="""",'Tunnel CTL File'!P18,LEFT(RWDI_FACTORS!P114,LEN(RWDI_FACTORS!P114)-$P$6)&amp;$P$5)</f>
        <v xml:space="preserve">Suburban </v>
      </c>
      <c r="Q19" s="577" t="str">
        <f>IF(RWDI_FACTORS!Q114="","",RWDI_FACTORS!Q114)</f>
        <v/>
      </c>
    </row>
    <row r="20" spans="2:17" x14ac:dyDescent="0.2">
      <c r="B20" s="577" t="s">
        <v>722</v>
      </c>
      <c r="C20" s="577">
        <v>102</v>
      </c>
      <c r="D20" s="577">
        <f t="shared" ca="1" si="1"/>
        <v>0</v>
      </c>
      <c r="G20" s="1126"/>
      <c r="H20" s="773">
        <f>IF(ISERROR(ROUNDUP(RWDI_FACTORS!J115,0))=TRUE,RWDI_FACTORS!J115,ROUNDUP(RWDI_FACTORS!J115,0))</f>
        <v>120</v>
      </c>
      <c r="I20" s="1072">
        <f t="shared" si="2"/>
        <v>48</v>
      </c>
      <c r="J20" s="773" t="s">
        <v>274</v>
      </c>
      <c r="K20" s="1073">
        <f t="shared" si="3"/>
        <v>400</v>
      </c>
      <c r="L20" s="1072">
        <v>0</v>
      </c>
      <c r="M20" s="1127">
        <f t="shared" ca="1" si="0"/>
        <v>400</v>
      </c>
      <c r="P20" s="577" t="str">
        <f ca="1">IF(RWDI_FACTORS!P115="""",'Tunnel CTL File'!P19,LEFT(RWDI_FACTORS!P115,LEN(RWDI_FACTORS!P115)-$P$6)&amp;$P$5)</f>
        <v xml:space="preserve">Suburban </v>
      </c>
      <c r="Q20" s="577" t="str">
        <f>IF(RWDI_FACTORS!Q115="","",RWDI_FACTORS!Q115)</f>
        <v/>
      </c>
    </row>
    <row r="21" spans="2:17" x14ac:dyDescent="0.2">
      <c r="B21" s="577" t="s">
        <v>723</v>
      </c>
      <c r="C21" s="577">
        <v>201</v>
      </c>
      <c r="D21" s="577">
        <f t="shared" ca="1" si="1"/>
        <v>0</v>
      </c>
      <c r="G21" s="1126"/>
      <c r="H21" s="773">
        <f>IF(ISERROR(ROUNDUP(RWDI_FACTORS!J116,0))=TRUE,RWDI_FACTORS!J116,ROUNDUP(RWDI_FACTORS!J116,0))</f>
        <v>130</v>
      </c>
      <c r="I21" s="1072">
        <f t="shared" si="2"/>
        <v>48</v>
      </c>
      <c r="J21" s="773" t="s">
        <v>266</v>
      </c>
      <c r="K21" s="1073">
        <f t="shared" si="3"/>
        <v>400</v>
      </c>
      <c r="L21" s="1072">
        <v>0</v>
      </c>
      <c r="M21" s="1127">
        <f t="shared" ca="1" si="0"/>
        <v>500</v>
      </c>
      <c r="P21" s="577" t="str">
        <f ca="1">IF(RWDI_FACTORS!P116="""",'Tunnel CTL File'!P20,LEFT(RWDI_FACTORS!P116,LEN(RWDI_FACTORS!P116)-$P$6)&amp;$P$5)</f>
        <v xml:space="preserve">Urban </v>
      </c>
      <c r="Q21" s="577" t="str">
        <f>IF(RWDI_FACTORS!Q116="","",RWDI_FACTORS!Q116)</f>
        <v/>
      </c>
    </row>
    <row r="22" spans="2:17" x14ac:dyDescent="0.2">
      <c r="B22" s="577" t="s">
        <v>724</v>
      </c>
      <c r="C22" s="577">
        <v>202</v>
      </c>
      <c r="D22" s="577">
        <f t="shared" ca="1" si="1"/>
        <v>0</v>
      </c>
      <c r="G22" s="1126"/>
      <c r="H22" s="773">
        <f>IF(ISERROR(ROUNDUP(RWDI_FACTORS!J117,0))=TRUE,RWDI_FACTORS!J117,ROUNDUP(RWDI_FACTORS!J117,0))</f>
        <v>140</v>
      </c>
      <c r="I22" s="1072">
        <f t="shared" si="2"/>
        <v>48</v>
      </c>
      <c r="J22" s="773" t="s">
        <v>274</v>
      </c>
      <c r="K22" s="1073">
        <f t="shared" si="3"/>
        <v>400</v>
      </c>
      <c r="L22" s="1072">
        <v>0</v>
      </c>
      <c r="M22" s="1127">
        <f t="shared" ca="1" si="0"/>
        <v>500</v>
      </c>
      <c r="P22" s="577" t="str">
        <f ca="1">IF(RWDI_FACTORS!P117="""",'Tunnel CTL File'!P21,LEFT(RWDI_FACTORS!P117,LEN(RWDI_FACTORS!P117)-$P$6)&amp;$P$5)</f>
        <v xml:space="preserve">Urban </v>
      </c>
      <c r="Q22" s="577" t="str">
        <f>IF(RWDI_FACTORS!Q117="","",RWDI_FACTORS!Q117)</f>
        <v/>
      </c>
    </row>
    <row r="23" spans="2:17" x14ac:dyDescent="0.2">
      <c r="B23" s="577" t="s">
        <v>725</v>
      </c>
      <c r="C23" s="577">
        <v>301</v>
      </c>
      <c r="D23" s="577">
        <f t="shared" ca="1" si="1"/>
        <v>0</v>
      </c>
      <c r="G23" s="1126"/>
      <c r="H23" s="773">
        <f>IF(ISERROR(ROUNDUP(RWDI_FACTORS!J118,0))=TRUE,RWDI_FACTORS!J118,ROUNDUP(RWDI_FACTORS!J118,0))</f>
        <v>150</v>
      </c>
      <c r="I23" s="1072">
        <f t="shared" si="2"/>
        <v>48</v>
      </c>
      <c r="J23" s="773" t="s">
        <v>274</v>
      </c>
      <c r="K23" s="1073">
        <f t="shared" si="3"/>
        <v>400</v>
      </c>
      <c r="L23" s="1072">
        <v>0</v>
      </c>
      <c r="M23" s="1127">
        <f t="shared" ca="1" si="0"/>
        <v>500</v>
      </c>
      <c r="P23" s="577" t="str">
        <f ca="1">IF(RWDI_FACTORS!P118="""",'Tunnel CTL File'!P22,LEFT(RWDI_FACTORS!P118,LEN(RWDI_FACTORS!P118)-$P$6)&amp;$P$5)</f>
        <v xml:space="preserve">Urban </v>
      </c>
      <c r="Q23" s="577" t="str">
        <f>IF(RWDI_FACTORS!Q118="","",RWDI_FACTORS!Q118)</f>
        <v/>
      </c>
    </row>
    <row r="24" spans="2:17" x14ac:dyDescent="0.2">
      <c r="B24" s="577" t="s">
        <v>726</v>
      </c>
      <c r="C24" s="577">
        <v>302</v>
      </c>
      <c r="D24" s="577">
        <f t="shared" ca="1" si="1"/>
        <v>0</v>
      </c>
      <c r="G24" s="1126"/>
      <c r="H24" s="773">
        <f>IF(ISERROR(ROUNDUP(RWDI_FACTORS!J119,0))=TRUE,RWDI_FACTORS!J119,ROUNDUP(RWDI_FACTORS!J119,0))</f>
        <v>160</v>
      </c>
      <c r="I24" s="1072">
        <f t="shared" si="2"/>
        <v>48</v>
      </c>
      <c r="J24" s="773" t="s">
        <v>274</v>
      </c>
      <c r="K24" s="1073">
        <f t="shared" si="3"/>
        <v>400</v>
      </c>
      <c r="L24" s="1072">
        <v>0</v>
      </c>
      <c r="M24" s="1127">
        <f t="shared" ca="1" si="0"/>
        <v>100</v>
      </c>
      <c r="P24" s="577" t="str">
        <f ca="1">IF(RWDI_FACTORS!P119="""",'Tunnel CTL File'!P23,LEFT(RWDI_FACTORS!P119,LEN(RWDI_FACTORS!P119)-$P$6)&amp;$P$5)</f>
        <v xml:space="preserve">Openwater </v>
      </c>
      <c r="Q24" s="577" t="str">
        <f>IF(RWDI_FACTORS!Q119="","",RWDI_FACTORS!Q119)</f>
        <v/>
      </c>
    </row>
    <row r="25" spans="2:17" x14ac:dyDescent="0.2">
      <c r="B25" s="1006" t="s">
        <v>728</v>
      </c>
      <c r="C25" s="577">
        <v>401</v>
      </c>
      <c r="D25" s="577">
        <f t="shared" ca="1" si="1"/>
        <v>0</v>
      </c>
      <c r="G25" s="1126"/>
      <c r="H25" s="773">
        <f>IF(ISERROR(ROUNDUP(RWDI_FACTORS!J120,0))=TRUE,RWDI_FACTORS!J120,ROUNDUP(RWDI_FACTORS!J120,0))</f>
        <v>170</v>
      </c>
      <c r="I25" s="1072">
        <f t="shared" si="2"/>
        <v>48</v>
      </c>
      <c r="J25" s="773" t="s">
        <v>654</v>
      </c>
      <c r="K25" s="1073">
        <f t="shared" si="3"/>
        <v>400</v>
      </c>
      <c r="L25" s="1072">
        <v>0</v>
      </c>
      <c r="M25" s="1127">
        <f t="shared" ca="1" si="0"/>
        <v>100</v>
      </c>
      <c r="P25" s="577" t="str">
        <f ca="1">IF(RWDI_FACTORS!P120="""",'Tunnel CTL File'!P24,LEFT(RWDI_FACTORS!P120,LEN(RWDI_FACTORS!P120)-$P$6)&amp;$P$5)</f>
        <v xml:space="preserve">Openwater </v>
      </c>
      <c r="Q25" s="577" t="str">
        <f>IF(RWDI_FACTORS!Q120="","",RWDI_FACTORS!Q120)</f>
        <v/>
      </c>
    </row>
    <row r="26" spans="2:17" x14ac:dyDescent="0.2">
      <c r="B26" s="1006" t="s">
        <v>733</v>
      </c>
      <c r="C26" s="577">
        <v>402</v>
      </c>
      <c r="D26" s="577">
        <f t="shared" ca="1" si="1"/>
        <v>0</v>
      </c>
      <c r="G26" s="1126"/>
      <c r="H26" s="773">
        <f>IF(ISERROR(ROUNDUP(RWDI_FACTORS!J121,0))=TRUE,RWDI_FACTORS!J121,ROUNDUP(RWDI_FACTORS!J121,0))</f>
        <v>180</v>
      </c>
      <c r="I26" s="1072">
        <f t="shared" si="2"/>
        <v>48</v>
      </c>
      <c r="J26" s="773" t="s">
        <v>274</v>
      </c>
      <c r="K26" s="1073">
        <f t="shared" si="3"/>
        <v>400</v>
      </c>
      <c r="L26" s="1072">
        <v>0</v>
      </c>
      <c r="M26" s="1127">
        <f t="shared" ca="1" si="0"/>
        <v>100</v>
      </c>
      <c r="P26" s="577" t="str">
        <f ca="1">IF(RWDI_FACTORS!P121="""",'Tunnel CTL File'!P25,LEFT(RWDI_FACTORS!P121,LEN(RWDI_FACTORS!P121)-$P$6)&amp;$P$5)</f>
        <v xml:space="preserve">Openwater </v>
      </c>
      <c r="Q26" s="577" t="str">
        <f>IF(RWDI_FACTORS!Q121="","",RWDI_FACTORS!Q121)</f>
        <v/>
      </c>
    </row>
    <row r="27" spans="2:17" x14ac:dyDescent="0.2">
      <c r="B27" s="1006" t="s">
        <v>727</v>
      </c>
      <c r="C27" s="577">
        <v>501</v>
      </c>
      <c r="D27" s="577">
        <f t="shared" ca="1" si="1"/>
        <v>0</v>
      </c>
      <c r="G27" s="1126"/>
      <c r="H27" s="773">
        <f>IF(ISERROR(ROUNDUP(RWDI_FACTORS!J122,0))=TRUE,RWDI_FACTORS!J122,ROUNDUP(RWDI_FACTORS!J122,0))</f>
        <v>190</v>
      </c>
      <c r="I27" s="1072">
        <f t="shared" si="2"/>
        <v>48</v>
      </c>
      <c r="J27" s="773" t="s">
        <v>274</v>
      </c>
      <c r="K27" s="1073">
        <f t="shared" si="3"/>
        <v>400</v>
      </c>
      <c r="L27" s="1072">
        <v>0</v>
      </c>
      <c r="M27" s="1127">
        <f t="shared" ca="1" si="0"/>
        <v>200</v>
      </c>
      <c r="P27" s="577" t="str">
        <f ca="1">IF(RWDI_FACTORS!P122="""",'Tunnel CTL File'!P26,LEFT(RWDI_FACTORS!P122,LEN(RWDI_FACTORS!P122)-$P$6)&amp;$P$5)</f>
        <v xml:space="preserve">Open </v>
      </c>
      <c r="Q27" s="577" t="str">
        <f>IF(RWDI_FACTORS!Q122="","",RWDI_FACTORS!Q122)</f>
        <v/>
      </c>
    </row>
    <row r="28" spans="2:17" x14ac:dyDescent="0.2">
      <c r="B28" s="1006" t="s">
        <v>745</v>
      </c>
      <c r="G28" s="1126"/>
      <c r="H28" s="773">
        <f>IF(ISERROR(ROUNDUP(RWDI_FACTORS!J123,0))=TRUE,RWDI_FACTORS!J123,ROUNDUP(RWDI_FACTORS!J123,0))</f>
        <v>200</v>
      </c>
      <c r="I28" s="1072">
        <f t="shared" si="2"/>
        <v>48</v>
      </c>
      <c r="J28" s="773" t="s">
        <v>274</v>
      </c>
      <c r="K28" s="1073">
        <f t="shared" si="3"/>
        <v>400</v>
      </c>
      <c r="L28" s="1072">
        <v>0</v>
      </c>
      <c r="M28" s="1127">
        <f t="shared" ca="1" si="0"/>
        <v>200</v>
      </c>
      <c r="P28" s="577" t="str">
        <f ca="1">IF(RWDI_FACTORS!P123="""",'Tunnel CTL File'!P27,LEFT(RWDI_FACTORS!P123,LEN(RWDI_FACTORS!P123)-$P$6)&amp;$P$5)</f>
        <v xml:space="preserve">Open </v>
      </c>
      <c r="Q28" s="577" t="str">
        <f>IF(RWDI_FACTORS!Q123="","",RWDI_FACTORS!Q123)</f>
        <v/>
      </c>
    </row>
    <row r="29" spans="2:17" x14ac:dyDescent="0.2">
      <c r="B29" s="1136" t="str">
        <f>B9</f>
        <v xml:space="preserve">Openwater </v>
      </c>
      <c r="C29" s="1136">
        <f>C9+99</f>
        <v>199</v>
      </c>
      <c r="D29" s="577">
        <f t="shared" ca="1" si="1"/>
        <v>0</v>
      </c>
      <c r="E29" s="1006" t="s">
        <v>756</v>
      </c>
      <c r="G29" s="1126"/>
      <c r="H29" s="773">
        <f>IF(ISERROR(ROUNDUP(RWDI_FACTORS!J124,0))=TRUE,RWDI_FACTORS!J124,ROUNDUP(RWDI_FACTORS!J124,0))</f>
        <v>210</v>
      </c>
      <c r="I29" s="1072">
        <f t="shared" si="2"/>
        <v>48</v>
      </c>
      <c r="J29" s="773" t="s">
        <v>654</v>
      </c>
      <c r="K29" s="1073">
        <f t="shared" si="3"/>
        <v>400</v>
      </c>
      <c r="L29" s="1072">
        <v>0</v>
      </c>
      <c r="M29" s="1127">
        <f t="shared" ca="1" si="0"/>
        <v>200</v>
      </c>
      <c r="P29" s="577" t="str">
        <f ca="1">IF(RWDI_FACTORS!P124="""",'Tunnel CTL File'!P28,LEFT(RWDI_FACTORS!P124,LEN(RWDI_FACTORS!P124)-$P$6)&amp;$P$5)</f>
        <v xml:space="preserve">Open </v>
      </c>
      <c r="Q29" s="577" t="str">
        <f>IF(RWDI_FACTORS!Q124="","",RWDI_FACTORS!Q124)</f>
        <v/>
      </c>
    </row>
    <row r="30" spans="2:17" x14ac:dyDescent="0.2">
      <c r="B30" s="1136" t="str">
        <f>B10</f>
        <v xml:space="preserve">Open </v>
      </c>
      <c r="C30" s="1136">
        <f>C10+99</f>
        <v>299</v>
      </c>
      <c r="D30" s="577">
        <f t="shared" ca="1" si="1"/>
        <v>0</v>
      </c>
      <c r="E30" s="1006" t="s">
        <v>757</v>
      </c>
      <c r="G30" s="1126"/>
      <c r="H30" s="773">
        <f>IF(ISERROR(ROUNDUP(RWDI_FACTORS!J125,0))=TRUE,RWDI_FACTORS!J125,ROUNDUP(RWDI_FACTORS!J125,0))</f>
        <v>220</v>
      </c>
      <c r="I30" s="1072">
        <f t="shared" si="2"/>
        <v>48</v>
      </c>
      <c r="J30" s="773" t="s">
        <v>274</v>
      </c>
      <c r="K30" s="1073">
        <f t="shared" si="3"/>
        <v>400</v>
      </c>
      <c r="L30" s="1072">
        <v>0</v>
      </c>
      <c r="M30" s="1127">
        <f t="shared" ca="1" si="0"/>
        <v>300</v>
      </c>
      <c r="P30" s="577" t="str">
        <f ca="1">IF(RWDI_FACTORS!P125="""",'Tunnel CTL File'!P29,LEFT(RWDI_FACTORS!P125,LEN(RWDI_FACTORS!P125)-$P$6)&amp;$P$5)</f>
        <v xml:space="preserve">Opsub </v>
      </c>
      <c r="Q30" s="577" t="str">
        <f>IF(RWDI_FACTORS!Q125="","",RWDI_FACTORS!Q125)</f>
        <v/>
      </c>
    </row>
    <row r="31" spans="2:17" x14ac:dyDescent="0.2">
      <c r="B31" s="1136" t="str">
        <f>B11</f>
        <v xml:space="preserve">Opsub </v>
      </c>
      <c r="C31" s="1136">
        <f>C11+99</f>
        <v>399</v>
      </c>
      <c r="D31" s="577">
        <f t="shared" ca="1" si="1"/>
        <v>0</v>
      </c>
      <c r="E31" s="1006" t="s">
        <v>758</v>
      </c>
      <c r="G31" s="1126"/>
      <c r="H31" s="773">
        <f>IF(ISERROR(ROUNDUP(RWDI_FACTORS!J126,0))=TRUE,RWDI_FACTORS!J126,ROUNDUP(RWDI_FACTORS!J126,0))</f>
        <v>230</v>
      </c>
      <c r="I31" s="1072">
        <f t="shared" si="2"/>
        <v>48</v>
      </c>
      <c r="J31" s="773" t="s">
        <v>274</v>
      </c>
      <c r="K31" s="1073">
        <f t="shared" si="3"/>
        <v>400</v>
      </c>
      <c r="L31" s="1072">
        <v>0</v>
      </c>
      <c r="M31" s="1127">
        <f t="shared" ca="1" si="0"/>
        <v>300</v>
      </c>
      <c r="P31" s="577" t="str">
        <f ca="1">IF(RWDI_FACTORS!P126="""",'Tunnel CTL File'!P30,LEFT(RWDI_FACTORS!P126,LEN(RWDI_FACTORS!P126)-$P$6)&amp;$P$5)</f>
        <v xml:space="preserve">Opsub </v>
      </c>
      <c r="Q31" s="577" t="str">
        <f>IF(RWDI_FACTORS!Q126="","",RWDI_FACTORS!Q126)</f>
        <v/>
      </c>
    </row>
    <row r="32" spans="2:17" x14ac:dyDescent="0.2">
      <c r="B32" s="1136" t="str">
        <f>B12</f>
        <v xml:space="preserve">Suburban </v>
      </c>
      <c r="C32" s="1136">
        <f>C12+99</f>
        <v>499</v>
      </c>
      <c r="D32" s="577">
        <f t="shared" ca="1" si="1"/>
        <v>0</v>
      </c>
      <c r="E32" s="1006" t="s">
        <v>759</v>
      </c>
      <c r="G32" s="1126"/>
      <c r="H32" s="773">
        <f>IF(ISERROR(ROUNDUP(RWDI_FACTORS!J127,0))=TRUE,RWDI_FACTORS!J127,ROUNDUP(RWDI_FACTORS!J127,0))</f>
        <v>240</v>
      </c>
      <c r="I32" s="1072">
        <f t="shared" si="2"/>
        <v>48</v>
      </c>
      <c r="J32" s="773" t="s">
        <v>274</v>
      </c>
      <c r="K32" s="1073">
        <f t="shared" si="3"/>
        <v>400</v>
      </c>
      <c r="L32" s="1072">
        <v>0</v>
      </c>
      <c r="M32" s="1127">
        <f t="shared" ca="1" si="0"/>
        <v>300</v>
      </c>
      <c r="P32" s="577" t="str">
        <f ca="1">IF(RWDI_FACTORS!P127="""",'Tunnel CTL File'!P31,LEFT(RWDI_FACTORS!P127,LEN(RWDI_FACTORS!P127)-$P$6)&amp;$P$5)</f>
        <v xml:space="preserve">Opsub </v>
      </c>
      <c r="Q32" s="577" t="str">
        <f>IF(RWDI_FACTORS!Q127="","",RWDI_FACTORS!Q127)</f>
        <v/>
      </c>
    </row>
    <row r="33" spans="2:17" x14ac:dyDescent="0.2">
      <c r="B33" s="1136" t="s">
        <v>789</v>
      </c>
      <c r="C33" s="1136">
        <v>999</v>
      </c>
      <c r="D33" s="577">
        <f t="shared" ca="1" si="1"/>
        <v>0</v>
      </c>
      <c r="E33" s="1006" t="s">
        <v>804</v>
      </c>
      <c r="G33" s="1126"/>
      <c r="H33" s="773">
        <f>IF(ISERROR(ROUNDUP(RWDI_FACTORS!J128,0))=TRUE,RWDI_FACTORS!J128,ROUNDUP(RWDI_FACTORS!J128,0))</f>
        <v>250</v>
      </c>
      <c r="I33" s="1072">
        <f t="shared" si="2"/>
        <v>48</v>
      </c>
      <c r="J33" s="773" t="s">
        <v>266</v>
      </c>
      <c r="K33" s="1073">
        <f t="shared" si="3"/>
        <v>400</v>
      </c>
      <c r="L33" s="1072">
        <v>0</v>
      </c>
      <c r="M33" s="1127">
        <f t="shared" ca="1" si="0"/>
        <v>400</v>
      </c>
      <c r="P33" s="577" t="str">
        <f ca="1">IF(RWDI_FACTORS!P128="""",'Tunnel CTL File'!P32,LEFT(RWDI_FACTORS!P128,LEN(RWDI_FACTORS!P128)-$P$6)&amp;$P$5)</f>
        <v xml:space="preserve">Suburban </v>
      </c>
      <c r="Q33" s="577" t="str">
        <f>IF(RWDI_FACTORS!Q128="","",RWDI_FACTORS!Q128)</f>
        <v/>
      </c>
    </row>
    <row r="34" spans="2:17" x14ac:dyDescent="0.2">
      <c r="B34" s="1136" t="str">
        <f>B14</f>
        <v xml:space="preserve">Urban </v>
      </c>
      <c r="C34" s="1136">
        <f>C14+99</f>
        <v>599</v>
      </c>
      <c r="D34" s="577">
        <f t="shared" ca="1" si="1"/>
        <v>0</v>
      </c>
      <c r="E34" s="1006" t="s">
        <v>760</v>
      </c>
      <c r="G34" s="1126"/>
      <c r="H34" s="773">
        <f>IF(ISERROR(ROUNDUP(RWDI_FACTORS!J129,0))=TRUE,RWDI_FACTORS!J129,ROUNDUP(RWDI_FACTORS!J129,0))</f>
        <v>260</v>
      </c>
      <c r="I34" s="1072">
        <f t="shared" si="2"/>
        <v>48</v>
      </c>
      <c r="J34" s="773" t="s">
        <v>274</v>
      </c>
      <c r="K34" s="1073">
        <f t="shared" si="3"/>
        <v>400</v>
      </c>
      <c r="L34" s="1072">
        <v>0</v>
      </c>
      <c r="M34" s="1127">
        <f t="shared" ca="1" si="0"/>
        <v>400</v>
      </c>
      <c r="P34" s="577" t="str">
        <f ca="1">IF(RWDI_FACTORS!P129="""",'Tunnel CTL File'!P33,LEFT(RWDI_FACTORS!P129,LEN(RWDI_FACTORS!P129)-$P$6)&amp;$P$5)</f>
        <v xml:space="preserve">Suburban </v>
      </c>
      <c r="Q34" s="577" t="str">
        <f>IF(RWDI_FACTORS!Q129="","",RWDI_FACTORS!Q129)</f>
        <v/>
      </c>
    </row>
    <row r="35" spans="2:17" x14ac:dyDescent="0.2">
      <c r="G35" s="1126"/>
      <c r="H35" s="773">
        <f>IF(ISERROR(ROUNDUP(RWDI_FACTORS!J130,0))=TRUE,RWDI_FACTORS!J130,ROUNDUP(RWDI_FACTORS!J130,0))</f>
        <v>270</v>
      </c>
      <c r="I35" s="1072">
        <f t="shared" si="2"/>
        <v>48</v>
      </c>
      <c r="J35" s="773" t="s">
        <v>274</v>
      </c>
      <c r="K35" s="1073">
        <f t="shared" si="3"/>
        <v>400</v>
      </c>
      <c r="L35" s="1072">
        <v>0</v>
      </c>
      <c r="M35" s="1127">
        <f t="shared" ca="1" si="0"/>
        <v>400</v>
      </c>
      <c r="P35" s="577" t="str">
        <f ca="1">IF(RWDI_FACTORS!P130="""",'Tunnel CTL File'!P34,LEFT(RWDI_FACTORS!P130,LEN(RWDI_FACTORS!P130)-$P$6)&amp;$P$5)</f>
        <v xml:space="preserve">Suburban </v>
      </c>
      <c r="Q35" s="577" t="str">
        <f>IF(RWDI_FACTORS!Q130="","",RWDI_FACTORS!Q130)</f>
        <v/>
      </c>
    </row>
    <row r="36" spans="2:17" x14ac:dyDescent="0.2">
      <c r="B36" s="1137" t="s">
        <v>689</v>
      </c>
      <c r="D36" s="577">
        <f>COUNTIF($Q$9:$Q$44,"="&amp;B36)</f>
        <v>0</v>
      </c>
      <c r="G36" s="1126"/>
      <c r="H36" s="773">
        <f>IF(ISERROR(ROUNDUP(RWDI_FACTORS!J131,0))=TRUE,RWDI_FACTORS!J131,ROUNDUP(RWDI_FACTORS!J131,0))</f>
        <v>280</v>
      </c>
      <c r="I36" s="1072">
        <f t="shared" si="2"/>
        <v>48</v>
      </c>
      <c r="J36" s="773" t="s">
        <v>274</v>
      </c>
      <c r="K36" s="1073">
        <f t="shared" si="3"/>
        <v>400</v>
      </c>
      <c r="L36" s="1072">
        <v>0</v>
      </c>
      <c r="M36" s="1127">
        <f t="shared" ca="1" si="0"/>
        <v>500</v>
      </c>
      <c r="P36" s="577" t="str">
        <f ca="1">IF(RWDI_FACTORS!P131="""",'Tunnel CTL File'!P35,LEFT(RWDI_FACTORS!P131,LEN(RWDI_FACTORS!P131)-$P$6)&amp;$P$5)</f>
        <v xml:space="preserve">Urban </v>
      </c>
      <c r="Q36" s="577" t="str">
        <f>IF(RWDI_FACTORS!Q131="","",RWDI_FACTORS!Q131)</f>
        <v/>
      </c>
    </row>
    <row r="37" spans="2:17" x14ac:dyDescent="0.2">
      <c r="B37" s="1137" t="s">
        <v>691</v>
      </c>
      <c r="D37" s="577">
        <f>COUNTIF($Q$9:$Q$44,"="&amp;B37)</f>
        <v>0</v>
      </c>
      <c r="G37" s="1126"/>
      <c r="H37" s="773">
        <f>IF(ISERROR(ROUNDUP(RWDI_FACTORS!J132,0))=TRUE,RWDI_FACTORS!J132,ROUNDUP(RWDI_FACTORS!J132,0))</f>
        <v>290</v>
      </c>
      <c r="I37" s="1072">
        <f t="shared" si="2"/>
        <v>48</v>
      </c>
      <c r="J37" s="773" t="s">
        <v>654</v>
      </c>
      <c r="K37" s="1073">
        <f t="shared" si="3"/>
        <v>400</v>
      </c>
      <c r="L37" s="1072">
        <v>0</v>
      </c>
      <c r="M37" s="1127">
        <f t="shared" ca="1" si="0"/>
        <v>500</v>
      </c>
      <c r="P37" s="577" t="str">
        <f ca="1">IF(RWDI_FACTORS!P132="""",'Tunnel CTL File'!P36,LEFT(RWDI_FACTORS!P132,LEN(RWDI_FACTORS!P132)-$P$6)&amp;$P$5)</f>
        <v xml:space="preserve">Urban </v>
      </c>
      <c r="Q37" s="577" t="str">
        <f>IF(RWDI_FACTORS!Q132="","",RWDI_FACTORS!Q132)</f>
        <v/>
      </c>
    </row>
    <row r="38" spans="2:17" x14ac:dyDescent="0.2">
      <c r="B38" s="1137" t="s">
        <v>693</v>
      </c>
      <c r="D38" s="577">
        <f>COUNTIF($Q$9:$Q$44,"="&amp;B38)</f>
        <v>0</v>
      </c>
      <c r="G38" s="1126"/>
      <c r="H38" s="773">
        <f>IF(ISERROR(ROUNDUP(RWDI_FACTORS!J133,0))=TRUE,RWDI_FACTORS!J133,ROUNDUP(RWDI_FACTORS!J133,0))</f>
        <v>300</v>
      </c>
      <c r="I38" s="1072">
        <f t="shared" si="2"/>
        <v>48</v>
      </c>
      <c r="J38" s="773" t="s">
        <v>274</v>
      </c>
      <c r="K38" s="1073">
        <f t="shared" si="3"/>
        <v>400</v>
      </c>
      <c r="L38" s="1072">
        <v>0</v>
      </c>
      <c r="M38" s="1127">
        <f t="shared" ca="1" si="0"/>
        <v>500</v>
      </c>
      <c r="P38" s="577" t="str">
        <f ca="1">IF(RWDI_FACTORS!P133="""",'Tunnel CTL File'!P37,LEFT(RWDI_FACTORS!P133,LEN(RWDI_FACTORS!P133)-$P$6)&amp;$P$5)</f>
        <v xml:space="preserve">Urban </v>
      </c>
      <c r="Q38" s="577" t="str">
        <f>IF(RWDI_FACTORS!Q133="","",RWDI_FACTORS!Q133)</f>
        <v/>
      </c>
    </row>
    <row r="39" spans="2:17" x14ac:dyDescent="0.2">
      <c r="B39" s="1137" t="s">
        <v>694</v>
      </c>
      <c r="D39" s="577">
        <f>COUNTIF($Q$9:$Q$44,"="&amp;B39)</f>
        <v>0</v>
      </c>
      <c r="G39" s="1126"/>
      <c r="H39" s="773">
        <f>IF(ISERROR(ROUNDUP(RWDI_FACTORS!J134,0))=TRUE,RWDI_FACTORS!J134,ROUNDUP(RWDI_FACTORS!J134,0))</f>
        <v>310</v>
      </c>
      <c r="I39" s="1072">
        <f t="shared" si="2"/>
        <v>48</v>
      </c>
      <c r="J39" s="773" t="s">
        <v>274</v>
      </c>
      <c r="K39" s="1073">
        <f t="shared" si="3"/>
        <v>400</v>
      </c>
      <c r="L39" s="1072">
        <v>0</v>
      </c>
      <c r="M39" s="1127">
        <f t="shared" ca="1" si="0"/>
        <v>900</v>
      </c>
      <c r="P39" s="577" t="str">
        <f ca="1">IF(RWDI_FACTORS!P134="""",'Tunnel CTL File'!P38,LEFT(RWDI_FACTORS!P134,LEN(RWDI_FACTORS!P134)-$P$6)&amp;$P$5)</f>
        <v xml:space="preserve">Light Urban </v>
      </c>
      <c r="Q39" s="577" t="str">
        <f>IF(RWDI_FACTORS!Q134="","",RWDI_FACTORS!Q134)</f>
        <v/>
      </c>
    </row>
    <row r="40" spans="2:17" x14ac:dyDescent="0.2">
      <c r="B40" s="1137" t="s">
        <v>695</v>
      </c>
      <c r="D40" s="577">
        <f>COUNTIF($Q$9:$Q$44,"="&amp;B40)</f>
        <v>0</v>
      </c>
      <c r="G40" s="1126"/>
      <c r="H40" s="773">
        <f>IF(ISERROR(ROUNDUP(RWDI_FACTORS!J135,0))=TRUE,RWDI_FACTORS!J135,ROUNDUP(RWDI_FACTORS!J135,0))</f>
        <v>320</v>
      </c>
      <c r="I40" s="1072">
        <f t="shared" si="2"/>
        <v>48</v>
      </c>
      <c r="J40" s="773" t="s">
        <v>274</v>
      </c>
      <c r="K40" s="1073">
        <f t="shared" si="3"/>
        <v>400</v>
      </c>
      <c r="L40" s="1072">
        <v>0</v>
      </c>
      <c r="M40" s="1127">
        <f t="shared" ca="1" si="0"/>
        <v>900</v>
      </c>
      <c r="P40" s="577" t="str">
        <f ca="1">IF(RWDI_FACTORS!P135="""",'Tunnel CTL File'!P39,LEFT(RWDI_FACTORS!P135,LEN(RWDI_FACTORS!P135)-$P$6)&amp;$P$5)</f>
        <v xml:space="preserve">Light Urban </v>
      </c>
      <c r="Q40" s="577" t="str">
        <f>IF(RWDI_FACTORS!Q135="","",RWDI_FACTORS!Q135)</f>
        <v/>
      </c>
    </row>
    <row r="41" spans="2:17" x14ac:dyDescent="0.2">
      <c r="B41" s="542" t="s">
        <v>688</v>
      </c>
      <c r="D41" s="577">
        <f t="shared" ref="D41:D43" si="4">COUNTIF($Q$9:$Q$44,"="&amp;B41)</f>
        <v>0</v>
      </c>
      <c r="G41" s="1126"/>
      <c r="H41" s="773">
        <f>IF(ISERROR(ROUNDUP(RWDI_FACTORS!J136,0))=TRUE,RWDI_FACTORS!J136,ROUNDUP(RWDI_FACTORS!J136,0))</f>
        <v>330</v>
      </c>
      <c r="I41" s="1072">
        <f t="shared" si="2"/>
        <v>48</v>
      </c>
      <c r="J41" s="773" t="s">
        <v>654</v>
      </c>
      <c r="K41" s="1073">
        <f t="shared" si="3"/>
        <v>400</v>
      </c>
      <c r="L41" s="1072">
        <v>0</v>
      </c>
      <c r="M41" s="1127">
        <f t="shared" ca="1" si="0"/>
        <v>900</v>
      </c>
      <c r="P41" s="577" t="str">
        <f ca="1">IF(RWDI_FACTORS!P136="""",'Tunnel CTL File'!P40,LEFT(RWDI_FACTORS!P136,LEN(RWDI_FACTORS!P136)-$P$6)&amp;$P$5)</f>
        <v xml:space="preserve">Light Urban </v>
      </c>
      <c r="Q41" s="577" t="str">
        <f>IF(RWDI_FACTORS!Q136="","",RWDI_FACTORS!Q136)</f>
        <v/>
      </c>
    </row>
    <row r="42" spans="2:17" x14ac:dyDescent="0.2">
      <c r="B42" s="542" t="s">
        <v>690</v>
      </c>
      <c r="D42" s="577">
        <f t="shared" si="4"/>
        <v>0</v>
      </c>
      <c r="G42" s="1126"/>
      <c r="H42" s="773">
        <f>IF(ISERROR(ROUNDUP(RWDI_FACTORS!J137,0))=TRUE,RWDI_FACTORS!J137,ROUNDUP(RWDI_FACTORS!J137,0))</f>
        <v>340</v>
      </c>
      <c r="I42" s="1072">
        <f t="shared" si="2"/>
        <v>48</v>
      </c>
      <c r="J42" s="773" t="s">
        <v>274</v>
      </c>
      <c r="K42" s="1073">
        <f t="shared" si="3"/>
        <v>400</v>
      </c>
      <c r="L42" s="1072">
        <v>0</v>
      </c>
      <c r="M42" s="1127">
        <f t="shared" ca="1" si="0"/>
        <v>400</v>
      </c>
      <c r="P42" s="577" t="str">
        <f ca="1">IF(RWDI_FACTORS!P137="""",'Tunnel CTL File'!P41,LEFT(RWDI_FACTORS!P137,LEN(RWDI_FACTORS!P137)-$P$6)&amp;$P$5)</f>
        <v xml:space="preserve">Suburban </v>
      </c>
      <c r="Q42" s="577" t="str">
        <f>IF(RWDI_FACTORS!Q137="","",RWDI_FACTORS!Q137)</f>
        <v/>
      </c>
    </row>
    <row r="43" spans="2:17" x14ac:dyDescent="0.2">
      <c r="B43" s="542" t="s">
        <v>692</v>
      </c>
      <c r="D43" s="577">
        <f t="shared" si="4"/>
        <v>0</v>
      </c>
      <c r="G43" s="1126"/>
      <c r="H43" s="773">
        <f>IF(ISERROR(ROUNDUP(RWDI_FACTORS!J138,0))=TRUE,RWDI_FACTORS!J138,ROUNDUP(RWDI_FACTORS!J138,0))</f>
        <v>350</v>
      </c>
      <c r="I43" s="1072">
        <f t="shared" si="2"/>
        <v>48</v>
      </c>
      <c r="J43" s="773" t="s">
        <v>274</v>
      </c>
      <c r="K43" s="1073">
        <f t="shared" si="3"/>
        <v>400</v>
      </c>
      <c r="L43" s="1072">
        <v>0</v>
      </c>
      <c r="M43" s="1127">
        <f t="shared" ca="1" si="0"/>
        <v>400</v>
      </c>
      <c r="P43" s="577" t="str">
        <f ca="1">IF(RWDI_FACTORS!P138="""",'Tunnel CTL File'!P42,LEFT(RWDI_FACTORS!P138,LEN(RWDI_FACTORS!P138)-$P$6)&amp;$P$5)</f>
        <v xml:space="preserve">Suburban </v>
      </c>
      <c r="Q43" s="577" t="str">
        <f>IF(RWDI_FACTORS!Q138="","",RWDI_FACTORS!Q138)</f>
        <v/>
      </c>
    </row>
    <row r="44" spans="2:17" x14ac:dyDescent="0.2">
      <c r="G44" s="1128"/>
      <c r="H44" s="1129">
        <f>IF(ISERROR(ROUNDUP(RWDI_FACTORS!J139,0))=TRUE,RWDI_FACTORS!J139,ROUNDUP(RWDI_FACTORS!J139,0))</f>
        <v>360</v>
      </c>
      <c r="I44" s="1130">
        <f t="shared" si="2"/>
        <v>48</v>
      </c>
      <c r="J44" s="1129" t="s">
        <v>274</v>
      </c>
      <c r="K44" s="1129">
        <f t="shared" si="3"/>
        <v>400</v>
      </c>
      <c r="L44" s="1130">
        <v>0</v>
      </c>
      <c r="M44" s="1131">
        <f t="shared" ca="1" si="0"/>
        <v>400</v>
      </c>
      <c r="P44" s="577" t="str">
        <f ca="1">IF(RWDI_FACTORS!P139="""",'Tunnel CTL File'!P43,LEFT(RWDI_FACTORS!P139,LEN(RWDI_FACTORS!P139)-$P$6)&amp;$P$5)</f>
        <v xml:space="preserve">Suburban </v>
      </c>
      <c r="Q44" s="577" t="str">
        <f>IF(RWDI_FACTORS!Q139="","",RWDI_FACTORS!Q139)</f>
        <v/>
      </c>
    </row>
  </sheetData>
  <conditionalFormatting sqref="M9:M4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Sheet21.exportctl">
                <anchor moveWithCells="1" sizeWithCells="1">
                  <from>
                    <xdr:col>8</xdr:col>
                    <xdr:colOff>9525</xdr:colOff>
                    <xdr:row>1</xdr:row>
                    <xdr:rowOff>19050</xdr:rowOff>
                  </from>
                  <to>
                    <xdr:col>9</xdr:col>
                    <xdr:colOff>9525</xdr:colOff>
                    <xdr:row>3</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B2:G21"/>
  <sheetViews>
    <sheetView workbookViewId="0"/>
  </sheetViews>
  <sheetFormatPr defaultRowHeight="12.75" x14ac:dyDescent="0.2"/>
  <sheetData>
    <row r="2" spans="2:7" x14ac:dyDescent="0.2">
      <c r="B2" s="289" t="s">
        <v>228</v>
      </c>
      <c r="C2" s="309" t="s">
        <v>229</v>
      </c>
      <c r="D2" s="309"/>
      <c r="G2" s="300" t="s">
        <v>247</v>
      </c>
    </row>
    <row r="3" spans="2:7" x14ac:dyDescent="0.2">
      <c r="B3" s="289" t="s">
        <v>230</v>
      </c>
      <c r="C3" s="309" t="s">
        <v>231</v>
      </c>
      <c r="G3" s="313" t="s">
        <v>248</v>
      </c>
    </row>
    <row r="4" spans="2:7" x14ac:dyDescent="0.2">
      <c r="B4" s="289" t="s">
        <v>232</v>
      </c>
      <c r="C4" s="309" t="s">
        <v>233</v>
      </c>
    </row>
    <row r="6" spans="2:7" x14ac:dyDescent="0.2">
      <c r="C6" s="276" t="s">
        <v>251</v>
      </c>
      <c r="D6" s="313">
        <f>+RWDI_FACTORS!D6*0.75</f>
        <v>445.39575000000002</v>
      </c>
    </row>
    <row r="7" spans="2:7" x14ac:dyDescent="0.2">
      <c r="C7" s="276"/>
      <c r="D7" s="58"/>
    </row>
    <row r="8" spans="2:7" x14ac:dyDescent="0.2">
      <c r="C8" s="276" t="s">
        <v>237</v>
      </c>
      <c r="D8" s="300">
        <f>'Wind speed'!C19*2.24</f>
        <v>153.6291944235646</v>
      </c>
      <c r="E8" t="s">
        <v>246</v>
      </c>
    </row>
    <row r="9" spans="2:7" x14ac:dyDescent="0.2">
      <c r="C9" s="276" t="s">
        <v>238</v>
      </c>
      <c r="D9" s="300">
        <v>1</v>
      </c>
    </row>
    <row r="10" spans="2:7" x14ac:dyDescent="0.2">
      <c r="C10" s="276" t="s">
        <v>234</v>
      </c>
      <c r="D10" s="58" t="s">
        <v>203</v>
      </c>
      <c r="E10" s="58" t="s">
        <v>204</v>
      </c>
      <c r="F10" s="58" t="s">
        <v>205</v>
      </c>
      <c r="G10" s="58" t="s">
        <v>206</v>
      </c>
    </row>
    <row r="11" spans="2:7" x14ac:dyDescent="0.2">
      <c r="C11" s="276" t="s">
        <v>235</v>
      </c>
      <c r="D11" s="58">
        <v>5</v>
      </c>
      <c r="E11" s="58">
        <v>7</v>
      </c>
      <c r="F11" s="58">
        <v>9.5</v>
      </c>
      <c r="G11" s="58">
        <v>11.5</v>
      </c>
    </row>
    <row r="12" spans="2:7" x14ac:dyDescent="0.2">
      <c r="C12" s="276" t="s">
        <v>236</v>
      </c>
      <c r="D12" s="58">
        <v>1500</v>
      </c>
      <c r="E12" s="58">
        <v>1200</v>
      </c>
      <c r="F12" s="58">
        <v>900</v>
      </c>
      <c r="G12" s="58">
        <v>700</v>
      </c>
    </row>
    <row r="13" spans="2:7" x14ac:dyDescent="0.2">
      <c r="C13" s="276" t="s">
        <v>239</v>
      </c>
      <c r="D13" s="277">
        <f>2.01*(MAX(15,$D$6)/D12)^(2/D11)</f>
        <v>1.2366818337353713</v>
      </c>
      <c r="E13" s="277">
        <f>2.01*(MAX(15,$D$6)/E12)^(2/E11)</f>
        <v>1.5143092603335244</v>
      </c>
      <c r="F13" s="277">
        <f>2.01*(MAX(15,$D$6)/F12)^(2/F11)</f>
        <v>1.7333290561796297</v>
      </c>
      <c r="G13" s="277">
        <f>2.01*(MAX(15,$D$6)/G12)^(2/G11)</f>
        <v>1.8580093214981597</v>
      </c>
    </row>
    <row r="14" spans="2:7" x14ac:dyDescent="0.2">
      <c r="C14" s="276" t="s">
        <v>240</v>
      </c>
      <c r="D14" s="58">
        <v>1</v>
      </c>
      <c r="E14" s="58">
        <v>1</v>
      </c>
      <c r="F14" s="58">
        <v>1</v>
      </c>
      <c r="G14" s="58">
        <v>1</v>
      </c>
    </row>
    <row r="15" spans="2:7" x14ac:dyDescent="0.2">
      <c r="C15" s="276" t="s">
        <v>241</v>
      </c>
      <c r="D15" s="58">
        <v>1</v>
      </c>
      <c r="E15" s="58">
        <v>1</v>
      </c>
      <c r="F15" s="58">
        <v>1</v>
      </c>
      <c r="G15" s="58">
        <v>1</v>
      </c>
    </row>
    <row r="16" spans="2:7" x14ac:dyDescent="0.2">
      <c r="C16" s="276" t="s">
        <v>242</v>
      </c>
      <c r="D16" s="279">
        <f>0.00256*$D$8^2*D13*D14*D15*$D$9</f>
        <v>74.72147789927196</v>
      </c>
      <c r="E16" s="279">
        <f>0.00256*$D$8^2*E13*E14*E15*$D$9</f>
        <v>91.495987765020232</v>
      </c>
      <c r="F16" s="279">
        <f>0.00256*$D$8^2*F13*F14*F15*$D$9</f>
        <v>104.72936953580781</v>
      </c>
      <c r="G16" s="279">
        <f>0.00256*$D$8^2*G13*G14*G15*$D$9</f>
        <v>112.26266826740981</v>
      </c>
    </row>
    <row r="17" spans="3:7" x14ac:dyDescent="0.2">
      <c r="C17" s="276" t="s">
        <v>249</v>
      </c>
      <c r="D17" s="314">
        <f>SQRT(+D16/0.00256)*1.609/3.6</f>
        <v>76.358306383104249</v>
      </c>
      <c r="E17" s="314">
        <f>SQRT(+E16/0.00256)*1.609/3.6</f>
        <v>84.495695621254242</v>
      </c>
      <c r="F17" s="314">
        <f>SQRT(+F16/0.00256)*1.609/3.6</f>
        <v>90.399869853793703</v>
      </c>
      <c r="G17" s="314">
        <f>SQRT(+G16/0.00256)*1.609/3.6</f>
        <v>93.594696610005656</v>
      </c>
    </row>
    <row r="20" spans="3:7" x14ac:dyDescent="0.2">
      <c r="C20" s="276"/>
      <c r="D20" s="58"/>
    </row>
    <row r="21" spans="3:7" x14ac:dyDescent="0.2">
      <c r="C21" s="276"/>
      <c r="D21" s="58"/>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pageSetUpPr fitToPage="1"/>
  </sheetPr>
  <dimension ref="A1:KT302"/>
  <sheetViews>
    <sheetView topLeftCell="GU1" zoomScale="80" zoomScaleNormal="80" workbookViewId="0">
      <selection activeCell="HC8" sqref="HC8:HO27"/>
    </sheetView>
  </sheetViews>
  <sheetFormatPr defaultRowHeight="12.75" x14ac:dyDescent="0.2"/>
  <cols>
    <col min="1" max="1" width="16.42578125" customWidth="1"/>
    <col min="21" max="21" width="15.85546875" customWidth="1"/>
    <col min="64" max="67" width="6.7109375" customWidth="1"/>
    <col min="68" max="68" width="8.7109375" customWidth="1"/>
    <col min="69" max="69" width="6.7109375" customWidth="1"/>
    <col min="70" max="70" width="8.5703125" customWidth="1"/>
    <col min="71" max="73" width="6.7109375" customWidth="1"/>
    <col min="75" max="77" width="7.140625" customWidth="1"/>
    <col min="78" max="99" width="8" customWidth="1"/>
    <col min="100" max="100" width="7.140625" customWidth="1"/>
    <col min="101" max="101" width="1.5703125" style="532" customWidth="1"/>
    <col min="102" max="104" width="7.140625" customWidth="1"/>
    <col min="113" max="113" width="3.5703125" customWidth="1"/>
    <col min="114" max="114" width="6.42578125" customWidth="1"/>
    <col min="115" max="115" width="3.28515625" customWidth="1"/>
    <col min="176" max="176" width="9.85546875" customWidth="1"/>
    <col min="190" max="190" width="16.28515625" customWidth="1"/>
    <col min="196" max="196" width="9.85546875" customWidth="1"/>
    <col min="217" max="217" width="9.85546875" customWidth="1"/>
    <col min="230" max="230" width="13.7109375" bestFit="1" customWidth="1"/>
    <col min="239" max="239" width="9.85546875" customWidth="1"/>
    <col min="252" max="252" width="13.7109375" bestFit="1" customWidth="1"/>
    <col min="255" max="255" width="16.28515625" customWidth="1"/>
    <col min="261" max="261" width="9.85546875" customWidth="1"/>
  </cols>
  <sheetData>
    <row r="1" spans="1:306" ht="18.75" x14ac:dyDescent="0.3">
      <c r="A1" s="274" t="s">
        <v>259</v>
      </c>
      <c r="F1" s="345" t="s">
        <v>260</v>
      </c>
      <c r="G1" s="2"/>
      <c r="H1" s="2"/>
      <c r="I1" s="2"/>
      <c r="T1" s="356"/>
      <c r="U1" s="357"/>
      <c r="V1" s="362" t="s">
        <v>265</v>
      </c>
      <c r="W1" s="357"/>
      <c r="X1" s="357"/>
      <c r="Y1" s="357"/>
      <c r="Z1" s="357"/>
      <c r="AA1" s="357"/>
      <c r="AB1" s="357"/>
      <c r="AC1" s="357"/>
      <c r="AD1" s="357"/>
      <c r="AE1" s="357"/>
      <c r="AF1" s="357"/>
      <c r="AG1" s="360"/>
      <c r="AH1" s="360"/>
      <c r="AI1" s="358"/>
      <c r="AJ1" s="360"/>
      <c r="AK1" s="360"/>
      <c r="AL1" s="360"/>
      <c r="AM1" s="360"/>
      <c r="AN1" s="360"/>
      <c r="AO1" s="360"/>
      <c r="AP1" s="360"/>
      <c r="AQ1" s="360"/>
      <c r="AR1" s="360"/>
      <c r="AS1" s="360"/>
      <c r="AT1" s="360"/>
      <c r="AU1" s="360"/>
      <c r="AV1" s="360"/>
      <c r="AW1" s="360"/>
      <c r="AX1" s="360"/>
      <c r="AY1" s="360"/>
      <c r="AZ1" s="360"/>
      <c r="BA1" s="489">
        <v>2</v>
      </c>
      <c r="BB1" s="489">
        <f>BA1+2</f>
        <v>4</v>
      </c>
      <c r="BC1" s="489">
        <f t="shared" ref="BC1:BE1" si="0">BB1+2</f>
        <v>6</v>
      </c>
      <c r="BD1" s="489">
        <f t="shared" si="0"/>
        <v>8</v>
      </c>
      <c r="BE1" s="489">
        <f t="shared" si="0"/>
        <v>10</v>
      </c>
      <c r="BP1" s="489">
        <v>2</v>
      </c>
      <c r="BQ1" s="489">
        <f>BP1+1</f>
        <v>3</v>
      </c>
      <c r="BR1" s="489">
        <f t="shared" ref="BR1:CA1" si="1">BQ1+1</f>
        <v>4</v>
      </c>
      <c r="BS1" s="489">
        <f t="shared" si="1"/>
        <v>5</v>
      </c>
      <c r="BT1" s="489">
        <f t="shared" si="1"/>
        <v>6</v>
      </c>
      <c r="BU1" s="489">
        <f t="shared" si="1"/>
        <v>7</v>
      </c>
      <c r="BV1" s="489">
        <f t="shared" si="1"/>
        <v>8</v>
      </c>
      <c r="BW1" s="489">
        <f t="shared" si="1"/>
        <v>9</v>
      </c>
      <c r="BX1" s="489">
        <f t="shared" si="1"/>
        <v>10</v>
      </c>
      <c r="BY1" s="489">
        <f t="shared" si="1"/>
        <v>11</v>
      </c>
      <c r="BZ1" s="489">
        <f t="shared" si="1"/>
        <v>12</v>
      </c>
      <c r="CA1" s="489">
        <f t="shared" si="1"/>
        <v>13</v>
      </c>
      <c r="CB1" s="1100">
        <v>2</v>
      </c>
      <c r="CC1" s="1102">
        <v>3</v>
      </c>
      <c r="CD1" s="1102">
        <v>4</v>
      </c>
      <c r="CE1" s="1102">
        <v>5</v>
      </c>
      <c r="CF1" s="1102">
        <v>6</v>
      </c>
      <c r="CG1" s="1102">
        <v>7</v>
      </c>
      <c r="CH1" s="1102">
        <v>8</v>
      </c>
      <c r="CI1" s="1102">
        <v>9</v>
      </c>
      <c r="CJ1" s="1102">
        <v>10</v>
      </c>
      <c r="CK1" s="1102">
        <v>11</v>
      </c>
      <c r="CL1" s="1102">
        <v>12</v>
      </c>
      <c r="CM1" s="1102">
        <v>13</v>
      </c>
      <c r="CN1" s="1102">
        <v>14</v>
      </c>
      <c r="CO1" s="1102">
        <v>15</v>
      </c>
      <c r="CP1" s="1102">
        <v>16</v>
      </c>
      <c r="CQ1" s="1102">
        <v>17</v>
      </c>
      <c r="CR1" s="1102">
        <v>18</v>
      </c>
      <c r="CS1" s="1102">
        <v>19</v>
      </c>
      <c r="CT1" s="1102">
        <v>20</v>
      </c>
      <c r="CU1" s="1102">
        <v>21</v>
      </c>
      <c r="CV1" s="489"/>
      <c r="CW1" s="1055"/>
      <c r="CX1" s="1147"/>
      <c r="CY1" s="1147"/>
      <c r="CZ1" s="1147"/>
      <c r="DA1" s="1147"/>
      <c r="DB1" s="1147"/>
      <c r="DC1" s="1147"/>
      <c r="DD1" s="412"/>
      <c r="DE1" s="412"/>
      <c r="DF1" s="412"/>
      <c r="DG1" s="412"/>
      <c r="DM1" s="552"/>
      <c r="DN1" s="290"/>
      <c r="DS1" s="290"/>
      <c r="DT1" s="290"/>
      <c r="DU1" s="290"/>
      <c r="DV1" s="290"/>
      <c r="DW1" s="290"/>
      <c r="DX1" s="870"/>
      <c r="DY1" s="870"/>
      <c r="DZ1" s="870"/>
      <c r="EJ1" s="855" t="s">
        <v>398</v>
      </c>
      <c r="EK1" s="856" t="s">
        <v>738</v>
      </c>
      <c r="EL1" s="857"/>
      <c r="EM1" s="857"/>
      <c r="EN1" s="857"/>
      <c r="EO1" s="857"/>
      <c r="EP1" s="857"/>
      <c r="EQ1" s="857"/>
      <c r="ER1" s="857"/>
      <c r="ES1" s="857"/>
      <c r="ET1" s="857"/>
      <c r="EU1" s="857"/>
      <c r="EV1" s="857"/>
      <c r="EY1" s="860" t="s">
        <v>398</v>
      </c>
      <c r="EZ1" s="538" t="s">
        <v>739</v>
      </c>
      <c r="FA1" s="534"/>
      <c r="FB1" s="534"/>
      <c r="FC1" s="534"/>
      <c r="FD1" s="534"/>
      <c r="FE1" s="534"/>
      <c r="FF1" s="534"/>
      <c r="FG1" s="534"/>
      <c r="FH1" s="534"/>
      <c r="FI1" s="534"/>
      <c r="FJ1" s="534"/>
      <c r="FK1" s="534"/>
      <c r="FN1" s="532" t="s">
        <v>398</v>
      </c>
      <c r="FO1" s="1044" t="s">
        <v>628</v>
      </c>
      <c r="FP1" s="532"/>
      <c r="FQ1" s="532"/>
      <c r="FR1" s="532"/>
      <c r="FS1" s="532"/>
      <c r="FT1" s="532"/>
      <c r="FU1" s="532"/>
      <c r="FV1" s="532"/>
      <c r="FW1" s="532"/>
      <c r="FX1" s="532"/>
      <c r="FY1" s="532"/>
      <c r="FZ1" s="532"/>
      <c r="GG1">
        <v>1</v>
      </c>
      <c r="GH1" s="1066" t="s">
        <v>398</v>
      </c>
      <c r="GI1" s="1067" t="s">
        <v>769</v>
      </c>
      <c r="GJ1" s="1066"/>
      <c r="GK1" s="1066"/>
      <c r="GL1" s="1066"/>
      <c r="GM1" s="1066"/>
      <c r="GN1" s="1066"/>
      <c r="GO1" s="1066"/>
      <c r="GP1" s="1066"/>
      <c r="GQ1" s="1066"/>
      <c r="GR1" s="1066"/>
      <c r="GS1" s="1066"/>
      <c r="GT1" s="1066"/>
      <c r="HC1" s="1086" t="s">
        <v>398</v>
      </c>
      <c r="HD1" s="1087" t="s">
        <v>767</v>
      </c>
      <c r="HE1" s="1086"/>
      <c r="HF1" s="1086"/>
      <c r="HG1" s="1086"/>
      <c r="HH1" s="1086"/>
      <c r="HI1" s="1086"/>
      <c r="HJ1" s="1086"/>
      <c r="HK1" s="1086"/>
      <c r="HL1" s="1086"/>
      <c r="HM1" s="1086"/>
      <c r="HN1" s="1086"/>
      <c r="HO1" s="1086"/>
      <c r="HY1" s="1084" t="s">
        <v>398</v>
      </c>
      <c r="HZ1" s="1085" t="s">
        <v>669</v>
      </c>
      <c r="IA1" s="1084"/>
      <c r="IB1" s="1084"/>
      <c r="IC1" s="1084"/>
      <c r="ID1" s="1084"/>
      <c r="IE1" s="1084"/>
      <c r="IF1" s="1084"/>
      <c r="IG1" s="1084"/>
      <c r="IH1" s="1084"/>
      <c r="II1" s="1084"/>
      <c r="IU1" s="1171" t="s">
        <v>398</v>
      </c>
      <c r="IV1" s="1172" t="s">
        <v>773</v>
      </c>
      <c r="IW1" s="1171"/>
      <c r="IX1" s="1171"/>
      <c r="IY1" s="1171"/>
      <c r="IZ1" s="1171"/>
      <c r="JA1" s="1171"/>
      <c r="JB1" s="1171"/>
      <c r="JC1" s="1171"/>
      <c r="JD1" s="1171"/>
      <c r="JE1" s="1171"/>
      <c r="JF1" s="1171"/>
      <c r="JG1" s="1171"/>
    </row>
    <row r="2" spans="1:306" ht="18.75" x14ac:dyDescent="0.3">
      <c r="A2" s="288" t="s">
        <v>216</v>
      </c>
      <c r="T2" s="358"/>
      <c r="U2" s="359"/>
      <c r="V2" s="495" t="str">
        <f>"based on "&amp;BP4</f>
        <v>based on A24LE</v>
      </c>
      <c r="W2" s="360"/>
      <c r="X2" s="360"/>
      <c r="Y2" s="360"/>
      <c r="Z2" s="360"/>
      <c r="AA2" s="360"/>
      <c r="AB2" s="360"/>
      <c r="AC2" s="360"/>
      <c r="AD2" s="360"/>
      <c r="AE2" s="360"/>
      <c r="AF2" s="360"/>
      <c r="AG2" s="360"/>
      <c r="AH2" s="360"/>
      <c r="AI2" s="358"/>
      <c r="AJ2" s="360"/>
      <c r="AK2" s="360"/>
      <c r="AL2" s="360"/>
      <c r="AM2" s="360"/>
      <c r="AN2" s="360"/>
      <c r="AO2" s="360"/>
      <c r="AP2" s="360"/>
      <c r="AQ2" s="360"/>
      <c r="AR2" s="360"/>
      <c r="AS2" s="360"/>
      <c r="AT2" s="360"/>
      <c r="AU2" s="360"/>
      <c r="AV2" s="360"/>
      <c r="AW2" s="360"/>
      <c r="AX2" s="360"/>
      <c r="AY2" s="360"/>
      <c r="AZ2" s="360"/>
      <c r="BG2" s="84"/>
      <c r="BH2" s="84"/>
      <c r="BI2" s="84"/>
      <c r="BJ2" s="84"/>
      <c r="BK2" s="84"/>
      <c r="BL2" s="84"/>
      <c r="BM2" s="534"/>
      <c r="BN2" s="534"/>
      <c r="BO2" s="537" t="s">
        <v>401</v>
      </c>
      <c r="BP2" s="538" t="str">
        <f>RWDI_FACTORS!C3</f>
        <v>A24LE</v>
      </c>
      <c r="BQ2" s="534" t="str">
        <f>IF(OR(LEFT(BP2)="m",LEFT(BP2)="i",LEFT(BP2)="B",LEFT(BP2)="A",LEFT(BP2)="C")=TRUE,IF(OR(LEFT(BP2)="A",LEFT(BP2)="B",LEFT(BP2)="C")=TRUE,"windtunnel"&amp;RIGHT(BP2,5),"windtunnel"&amp;RIGHT(BP2,3)),"windtunnel"&amp;RIGHT(BP2,1))</f>
        <v>windtunnelA24LE</v>
      </c>
      <c r="BR2" s="534"/>
      <c r="BS2" s="534" t="str">
        <f>BQ2&amp;"height"</f>
        <v>windtunnelA24LEheight</v>
      </c>
      <c r="BT2" s="534"/>
      <c r="BU2" s="534"/>
      <c r="BV2" s="534"/>
      <c r="BW2" s="534"/>
      <c r="BX2" s="534"/>
      <c r="BY2" s="534"/>
      <c r="BZ2" s="534"/>
      <c r="CA2" s="534"/>
      <c r="CB2" s="1101" t="str">
        <f>BQ2&amp;"mod"</f>
        <v>windtunnelA24LEmod</v>
      </c>
      <c r="CC2" s="534"/>
      <c r="CD2" s="534" t="str">
        <f>CB2&amp;"height"</f>
        <v>windtunnelA24LEmodheight</v>
      </c>
      <c r="CE2" s="534"/>
      <c r="CF2" s="534"/>
      <c r="CG2" s="534"/>
      <c r="CH2" s="534"/>
      <c r="CI2" s="534"/>
      <c r="CJ2" s="534"/>
      <c r="CK2" s="534"/>
      <c r="CL2" s="534"/>
      <c r="CM2" s="534"/>
      <c r="CN2" s="534"/>
      <c r="CO2" s="534"/>
      <c r="CP2" s="534"/>
      <c r="CQ2" s="534"/>
      <c r="CR2" s="534"/>
      <c r="CS2" s="534"/>
      <c r="CT2" s="534"/>
      <c r="CU2" s="534"/>
      <c r="CV2" s="84"/>
      <c r="CW2" s="1055"/>
      <c r="CX2" s="412"/>
      <c r="CY2" s="412"/>
      <c r="CZ2" s="412"/>
      <c r="DA2" s="412"/>
      <c r="DB2" s="412"/>
      <c r="DC2" s="412"/>
      <c r="DD2" s="412"/>
      <c r="DE2" s="412"/>
      <c r="DF2" s="412"/>
      <c r="DG2" s="412"/>
      <c r="DM2" s="552"/>
      <c r="DN2" s="290"/>
      <c r="DS2" s="290"/>
      <c r="DT2" s="290"/>
      <c r="DU2" s="290"/>
      <c r="DV2" s="290"/>
      <c r="DW2" s="290"/>
      <c r="DX2" s="870"/>
      <c r="DY2" s="870"/>
      <c r="DZ2" s="870"/>
      <c r="EJ2" s="857">
        <v>1</v>
      </c>
      <c r="EK2" s="857">
        <v>2</v>
      </c>
      <c r="EL2" s="857">
        <v>3</v>
      </c>
      <c r="EM2" s="857">
        <v>4</v>
      </c>
      <c r="EN2" s="857">
        <v>5</v>
      </c>
      <c r="EO2" s="857">
        <v>6</v>
      </c>
      <c r="EP2" s="857">
        <v>7</v>
      </c>
      <c r="EQ2" s="857">
        <v>8</v>
      </c>
      <c r="ER2" s="857">
        <v>9</v>
      </c>
      <c r="ES2" s="857">
        <v>10</v>
      </c>
      <c r="ET2" s="857">
        <v>11</v>
      </c>
      <c r="EU2" s="857">
        <v>12</v>
      </c>
      <c r="EV2" s="857">
        <v>13</v>
      </c>
      <c r="EY2" s="534">
        <v>1</v>
      </c>
      <c r="EZ2" s="860">
        <v>2</v>
      </c>
      <c r="FA2" s="534">
        <v>3</v>
      </c>
      <c r="FB2" s="534">
        <v>4</v>
      </c>
      <c r="FC2" s="534">
        <v>5</v>
      </c>
      <c r="FD2" s="534">
        <v>6</v>
      </c>
      <c r="FE2" s="534">
        <v>7</v>
      </c>
      <c r="FF2" s="534">
        <v>8</v>
      </c>
      <c r="FG2" s="534">
        <v>9</v>
      </c>
      <c r="FH2" s="534">
        <v>10</v>
      </c>
      <c r="FI2" s="534">
        <v>11</v>
      </c>
      <c r="FJ2" s="534">
        <v>12</v>
      </c>
      <c r="FK2" s="534">
        <v>13</v>
      </c>
      <c r="FN2" s="532">
        <v>1</v>
      </c>
      <c r="FO2" s="532">
        <v>2</v>
      </c>
      <c r="FP2" s="532">
        <v>3</v>
      </c>
      <c r="FQ2" s="532">
        <v>4</v>
      </c>
      <c r="FR2" s="532">
        <v>5</v>
      </c>
      <c r="FS2" s="532">
        <v>6</v>
      </c>
      <c r="FT2" s="532">
        <v>7</v>
      </c>
      <c r="FU2" s="532">
        <v>8</v>
      </c>
      <c r="FV2" s="532">
        <v>9</v>
      </c>
      <c r="FW2" s="532">
        <v>10</v>
      </c>
      <c r="FX2" s="532">
        <v>11</v>
      </c>
      <c r="FY2" s="532">
        <v>12</v>
      </c>
      <c r="FZ2" s="532">
        <v>13</v>
      </c>
      <c r="GG2">
        <v>2</v>
      </c>
      <c r="GH2" s="1066">
        <v>1</v>
      </c>
      <c r="GI2" s="1066">
        <v>2</v>
      </c>
      <c r="GJ2" s="1066">
        <v>3</v>
      </c>
      <c r="GK2" s="1066">
        <v>4</v>
      </c>
      <c r="GL2" s="1066">
        <v>5</v>
      </c>
      <c r="GM2" s="1066">
        <v>6</v>
      </c>
      <c r="GN2" s="1066">
        <v>7</v>
      </c>
      <c r="GO2" s="1066">
        <v>8</v>
      </c>
      <c r="GP2" s="1066">
        <v>9</v>
      </c>
      <c r="GQ2" s="1066">
        <v>10</v>
      </c>
      <c r="GR2" s="1066">
        <v>11</v>
      </c>
      <c r="GS2" s="1066">
        <v>12</v>
      </c>
      <c r="GT2" s="1066">
        <v>13</v>
      </c>
      <c r="HC2" s="1086">
        <v>1</v>
      </c>
      <c r="HD2" s="1086">
        <v>2</v>
      </c>
      <c r="HE2" s="1086">
        <v>3</v>
      </c>
      <c r="HF2" s="1086">
        <v>4</v>
      </c>
      <c r="HG2" s="1086">
        <v>5</v>
      </c>
      <c r="HH2" s="1086">
        <v>6</v>
      </c>
      <c r="HI2" s="1086">
        <v>7</v>
      </c>
      <c r="HJ2" s="1086">
        <v>8</v>
      </c>
      <c r="HK2" s="1086">
        <v>9</v>
      </c>
      <c r="HL2" s="1086">
        <v>10</v>
      </c>
      <c r="HM2" s="1086">
        <v>11</v>
      </c>
      <c r="HN2" s="1086">
        <v>12</v>
      </c>
      <c r="HO2" s="1086">
        <v>13</v>
      </c>
      <c r="HY2" s="1084">
        <v>1</v>
      </c>
      <c r="HZ2" s="1084">
        <v>2</v>
      </c>
      <c r="IA2" s="1084">
        <v>3</v>
      </c>
      <c r="IB2" s="1084">
        <v>4</v>
      </c>
      <c r="IC2" s="1084">
        <v>5</v>
      </c>
      <c r="ID2" s="1084">
        <v>6</v>
      </c>
      <c r="IE2" s="1084">
        <v>7</v>
      </c>
      <c r="IF2" s="1084">
        <v>8</v>
      </c>
      <c r="IG2" s="1084">
        <v>9</v>
      </c>
      <c r="IH2" s="1084">
        <v>10</v>
      </c>
      <c r="II2" s="1084">
        <v>11</v>
      </c>
      <c r="IU2" s="1171">
        <v>1</v>
      </c>
      <c r="IV2" s="1171">
        <v>2</v>
      </c>
      <c r="IW2" s="1171">
        <v>3</v>
      </c>
      <c r="IX2" s="1171">
        <v>4</v>
      </c>
      <c r="IY2" s="1171">
        <v>5</v>
      </c>
      <c r="IZ2" s="1171">
        <v>6</v>
      </c>
      <c r="JA2" s="1171">
        <v>7</v>
      </c>
      <c r="JB2" s="1171">
        <v>8</v>
      </c>
      <c r="JC2" s="1171">
        <v>9</v>
      </c>
      <c r="JD2" s="1171">
        <v>10</v>
      </c>
      <c r="JE2" s="1171">
        <v>11</v>
      </c>
      <c r="JF2" s="1171">
        <v>12</v>
      </c>
      <c r="JG2" s="1171">
        <v>13</v>
      </c>
      <c r="KQ2" s="1233"/>
      <c r="KR2" s="1234"/>
      <c r="KS2" s="1234"/>
      <c r="KT2" s="1235"/>
    </row>
    <row r="3" spans="1:306" ht="15.75" x14ac:dyDescent="0.25">
      <c r="T3" s="358"/>
      <c r="U3" s="359"/>
      <c r="V3" s="430" t="s">
        <v>365</v>
      </c>
      <c r="W3" s="429">
        <v>1</v>
      </c>
      <c r="X3" s="429"/>
      <c r="Y3" s="429">
        <v>2</v>
      </c>
      <c r="Z3" s="429"/>
      <c r="AA3" s="429">
        <v>3</v>
      </c>
      <c r="AB3" s="429"/>
      <c r="AC3" s="429">
        <v>4</v>
      </c>
      <c r="AD3" s="361"/>
      <c r="AE3" s="360">
        <f>+AC3+1</f>
        <v>5</v>
      </c>
      <c r="AF3" s="360"/>
      <c r="AG3" s="360">
        <f>+AE3+1</f>
        <v>6</v>
      </c>
      <c r="AH3" s="360"/>
      <c r="AI3" s="358">
        <f>+AG3+1</f>
        <v>7</v>
      </c>
      <c r="AJ3" s="360"/>
      <c r="AK3" s="360">
        <f>+AI3+1</f>
        <v>8</v>
      </c>
      <c r="AL3" s="360"/>
      <c r="AM3" s="360">
        <f>+AK3+1</f>
        <v>9</v>
      </c>
      <c r="AN3" s="360"/>
      <c r="AO3" s="360">
        <f>+AM3+1</f>
        <v>10</v>
      </c>
      <c r="AP3" s="360"/>
      <c r="AQ3" s="360">
        <f>+AO3+1</f>
        <v>11</v>
      </c>
      <c r="AR3" s="360"/>
      <c r="AS3" s="360">
        <f>+AQ3+1</f>
        <v>12</v>
      </c>
      <c r="AT3" s="360"/>
      <c r="AU3" s="360">
        <f>+AS3+1</f>
        <v>13</v>
      </c>
      <c r="AV3" s="360"/>
      <c r="AW3" s="360">
        <f>+AU3+1</f>
        <v>14</v>
      </c>
      <c r="AX3" s="360"/>
      <c r="AY3" s="360">
        <f>+AW3+1</f>
        <v>15</v>
      </c>
      <c r="AZ3" s="360"/>
      <c r="BG3" s="520"/>
      <c r="BH3" s="520"/>
      <c r="BI3" s="84"/>
      <c r="BJ3" s="84"/>
      <c r="BK3" s="84"/>
      <c r="BL3" s="84"/>
      <c r="BM3" s="84"/>
      <c r="BN3" s="84"/>
      <c r="BP3" s="274" t="s">
        <v>393</v>
      </c>
      <c r="CB3" s="224" t="str">
        <f>IF(BQ2="windtunnelB12","windtunnelB12Mod","")</f>
        <v/>
      </c>
      <c r="CV3" s="84"/>
      <c r="CW3" s="1152"/>
      <c r="CX3" s="1148"/>
      <c r="CY3" s="865"/>
      <c r="CZ3" s="866"/>
      <c r="DA3" s="865"/>
      <c r="DB3" s="866"/>
      <c r="DC3" s="865"/>
      <c r="DD3" s="866"/>
      <c r="DE3" s="865"/>
      <c r="DF3" s="866"/>
      <c r="DG3" s="865"/>
      <c r="DM3" s="552"/>
      <c r="DN3" s="290"/>
      <c r="DS3" s="290"/>
      <c r="DT3" s="290"/>
      <c r="DU3" s="290"/>
      <c r="DV3" s="290"/>
      <c r="DW3" s="290"/>
      <c r="DX3" s="870"/>
      <c r="DY3" s="870"/>
      <c r="DZ3" s="870"/>
      <c r="EJ3" s="855"/>
      <c r="EK3" s="858" t="s">
        <v>533</v>
      </c>
      <c r="EL3" s="855"/>
      <c r="EM3" s="856" t="s">
        <v>534</v>
      </c>
      <c r="EN3" s="855"/>
      <c r="EO3" s="856" t="s">
        <v>535</v>
      </c>
      <c r="EP3" s="855"/>
      <c r="EQ3" s="856" t="s">
        <v>536</v>
      </c>
      <c r="ER3" s="855"/>
      <c r="ES3" s="856" t="s">
        <v>823</v>
      </c>
      <c r="ET3" s="855"/>
      <c r="EU3" s="856" t="s">
        <v>696</v>
      </c>
      <c r="EV3" s="855"/>
      <c r="EY3" s="860"/>
      <c r="EZ3" s="861" t="s">
        <v>537</v>
      </c>
      <c r="FA3" s="860"/>
      <c r="FB3" s="538" t="s">
        <v>538</v>
      </c>
      <c r="FC3" s="860"/>
      <c r="FD3" s="538" t="s">
        <v>539</v>
      </c>
      <c r="FE3" s="860"/>
      <c r="FF3" s="538" t="s">
        <v>540</v>
      </c>
      <c r="FG3" s="860"/>
      <c r="FH3" s="538" t="s">
        <v>766</v>
      </c>
      <c r="FI3" s="860"/>
      <c r="FJ3" s="860" t="s">
        <v>698</v>
      </c>
      <c r="FK3" s="860"/>
      <c r="FN3" s="532"/>
      <c r="FO3" s="532" t="s">
        <v>624</v>
      </c>
      <c r="FP3" s="532"/>
      <c r="FQ3" s="532" t="s">
        <v>625</v>
      </c>
      <c r="FR3" s="532"/>
      <c r="FS3" s="1044" t="s">
        <v>715</v>
      </c>
      <c r="FT3" s="532"/>
      <c r="FU3" s="532" t="s">
        <v>626</v>
      </c>
      <c r="FV3" s="532"/>
      <c r="FW3" s="458" t="s">
        <v>627</v>
      </c>
      <c r="FX3" s="458"/>
      <c r="FY3" s="532" t="s">
        <v>627</v>
      </c>
      <c r="FZ3" s="532"/>
      <c r="GG3">
        <v>3</v>
      </c>
      <c r="GH3" s="1066"/>
      <c r="GI3" s="1066" t="s">
        <v>644</v>
      </c>
      <c r="GJ3" s="1066"/>
      <c r="GK3" s="1066" t="s">
        <v>645</v>
      </c>
      <c r="GL3" s="1066"/>
      <c r="GM3" s="1118" t="s">
        <v>716</v>
      </c>
      <c r="GN3" s="1066"/>
      <c r="GO3" s="1066" t="s">
        <v>646</v>
      </c>
      <c r="GP3" s="1066"/>
      <c r="GQ3" s="1067" t="s">
        <v>817</v>
      </c>
      <c r="GR3" s="1066"/>
      <c r="GS3" s="1066" t="s">
        <v>647</v>
      </c>
      <c r="GT3" s="1066"/>
      <c r="HC3" s="1086"/>
      <c r="HD3" s="1086" t="s">
        <v>672</v>
      </c>
      <c r="HE3" s="1086"/>
      <c r="HF3" s="1086" t="s">
        <v>673</v>
      </c>
      <c r="HG3" s="1086"/>
      <c r="HH3" s="1087" t="s">
        <v>747</v>
      </c>
      <c r="HI3" s="1086"/>
      <c r="HJ3" s="1086" t="s">
        <v>674</v>
      </c>
      <c r="HK3" s="1086"/>
      <c r="HL3" s="1086" t="s">
        <v>824</v>
      </c>
      <c r="HM3" s="1086"/>
      <c r="HN3" s="1086" t="s">
        <v>675</v>
      </c>
      <c r="HO3" s="1086"/>
      <c r="HY3" s="1084"/>
      <c r="HZ3" s="1088" t="s">
        <v>683</v>
      </c>
      <c r="IA3" s="458"/>
      <c r="IB3" s="1084" t="s">
        <v>676</v>
      </c>
      <c r="IC3" s="1084"/>
      <c r="ID3" s="458" t="s">
        <v>677</v>
      </c>
      <c r="IE3" s="458"/>
      <c r="IF3" s="1084" t="s">
        <v>677</v>
      </c>
      <c r="IG3" s="1084"/>
      <c r="IH3" s="1084" t="s">
        <v>678</v>
      </c>
      <c r="II3" s="1084"/>
      <c r="IU3" s="1171"/>
      <c r="IV3" s="1171" t="s">
        <v>774</v>
      </c>
      <c r="IW3" s="1171"/>
      <c r="IX3" s="1171" t="s">
        <v>775</v>
      </c>
      <c r="IY3" s="1171"/>
      <c r="IZ3" s="1173" t="s">
        <v>776</v>
      </c>
      <c r="JA3" s="1171"/>
      <c r="JB3" s="1171" t="s">
        <v>777</v>
      </c>
      <c r="JC3" s="1171"/>
      <c r="JD3" s="1172" t="s">
        <v>810</v>
      </c>
      <c r="JE3" s="1171"/>
      <c r="JF3" s="1171" t="s">
        <v>778</v>
      </c>
      <c r="JG3" s="1171"/>
      <c r="KQ3" s="326"/>
      <c r="KR3" s="327"/>
      <c r="KS3" s="328"/>
      <c r="KT3" s="329"/>
    </row>
    <row r="4" spans="1:306" ht="18.75" x14ac:dyDescent="0.3">
      <c r="T4" s="358"/>
      <c r="U4" s="360"/>
      <c r="V4" s="430" t="s">
        <v>366</v>
      </c>
      <c r="W4" s="360"/>
      <c r="X4" s="429">
        <v>1</v>
      </c>
      <c r="Y4" s="429"/>
      <c r="Z4" s="429">
        <v>2</v>
      </c>
      <c r="AA4" s="429"/>
      <c r="AB4" s="429">
        <v>3</v>
      </c>
      <c r="AC4" s="429"/>
      <c r="AD4" s="429">
        <v>4</v>
      </c>
      <c r="AE4" s="429"/>
      <c r="AF4" s="360">
        <f>+AD4+1</f>
        <v>5</v>
      </c>
      <c r="AG4" s="429"/>
      <c r="AH4" s="360">
        <f>+AF4+1</f>
        <v>6</v>
      </c>
      <c r="AI4" s="1154"/>
      <c r="AJ4" s="360">
        <f>+AH4+1</f>
        <v>7</v>
      </c>
      <c r="AK4" s="429"/>
      <c r="AL4" s="360">
        <f>+AJ4+1</f>
        <v>8</v>
      </c>
      <c r="AM4" s="429"/>
      <c r="AN4" s="360">
        <f>+AL4+1</f>
        <v>9</v>
      </c>
      <c r="AO4" s="429"/>
      <c r="AP4" s="360">
        <f>+AN4+1</f>
        <v>10</v>
      </c>
      <c r="AQ4" s="429"/>
      <c r="AR4" s="360">
        <f>+AP4+1</f>
        <v>11</v>
      </c>
      <c r="AS4" s="429"/>
      <c r="AT4" s="360">
        <f>+AR4+1</f>
        <v>12</v>
      </c>
      <c r="AU4" s="429"/>
      <c r="AV4" s="360">
        <f>+AT4+1</f>
        <v>13</v>
      </c>
      <c r="AW4" s="429"/>
      <c r="AX4" s="360">
        <f>+AV4+1</f>
        <v>14</v>
      </c>
      <c r="AY4" s="429"/>
      <c r="AZ4" s="360">
        <f>+AX4+1</f>
        <v>15</v>
      </c>
      <c r="BA4" s="499"/>
      <c r="BG4" s="84"/>
      <c r="BH4" s="84"/>
      <c r="BI4" s="84"/>
      <c r="BJ4" s="84"/>
      <c r="BK4" s="84"/>
      <c r="BL4" s="84"/>
      <c r="BM4" s="84"/>
      <c r="BN4" s="84"/>
      <c r="BP4" s="540" t="str">
        <f>BP2</f>
        <v>A24LE</v>
      </c>
      <c r="BQ4" s="540"/>
      <c r="BR4" s="540"/>
      <c r="BS4" s="540"/>
      <c r="BT4" s="540"/>
      <c r="BU4" s="540"/>
      <c r="BV4" s="540" t="s">
        <v>409</v>
      </c>
      <c r="BW4" s="541">
        <f>VLOOKUP($BP$2,$BQ$38:$BR$47,2,FALSE)</f>
        <v>0</v>
      </c>
      <c r="BX4" s="541"/>
      <c r="BY4" s="541"/>
      <c r="CB4" s="224"/>
      <c r="CV4" s="84"/>
      <c r="CW4" s="1055"/>
      <c r="CX4" s="1149"/>
      <c r="CY4" s="412"/>
      <c r="CZ4" s="412"/>
      <c r="DA4" s="412"/>
      <c r="DB4" s="412"/>
      <c r="DC4" s="412"/>
      <c r="DD4" s="412"/>
      <c r="DE4" s="412"/>
      <c r="DF4" s="412"/>
      <c r="DG4" s="412"/>
      <c r="DM4" s="552"/>
      <c r="DN4" s="290"/>
      <c r="DS4" s="290"/>
      <c r="DT4" s="290"/>
      <c r="DU4" s="290"/>
      <c r="DV4" s="290"/>
      <c r="DW4" s="290"/>
      <c r="DX4" s="870"/>
      <c r="DY4" s="870"/>
      <c r="DZ4" s="870"/>
      <c r="EJ4" s="857"/>
      <c r="EK4" s="857"/>
      <c r="EL4" s="857"/>
      <c r="EM4" s="857"/>
      <c r="EN4" s="857"/>
      <c r="EO4" s="857"/>
      <c r="EP4" s="857"/>
      <c r="EQ4" s="857"/>
      <c r="ER4" s="857"/>
      <c r="ES4" s="857"/>
      <c r="ET4" s="857"/>
      <c r="EU4" s="857"/>
      <c r="EV4" s="857"/>
      <c r="EY4" s="534"/>
      <c r="EZ4" s="534"/>
      <c r="FA4" s="534"/>
      <c r="FB4" s="534"/>
      <c r="FC4" s="534"/>
      <c r="FD4" s="534"/>
      <c r="FE4" s="534"/>
      <c r="FF4" s="534"/>
      <c r="FG4" s="534"/>
      <c r="FH4" s="534"/>
      <c r="FI4" s="534"/>
      <c r="FJ4" s="534"/>
      <c r="FK4" s="534"/>
      <c r="FN4" s="532"/>
      <c r="FO4" s="532" t="s">
        <v>385</v>
      </c>
      <c r="FP4" s="532"/>
      <c r="FQ4" s="532"/>
      <c r="FR4" s="532"/>
      <c r="FS4" s="532"/>
      <c r="FT4" s="532"/>
      <c r="FU4" s="532"/>
      <c r="FV4" s="532"/>
      <c r="FW4" s="458"/>
      <c r="FX4" s="458"/>
      <c r="FY4" s="532"/>
      <c r="FZ4" s="532"/>
      <c r="GG4">
        <v>4</v>
      </c>
      <c r="GH4" s="1066"/>
      <c r="GI4" s="1066" t="s">
        <v>385</v>
      </c>
      <c r="GJ4" s="1066"/>
      <c r="GK4" s="1066"/>
      <c r="GL4" s="1066"/>
      <c r="GM4" s="1066"/>
      <c r="GN4" s="1066"/>
      <c r="GO4" s="1066"/>
      <c r="GP4" s="1066"/>
      <c r="GQ4" s="1066"/>
      <c r="GR4" s="1066"/>
      <c r="GS4" s="1066"/>
      <c r="GT4" s="1066"/>
      <c r="HC4" s="1086"/>
      <c r="HD4" s="1086" t="s">
        <v>385</v>
      </c>
      <c r="HE4" s="1086"/>
      <c r="HF4" s="1086"/>
      <c r="HG4" s="1086"/>
      <c r="HH4" s="1086"/>
      <c r="HI4" s="1086"/>
      <c r="HJ4" s="1086"/>
      <c r="HK4" s="1086"/>
      <c r="HL4" s="1086"/>
      <c r="HM4" s="1086"/>
      <c r="HN4" s="1086"/>
      <c r="HO4" s="1086"/>
      <c r="HY4" s="1084"/>
      <c r="HZ4" s="458"/>
      <c r="IA4" s="458"/>
      <c r="IB4" s="1084"/>
      <c r="IC4" s="1084"/>
      <c r="ID4" s="458"/>
      <c r="IE4" s="458"/>
      <c r="IF4" s="1084"/>
      <c r="IG4" s="1084"/>
      <c r="IH4" s="1084"/>
      <c r="II4" s="1084"/>
      <c r="IU4" s="1171"/>
      <c r="IV4" s="1171" t="s">
        <v>385</v>
      </c>
      <c r="IW4" s="1171"/>
      <c r="IX4" s="1171"/>
      <c r="IY4" s="1171"/>
      <c r="IZ4" s="1171"/>
      <c r="JA4" s="1171"/>
      <c r="JB4" s="1171"/>
      <c r="JC4" s="1171"/>
      <c r="JD4" s="1171"/>
      <c r="JE4" s="1171"/>
      <c r="JF4" s="1171"/>
      <c r="JG4" s="1171"/>
    </row>
    <row r="5" spans="1:306" ht="16.5" thickBot="1" x14ac:dyDescent="0.3">
      <c r="C5" s="1226" t="s">
        <v>219</v>
      </c>
      <c r="D5" s="1226"/>
      <c r="E5" s="1226"/>
      <c r="F5" s="1226"/>
      <c r="G5" s="1226"/>
      <c r="H5" s="1226"/>
      <c r="I5" s="1226"/>
      <c r="J5" s="1226"/>
      <c r="K5" s="1227" t="s">
        <v>220</v>
      </c>
      <c r="L5" s="1227"/>
      <c r="M5" s="1227"/>
      <c r="N5" s="1227"/>
      <c r="O5" s="1227"/>
      <c r="P5" s="1227"/>
      <c r="Q5" s="1227"/>
      <c r="R5" s="1227"/>
      <c r="T5" s="358"/>
      <c r="U5" s="360"/>
      <c r="V5" s="360"/>
      <c r="W5" s="497" t="str">
        <f ca="1">BP5</f>
        <v>Openwater A24LE</v>
      </c>
      <c r="X5" s="360"/>
      <c r="Y5" s="497" t="str">
        <f ca="1">BR5</f>
        <v>Open A24LE</v>
      </c>
      <c r="Z5" s="360"/>
      <c r="AA5" s="497" t="str">
        <f ca="1">BT5</f>
        <v>Opsub A24LE</v>
      </c>
      <c r="AB5" s="360"/>
      <c r="AC5" s="497" t="str">
        <f ca="1">BV5</f>
        <v>Suburban A24LE</v>
      </c>
      <c r="AD5" s="360"/>
      <c r="AE5" s="497" t="str">
        <f ca="1">BX5</f>
        <v>Light Urban A24LE</v>
      </c>
      <c r="AF5" s="360"/>
      <c r="AG5" s="497" t="str">
        <f ca="1">BZ5</f>
        <v>Urban A24LE</v>
      </c>
      <c r="AH5" s="360"/>
      <c r="AI5" s="1155" t="e">
        <f ca="1">CB5</f>
        <v>#REF!</v>
      </c>
      <c r="AJ5" s="361"/>
      <c r="AK5" s="1155" t="e">
        <f ca="1">CD5</f>
        <v>#REF!</v>
      </c>
      <c r="AL5" s="361"/>
      <c r="AM5" s="1155" t="e">
        <f ca="1">CF5</f>
        <v>#REF!</v>
      </c>
      <c r="AN5" s="361"/>
      <c r="AO5" s="1155" t="e">
        <f ca="1">CH5</f>
        <v>#REF!</v>
      </c>
      <c r="AP5" s="361"/>
      <c r="AQ5" s="1155" t="e">
        <f ca="1">CJ5</f>
        <v>#REF!</v>
      </c>
      <c r="AR5" s="361"/>
      <c r="AS5" s="1155" t="e">
        <f ca="1">CL5</f>
        <v>#REF!</v>
      </c>
      <c r="AT5" s="361"/>
      <c r="AU5" s="1155" t="e">
        <f ca="1">CN5</f>
        <v>#REF!</v>
      </c>
      <c r="AV5" s="361"/>
      <c r="AW5" s="1155" t="e">
        <f ca="1">CP5</f>
        <v>#REF!</v>
      </c>
      <c r="AX5" s="361"/>
      <c r="AY5" s="360" t="e">
        <f ca="1">CR5</f>
        <v>#REF!</v>
      </c>
      <c r="AZ5" s="360"/>
      <c r="BA5" s="499"/>
      <c r="BG5" s="521"/>
      <c r="BH5" s="521"/>
      <c r="BI5" s="521"/>
      <c r="BJ5" s="521"/>
      <c r="BK5" s="521"/>
      <c r="BL5" s="521"/>
      <c r="BM5" s="521"/>
      <c r="BN5" s="522"/>
      <c r="BP5" s="487" t="str">
        <f ca="1">INDEX(INDIRECT($BQ$2&amp;"names"),2,BP1)</f>
        <v>Openwater A24LE</v>
      </c>
      <c r="BQ5" s="486"/>
      <c r="BR5" s="487" t="str">
        <f ca="1">INDEX(INDIRECT($BQ$2&amp;"names"),2,BR1)</f>
        <v>Open A24LE</v>
      </c>
      <c r="BS5" s="486"/>
      <c r="BT5" s="487" t="str">
        <f ca="1">INDEX(INDIRECT($BQ$2&amp;"names"),2,BT1)</f>
        <v>Opsub A24LE</v>
      </c>
      <c r="BU5" s="486"/>
      <c r="BV5" s="487" t="str">
        <f ca="1">INDEX(INDIRECT($BQ$2&amp;"names"),2,BV1)</f>
        <v>Suburban A24LE</v>
      </c>
      <c r="BW5" s="486"/>
      <c r="BX5" s="487" t="str">
        <f ca="1">INDEX(INDIRECT($BQ$2&amp;"names"),2,BX1)</f>
        <v>Light Urban A24LE</v>
      </c>
      <c r="BY5" s="486"/>
      <c r="BZ5" s="487" t="str">
        <f ca="1">INDEX(INDIRECT($BQ$2&amp;"names"),2,BZ1)</f>
        <v>Urban A24LE</v>
      </c>
      <c r="CA5" s="486"/>
      <c r="CB5" s="1098" t="e">
        <f ca="1">INDEX(INDIRECT($CB$2&amp;"names"),2,CB1)</f>
        <v>#REF!</v>
      </c>
      <c r="CC5" s="1103"/>
      <c r="CD5" s="1103" t="e">
        <f ca="1">INDEX(INDIRECT($CB$2&amp;"names"),2,CD1)</f>
        <v>#REF!</v>
      </c>
      <c r="CE5" s="1103"/>
      <c r="CF5" s="1103" t="e">
        <f ca="1">INDEX(INDIRECT($CB$2&amp;"names"),2,CF1)</f>
        <v>#REF!</v>
      </c>
      <c r="CG5" s="1103"/>
      <c r="CH5" s="1103" t="e">
        <f ca="1">INDEX(INDIRECT($CB$2&amp;"names"),2,CH1)</f>
        <v>#REF!</v>
      </c>
      <c r="CI5" s="1103"/>
      <c r="CJ5" s="1103" t="e">
        <f ca="1">INDEX(INDIRECT($CB$2&amp;"names"),2,CJ1)</f>
        <v>#REF!</v>
      </c>
      <c r="CK5" s="1103"/>
      <c r="CL5" s="1103" t="e">
        <f ca="1">INDEX(INDIRECT($CB$2&amp;"names"),2,CL1)</f>
        <v>#REF!</v>
      </c>
      <c r="CM5" s="1103"/>
      <c r="CN5" s="1103" t="e">
        <f ca="1">INDEX(INDIRECT($CB$2&amp;"names"),2,CN1)</f>
        <v>#REF!</v>
      </c>
      <c r="CO5" s="1103"/>
      <c r="CP5" s="1103" t="e">
        <f ca="1">INDEX(INDIRECT($CB$2&amp;"names"),2,CP1)</f>
        <v>#REF!</v>
      </c>
      <c r="CQ5" s="1103"/>
      <c r="CR5" s="1103" t="e">
        <f ca="1">INDEX(INDIRECT($CB$2&amp;"names"),2,CR1)</f>
        <v>#REF!</v>
      </c>
      <c r="CS5" s="1103"/>
      <c r="CT5" s="1103"/>
      <c r="CU5" s="1103"/>
      <c r="CV5" s="84"/>
      <c r="CW5" s="1055"/>
      <c r="CX5" s="412"/>
      <c r="CY5" s="412"/>
      <c r="CZ5" s="412"/>
      <c r="DA5" s="412"/>
      <c r="DB5" s="412"/>
      <c r="DC5" s="412"/>
      <c r="DD5" s="412"/>
      <c r="DE5" s="412"/>
      <c r="DF5" s="412"/>
      <c r="DG5" s="412"/>
      <c r="DM5" s="552"/>
      <c r="DN5" s="290"/>
      <c r="DS5" s="290"/>
      <c r="DT5" s="290"/>
      <c r="DU5" s="290"/>
      <c r="DV5" s="290"/>
      <c r="DW5" s="290"/>
      <c r="DX5" s="870"/>
      <c r="DY5" s="870"/>
      <c r="DZ5" s="870"/>
      <c r="EJ5" s="857"/>
      <c r="EK5" s="857"/>
      <c r="EL5" s="857"/>
      <c r="EM5" s="857"/>
      <c r="EN5" s="857"/>
      <c r="EO5" s="857"/>
      <c r="EP5" s="857"/>
      <c r="EQ5" s="857"/>
      <c r="ER5" s="857"/>
      <c r="ES5" s="857"/>
      <c r="ET5" s="857"/>
      <c r="EU5" s="857"/>
      <c r="EV5" s="857"/>
      <c r="EY5" s="534"/>
      <c r="EZ5" s="534"/>
      <c r="FA5" s="534"/>
      <c r="FB5" s="534"/>
      <c r="FC5" s="534"/>
      <c r="FD5" s="534"/>
      <c r="FE5" s="534"/>
      <c r="FF5" s="534"/>
      <c r="FG5" s="534"/>
      <c r="FH5" s="534"/>
      <c r="FI5" s="534"/>
      <c r="FJ5" s="534"/>
      <c r="FK5" s="534"/>
      <c r="FN5" s="532"/>
      <c r="FO5" s="532" t="s">
        <v>386</v>
      </c>
      <c r="FP5" s="532"/>
      <c r="FQ5" s="532" t="s">
        <v>387</v>
      </c>
      <c r="FR5" s="532"/>
      <c r="FS5" s="532" t="s">
        <v>388</v>
      </c>
      <c r="FT5" s="532"/>
      <c r="FU5" s="532" t="s">
        <v>389</v>
      </c>
      <c r="FV5" s="532"/>
      <c r="FW5" s="458" t="s">
        <v>390</v>
      </c>
      <c r="FX5" s="458"/>
      <c r="FY5" s="532" t="s">
        <v>390</v>
      </c>
      <c r="FZ5" s="532"/>
      <c r="GG5">
        <v>5</v>
      </c>
      <c r="GH5" s="1066"/>
      <c r="GI5" s="1066" t="s">
        <v>386</v>
      </c>
      <c r="GJ5" s="1066"/>
      <c r="GK5" s="1066" t="s">
        <v>387</v>
      </c>
      <c r="GL5" s="1066"/>
      <c r="GM5" s="1066" t="s">
        <v>388</v>
      </c>
      <c r="GN5" s="1066"/>
      <c r="GO5" s="1066" t="s">
        <v>389</v>
      </c>
      <c r="GP5" s="1066"/>
      <c r="GQ5" s="1067" t="s">
        <v>789</v>
      </c>
      <c r="GR5" s="1066"/>
      <c r="GS5" s="1066" t="s">
        <v>390</v>
      </c>
      <c r="GT5" s="1066"/>
      <c r="HC5" s="1086"/>
      <c r="HD5" s="1086" t="s">
        <v>386</v>
      </c>
      <c r="HE5" s="1086"/>
      <c r="HF5" s="1086" t="s">
        <v>387</v>
      </c>
      <c r="HG5" s="1086"/>
      <c r="HH5" s="1086" t="s">
        <v>388</v>
      </c>
      <c r="HI5" s="1086"/>
      <c r="HJ5" s="1086" t="s">
        <v>389</v>
      </c>
      <c r="HK5" s="1086"/>
      <c r="HL5" s="1086" t="s">
        <v>789</v>
      </c>
      <c r="HM5" s="1086"/>
      <c r="HN5" s="1086" t="s">
        <v>390</v>
      </c>
      <c r="HO5" s="1086"/>
      <c r="HY5" s="1084"/>
      <c r="HZ5" s="458" t="s">
        <v>387</v>
      </c>
      <c r="IA5" s="458"/>
      <c r="IB5" s="1084" t="s">
        <v>387</v>
      </c>
      <c r="IC5" s="1084"/>
      <c r="ID5" s="458" t="s">
        <v>389</v>
      </c>
      <c r="IE5" s="458"/>
      <c r="IF5" s="1084" t="s">
        <v>389</v>
      </c>
      <c r="IG5" s="1084"/>
      <c r="IH5" s="1084" t="s">
        <v>390</v>
      </c>
      <c r="II5" s="1084"/>
      <c r="IU5" s="1171"/>
      <c r="IV5" s="1171" t="s">
        <v>386</v>
      </c>
      <c r="IW5" s="1171"/>
      <c r="IX5" s="1171" t="s">
        <v>387</v>
      </c>
      <c r="IY5" s="1171"/>
      <c r="IZ5" s="1171" t="s">
        <v>388</v>
      </c>
      <c r="JA5" s="1171"/>
      <c r="JB5" s="1171" t="s">
        <v>389</v>
      </c>
      <c r="JC5" s="1171"/>
      <c r="JD5" s="1296" t="s">
        <v>789</v>
      </c>
      <c r="JE5" s="1171"/>
      <c r="JF5" s="1171" t="s">
        <v>390</v>
      </c>
      <c r="JG5" s="1171"/>
    </row>
    <row r="6" spans="1:306" ht="16.5" thickTop="1" x14ac:dyDescent="0.25">
      <c r="B6" s="289" t="s">
        <v>217</v>
      </c>
      <c r="C6" s="1233"/>
      <c r="D6" s="1234"/>
      <c r="E6" s="1234"/>
      <c r="F6" s="1235"/>
      <c r="G6" s="1233"/>
      <c r="H6" s="1234"/>
      <c r="I6" s="1234"/>
      <c r="J6" s="1234"/>
      <c r="K6" s="1228"/>
      <c r="L6" s="1229"/>
      <c r="M6" s="1229"/>
      <c r="N6" s="1230"/>
      <c r="O6" s="1228"/>
      <c r="P6" s="1229"/>
      <c r="Q6" s="1229"/>
      <c r="R6" s="1230"/>
      <c r="T6" s="358"/>
      <c r="U6" s="497" t="s">
        <v>717</v>
      </c>
      <c r="V6" s="360" t="s">
        <v>264</v>
      </c>
      <c r="W6" s="360" t="s">
        <v>197</v>
      </c>
      <c r="X6" s="360" t="s">
        <v>198</v>
      </c>
      <c r="Y6" s="360" t="s">
        <v>197</v>
      </c>
      <c r="Z6" s="360" t="s">
        <v>198</v>
      </c>
      <c r="AA6" s="360" t="s">
        <v>197</v>
      </c>
      <c r="AB6" s="360" t="s">
        <v>198</v>
      </c>
      <c r="AC6" s="360" t="s">
        <v>197</v>
      </c>
      <c r="AD6" s="360" t="s">
        <v>198</v>
      </c>
      <c r="AE6" s="360" t="s">
        <v>197</v>
      </c>
      <c r="AF6" s="360" t="s">
        <v>198</v>
      </c>
      <c r="AG6" s="360" t="s">
        <v>197</v>
      </c>
      <c r="AH6" s="360" t="s">
        <v>198</v>
      </c>
      <c r="AI6" s="358" t="s">
        <v>197</v>
      </c>
      <c r="AJ6" s="361" t="s">
        <v>198</v>
      </c>
      <c r="AK6" s="360" t="s">
        <v>197</v>
      </c>
      <c r="AL6" s="361" t="s">
        <v>198</v>
      </c>
      <c r="AM6" s="360" t="s">
        <v>197</v>
      </c>
      <c r="AN6" s="361" t="s">
        <v>198</v>
      </c>
      <c r="AO6" s="360" t="s">
        <v>197</v>
      </c>
      <c r="AP6" s="361" t="s">
        <v>198</v>
      </c>
      <c r="AQ6" s="360" t="s">
        <v>197</v>
      </c>
      <c r="AR6" s="361" t="s">
        <v>198</v>
      </c>
      <c r="AS6" s="360" t="s">
        <v>197</v>
      </c>
      <c r="AT6" s="361" t="s">
        <v>198</v>
      </c>
      <c r="AU6" s="360" t="s">
        <v>197</v>
      </c>
      <c r="AV6" s="361" t="s">
        <v>198</v>
      </c>
      <c r="AW6" s="360" t="s">
        <v>197</v>
      </c>
      <c r="AX6" s="361" t="s">
        <v>198</v>
      </c>
      <c r="AY6" s="360" t="s">
        <v>197</v>
      </c>
      <c r="AZ6" s="361" t="s">
        <v>198</v>
      </c>
      <c r="BA6" s="499"/>
      <c r="BG6" s="521"/>
      <c r="BH6" s="521"/>
      <c r="BI6" s="521"/>
      <c r="BJ6" s="521"/>
      <c r="BK6" s="521"/>
      <c r="BL6" s="521"/>
      <c r="BM6" t="s">
        <v>337</v>
      </c>
      <c r="BN6" s="522"/>
      <c r="BO6" s="490" t="s">
        <v>337</v>
      </c>
      <c r="BP6" s="491" t="s">
        <v>218</v>
      </c>
      <c r="BQ6" s="492" t="s">
        <v>392</v>
      </c>
      <c r="BR6" s="491" t="s">
        <v>218</v>
      </c>
      <c r="BS6" s="492" t="s">
        <v>392</v>
      </c>
      <c r="BT6" s="491" t="s">
        <v>218</v>
      </c>
      <c r="BU6" s="492" t="s">
        <v>392</v>
      </c>
      <c r="BV6" s="491" t="s">
        <v>218</v>
      </c>
      <c r="BW6" s="492" t="s">
        <v>392</v>
      </c>
      <c r="BX6" s="491" t="s">
        <v>218</v>
      </c>
      <c r="BY6" s="492" t="s">
        <v>392</v>
      </c>
      <c r="BZ6" s="491" t="s">
        <v>218</v>
      </c>
      <c r="CA6" s="492" t="s">
        <v>392</v>
      </c>
      <c r="CB6" s="1099" t="s">
        <v>218</v>
      </c>
      <c r="CC6" s="1104" t="s">
        <v>392</v>
      </c>
      <c r="CD6" s="1105" t="s">
        <v>218</v>
      </c>
      <c r="CE6" s="1104" t="s">
        <v>392</v>
      </c>
      <c r="CF6" s="1105" t="s">
        <v>218</v>
      </c>
      <c r="CG6" s="1104" t="s">
        <v>392</v>
      </c>
      <c r="CH6" s="1105" t="s">
        <v>218</v>
      </c>
      <c r="CI6" s="1104" t="s">
        <v>392</v>
      </c>
      <c r="CJ6" s="1105" t="s">
        <v>218</v>
      </c>
      <c r="CK6" s="1104" t="s">
        <v>392</v>
      </c>
      <c r="CL6" s="1105" t="s">
        <v>218</v>
      </c>
      <c r="CM6" s="1104" t="s">
        <v>392</v>
      </c>
      <c r="CN6" s="1105" t="s">
        <v>218</v>
      </c>
      <c r="CO6" s="1104" t="s">
        <v>392</v>
      </c>
      <c r="CP6" s="1105" t="s">
        <v>218</v>
      </c>
      <c r="CQ6" s="1104" t="s">
        <v>392</v>
      </c>
      <c r="CR6" s="1105" t="s">
        <v>218</v>
      </c>
      <c r="CS6" s="1104" t="s">
        <v>392</v>
      </c>
      <c r="CT6" s="1105" t="s">
        <v>218</v>
      </c>
      <c r="CU6" s="1104" t="s">
        <v>392</v>
      </c>
      <c r="CV6" s="496"/>
      <c r="CW6" s="1055"/>
      <c r="CX6" s="412"/>
      <c r="CY6" s="867"/>
      <c r="CZ6" s="412"/>
      <c r="DA6" s="867"/>
      <c r="DB6" s="412"/>
      <c r="DC6" s="867"/>
      <c r="DD6" s="412"/>
      <c r="DE6" s="867"/>
      <c r="DF6" s="412"/>
      <c r="DG6" s="867"/>
      <c r="DM6" s="552"/>
      <c r="DN6" s="290"/>
      <c r="DS6" s="290"/>
      <c r="DT6" s="290"/>
      <c r="DU6" s="290"/>
      <c r="DV6" s="290"/>
      <c r="DW6" s="290"/>
      <c r="DX6" s="870"/>
      <c r="DY6" s="870"/>
      <c r="DZ6" s="870"/>
      <c r="EJ6" s="857"/>
      <c r="EK6" s="857" t="s">
        <v>386</v>
      </c>
      <c r="EL6" s="857"/>
      <c r="EM6" s="857" t="s">
        <v>387</v>
      </c>
      <c r="EN6" s="857"/>
      <c r="EO6" s="859" t="s">
        <v>388</v>
      </c>
      <c r="EP6" s="857"/>
      <c r="EQ6" s="859" t="s">
        <v>389</v>
      </c>
      <c r="ER6" s="859"/>
      <c r="ES6" s="859" t="s">
        <v>789</v>
      </c>
      <c r="ET6" s="859"/>
      <c r="EU6" s="859" t="s">
        <v>390</v>
      </c>
      <c r="EV6" s="859"/>
      <c r="EY6" s="534"/>
      <c r="EZ6" s="534" t="s">
        <v>386</v>
      </c>
      <c r="FA6" s="534"/>
      <c r="FB6" s="534" t="s">
        <v>387</v>
      </c>
      <c r="FC6" s="534"/>
      <c r="FD6" s="862" t="s">
        <v>388</v>
      </c>
      <c r="FE6" s="534"/>
      <c r="FF6" s="862" t="s">
        <v>389</v>
      </c>
      <c r="FG6" s="862"/>
      <c r="FH6" s="862" t="s">
        <v>789</v>
      </c>
      <c r="FI6" s="862"/>
      <c r="FJ6" s="1153" t="s">
        <v>390</v>
      </c>
      <c r="FK6" s="862"/>
      <c r="FN6" s="532" t="s">
        <v>391</v>
      </c>
      <c r="FO6" s="532" t="s">
        <v>218</v>
      </c>
      <c r="FP6" s="532" t="s">
        <v>648</v>
      </c>
      <c r="FQ6" s="532" t="s">
        <v>218</v>
      </c>
      <c r="FR6" s="532" t="s">
        <v>648</v>
      </c>
      <c r="FS6" s="532" t="s">
        <v>218</v>
      </c>
      <c r="FT6" s="532" t="s">
        <v>648</v>
      </c>
      <c r="FU6" s="532" t="s">
        <v>218</v>
      </c>
      <c r="FV6" s="532" t="s">
        <v>648</v>
      </c>
      <c r="FW6" s="458" t="s">
        <v>218</v>
      </c>
      <c r="FX6" s="458" t="s">
        <v>648</v>
      </c>
      <c r="FY6" s="532" t="s">
        <v>218</v>
      </c>
      <c r="FZ6" s="532" t="s">
        <v>648</v>
      </c>
      <c r="GG6">
        <v>6</v>
      </c>
      <c r="GH6" s="1066" t="s">
        <v>391</v>
      </c>
      <c r="GI6" s="1066" t="s">
        <v>218</v>
      </c>
      <c r="GJ6" s="1066" t="s">
        <v>648</v>
      </c>
      <c r="GK6" s="1066" t="s">
        <v>218</v>
      </c>
      <c r="GL6" s="1066" t="s">
        <v>648</v>
      </c>
      <c r="GM6" s="1066" t="s">
        <v>218</v>
      </c>
      <c r="GN6" s="1066" t="s">
        <v>648</v>
      </c>
      <c r="GO6" s="1066" t="s">
        <v>218</v>
      </c>
      <c r="GP6" s="1066" t="s">
        <v>648</v>
      </c>
      <c r="GQ6" s="1066" t="s">
        <v>218</v>
      </c>
      <c r="GR6" s="1066" t="s">
        <v>648</v>
      </c>
      <c r="GS6" s="1066" t="s">
        <v>218</v>
      </c>
      <c r="GT6" s="1066" t="s">
        <v>648</v>
      </c>
      <c r="HC6" s="1086" t="s">
        <v>391</v>
      </c>
      <c r="HD6" s="1086" t="s">
        <v>218</v>
      </c>
      <c r="HE6" s="1086" t="s">
        <v>648</v>
      </c>
      <c r="HF6" s="1086" t="s">
        <v>218</v>
      </c>
      <c r="HG6" s="1086" t="s">
        <v>648</v>
      </c>
      <c r="HH6" s="1086" t="s">
        <v>218</v>
      </c>
      <c r="HI6" s="1086" t="s">
        <v>648</v>
      </c>
      <c r="HJ6" s="1086" t="s">
        <v>218</v>
      </c>
      <c r="HK6" s="1086" t="s">
        <v>648</v>
      </c>
      <c r="HL6" s="1086" t="s">
        <v>218</v>
      </c>
      <c r="HM6" s="1086" t="s">
        <v>648</v>
      </c>
      <c r="HN6" s="1086" t="s">
        <v>218</v>
      </c>
      <c r="HO6" s="1086" t="s">
        <v>648</v>
      </c>
      <c r="HY6" s="1084" t="s">
        <v>391</v>
      </c>
      <c r="HZ6" s="458" t="s">
        <v>218</v>
      </c>
      <c r="IA6" s="458" t="s">
        <v>648</v>
      </c>
      <c r="IB6" s="1084" t="s">
        <v>218</v>
      </c>
      <c r="IC6" s="1084" t="s">
        <v>648</v>
      </c>
      <c r="ID6" s="458" t="s">
        <v>218</v>
      </c>
      <c r="IE6" s="458" t="s">
        <v>648</v>
      </c>
      <c r="IF6" s="1084" t="s">
        <v>218</v>
      </c>
      <c r="IG6" s="1084" t="s">
        <v>648</v>
      </c>
      <c r="IH6" s="1084" t="s">
        <v>218</v>
      </c>
      <c r="II6" s="1084" t="s">
        <v>648</v>
      </c>
      <c r="IU6" s="1171" t="s">
        <v>391</v>
      </c>
      <c r="IV6" s="1171" t="s">
        <v>218</v>
      </c>
      <c r="IW6" s="1171" t="s">
        <v>648</v>
      </c>
      <c r="IX6" s="1171" t="s">
        <v>218</v>
      </c>
      <c r="IY6" s="1171" t="s">
        <v>648</v>
      </c>
      <c r="IZ6" s="1171" t="s">
        <v>218</v>
      </c>
      <c r="JA6" s="1171" t="s">
        <v>648</v>
      </c>
      <c r="JB6" s="1171" t="s">
        <v>218</v>
      </c>
      <c r="JC6" s="1171" t="s">
        <v>648</v>
      </c>
      <c r="JD6" s="1171" t="s">
        <v>218</v>
      </c>
      <c r="JE6" s="1171" t="s">
        <v>648</v>
      </c>
      <c r="JF6" s="1171" t="s">
        <v>218</v>
      </c>
      <c r="JG6" s="1171" t="s">
        <v>648</v>
      </c>
    </row>
    <row r="7" spans="1:306" ht="15.75" x14ac:dyDescent="0.25">
      <c r="B7" s="289"/>
      <c r="C7" s="326"/>
      <c r="D7" s="327"/>
      <c r="E7" s="328"/>
      <c r="F7" s="329"/>
      <c r="G7" s="326"/>
      <c r="H7" s="327"/>
      <c r="I7" s="328"/>
      <c r="J7" s="328"/>
      <c r="K7" s="335"/>
      <c r="L7" s="336"/>
      <c r="M7" s="337"/>
      <c r="N7" s="338"/>
      <c r="O7" s="335"/>
      <c r="P7" s="336"/>
      <c r="Q7" s="337"/>
      <c r="R7" s="338"/>
      <c r="T7" s="358"/>
      <c r="U7" s="360"/>
      <c r="V7" s="359" t="s">
        <v>764</v>
      </c>
      <c r="W7" s="1143">
        <f t="shared" ref="W7:AX7" ca="1" si="2">LN(W8/W9)/LN($V8/$V9)</f>
        <v>9.0611538408597939E-2</v>
      </c>
      <c r="X7" s="1143">
        <f t="shared" ca="1" si="2"/>
        <v>-0.10392407042127935</v>
      </c>
      <c r="Y7" s="1143">
        <f t="shared" ca="1" si="2"/>
        <v>0.10080063982370678</v>
      </c>
      <c r="Z7" s="1143">
        <f t="shared" ca="1" si="2"/>
        <v>-8.7708694145146787E-2</v>
      </c>
      <c r="AA7" s="1143">
        <f t="shared" ca="1" si="2"/>
        <v>0.12708463347147239</v>
      </c>
      <c r="AB7" s="1143">
        <f t="shared" ca="1" si="2"/>
        <v>-0.15813770536587426</v>
      </c>
      <c r="AC7" s="1143">
        <f t="shared" ca="1" si="2"/>
        <v>0.38813959267289561</v>
      </c>
      <c r="AD7" s="1143">
        <f t="shared" ca="1" si="2"/>
        <v>-0.12667585714176618</v>
      </c>
      <c r="AE7" s="1143">
        <f t="shared" ca="1" si="2"/>
        <v>0.24434377396463169</v>
      </c>
      <c r="AF7" s="1143">
        <f t="shared" ca="1" si="2"/>
        <v>-0.11826784003888452</v>
      </c>
      <c r="AG7" s="1143">
        <f t="shared" ca="1" si="2"/>
        <v>0.20479773632467219</v>
      </c>
      <c r="AH7" s="1143">
        <f t="shared" ca="1" si="2"/>
        <v>-4.1144107412284983E-2</v>
      </c>
      <c r="AI7" s="1156" t="e">
        <f t="shared" ca="1" si="2"/>
        <v>#REF!</v>
      </c>
      <c r="AJ7" s="1143" t="e">
        <f t="shared" ca="1" si="2"/>
        <v>#REF!</v>
      </c>
      <c r="AK7" s="1143" t="e">
        <f t="shared" ca="1" si="2"/>
        <v>#REF!</v>
      </c>
      <c r="AL7" s="1143" t="e">
        <f t="shared" ca="1" si="2"/>
        <v>#REF!</v>
      </c>
      <c r="AM7" s="1143" t="e">
        <f t="shared" ca="1" si="2"/>
        <v>#REF!</v>
      </c>
      <c r="AN7" s="1143" t="e">
        <f t="shared" ca="1" si="2"/>
        <v>#REF!</v>
      </c>
      <c r="AO7" s="1143" t="e">
        <f t="shared" ca="1" si="2"/>
        <v>#REF!</v>
      </c>
      <c r="AP7" s="1143" t="e">
        <f t="shared" ca="1" si="2"/>
        <v>#REF!</v>
      </c>
      <c r="AQ7" s="1143" t="e">
        <f t="shared" ca="1" si="2"/>
        <v>#REF!</v>
      </c>
      <c r="AR7" s="1143" t="e">
        <f t="shared" ca="1" si="2"/>
        <v>#REF!</v>
      </c>
      <c r="AS7" s="1143" t="e">
        <f t="shared" ca="1" si="2"/>
        <v>#REF!</v>
      </c>
      <c r="AT7" s="1143" t="e">
        <f t="shared" ca="1" si="2"/>
        <v>#REF!</v>
      </c>
      <c r="AU7" s="1143" t="e">
        <f t="shared" ca="1" si="2"/>
        <v>#REF!</v>
      </c>
      <c r="AV7" s="1143" t="e">
        <f t="shared" ca="1" si="2"/>
        <v>#REF!</v>
      </c>
      <c r="AW7" s="1143" t="e">
        <f t="shared" ca="1" si="2"/>
        <v>#REF!</v>
      </c>
      <c r="AX7" s="1143" t="e">
        <f t="shared" ca="1" si="2"/>
        <v>#REF!</v>
      </c>
      <c r="AY7" s="1143" t="e">
        <f t="shared" ref="AY7:AZ7" ca="1" si="3">LN(AY8/AY9)/LN($V8/$V9)</f>
        <v>#REF!</v>
      </c>
      <c r="AZ7" s="1143" t="e">
        <f t="shared" ca="1" si="3"/>
        <v>#REF!</v>
      </c>
      <c r="BA7" s="499"/>
      <c r="BG7" s="521"/>
      <c r="BH7" s="521"/>
      <c r="BI7" s="521"/>
      <c r="BJ7" s="521"/>
      <c r="BK7" s="521"/>
      <c r="BL7" s="521"/>
      <c r="BN7" s="522"/>
      <c r="BO7" s="493"/>
      <c r="BP7" s="493"/>
      <c r="BQ7" s="493"/>
      <c r="BR7" s="493"/>
      <c r="BS7" s="493"/>
      <c r="BT7" s="493"/>
      <c r="BU7" s="493"/>
      <c r="BV7" s="493"/>
      <c r="BW7" s="493"/>
      <c r="BX7" s="493"/>
      <c r="BY7" s="493"/>
      <c r="BZ7" s="493"/>
      <c r="CA7" s="493"/>
      <c r="CB7" s="1099"/>
      <c r="CC7" s="493"/>
      <c r="CD7" s="493"/>
      <c r="CE7" s="493"/>
      <c r="CF7" s="493"/>
      <c r="CG7" s="493"/>
      <c r="CH7" s="493"/>
      <c r="CI7" s="493"/>
      <c r="CJ7" s="493"/>
      <c r="CK7" s="493"/>
      <c r="CL7" s="493"/>
      <c r="CM7" s="493"/>
      <c r="CN7" s="493"/>
      <c r="CO7" s="493"/>
      <c r="CP7" s="493"/>
      <c r="CQ7" s="493"/>
      <c r="CR7" s="493"/>
      <c r="CS7" s="493"/>
      <c r="CT7" s="493"/>
      <c r="CU7" s="493"/>
      <c r="CV7" s="84"/>
      <c r="CW7" s="1055"/>
      <c r="CX7" s="412"/>
      <c r="CY7" s="412"/>
      <c r="CZ7" s="412"/>
      <c r="DA7" s="412"/>
      <c r="DB7" s="412"/>
      <c r="DC7" s="412"/>
      <c r="DD7" s="412"/>
      <c r="DE7" s="412"/>
      <c r="DF7" s="412"/>
      <c r="DG7" s="412"/>
      <c r="DM7" s="552"/>
      <c r="DN7" s="290"/>
      <c r="DS7" s="290"/>
      <c r="DT7" s="290"/>
      <c r="DU7" s="290"/>
      <c r="DV7" s="290"/>
      <c r="DW7" s="290"/>
      <c r="DX7" s="870"/>
      <c r="DY7" s="870"/>
      <c r="DZ7" s="870"/>
      <c r="EJ7" s="857" t="s">
        <v>391</v>
      </c>
      <c r="EK7" s="857" t="s">
        <v>218</v>
      </c>
      <c r="EL7" s="857" t="s">
        <v>404</v>
      </c>
      <c r="EM7" s="857" t="s">
        <v>218</v>
      </c>
      <c r="EN7" s="857" t="s">
        <v>405</v>
      </c>
      <c r="EO7" s="859" t="s">
        <v>218</v>
      </c>
      <c r="EP7" s="857" t="s">
        <v>405</v>
      </c>
      <c r="EQ7" s="859" t="s">
        <v>218</v>
      </c>
      <c r="ER7" s="859" t="s">
        <v>405</v>
      </c>
      <c r="ES7" s="859" t="s">
        <v>218</v>
      </c>
      <c r="ET7" s="859" t="s">
        <v>405</v>
      </c>
      <c r="EU7" s="859" t="s">
        <v>218</v>
      </c>
      <c r="EV7" s="859" t="s">
        <v>405</v>
      </c>
      <c r="EY7" s="534" t="s">
        <v>391</v>
      </c>
      <c r="EZ7" s="534" t="s">
        <v>218</v>
      </c>
      <c r="FA7" s="534" t="s">
        <v>404</v>
      </c>
      <c r="FB7" s="534" t="s">
        <v>218</v>
      </c>
      <c r="FC7" s="534" t="s">
        <v>405</v>
      </c>
      <c r="FD7" s="862" t="s">
        <v>218</v>
      </c>
      <c r="FE7" s="534" t="s">
        <v>405</v>
      </c>
      <c r="FF7" s="862" t="s">
        <v>218</v>
      </c>
      <c r="FG7" s="862" t="s">
        <v>405</v>
      </c>
      <c r="FH7" s="862" t="s">
        <v>218</v>
      </c>
      <c r="FI7" s="862" t="s">
        <v>405</v>
      </c>
      <c r="FJ7" s="862" t="s">
        <v>218</v>
      </c>
      <c r="FK7" s="862" t="s">
        <v>405</v>
      </c>
      <c r="FN7" s="532"/>
      <c r="FO7" s="532"/>
      <c r="FP7" s="532"/>
      <c r="FQ7" s="532"/>
      <c r="FR7" s="532"/>
      <c r="FS7" s="532"/>
      <c r="FT7" s="532"/>
      <c r="FU7" s="532"/>
      <c r="FV7" s="532"/>
      <c r="FW7" s="458"/>
      <c r="FX7" s="458"/>
      <c r="FY7" s="532"/>
      <c r="FZ7" s="532"/>
      <c r="GG7">
        <v>7</v>
      </c>
      <c r="GH7" s="1066"/>
      <c r="GI7" s="1066"/>
      <c r="GJ7" s="1066"/>
      <c r="GK7" s="1066"/>
      <c r="GL7" s="1066"/>
      <c r="GM7" s="1066"/>
      <c r="GN7" s="1066"/>
      <c r="GO7" s="1066"/>
      <c r="GP7" s="1066"/>
      <c r="GQ7" s="1066"/>
      <c r="GR7" s="1066"/>
      <c r="GS7" s="1066"/>
      <c r="GT7" s="1066"/>
      <c r="HC7" s="1086"/>
      <c r="HD7" s="1086"/>
      <c r="HE7" s="1086"/>
      <c r="HF7" s="1086"/>
      <c r="HG7" s="1086"/>
      <c r="HH7" s="1086"/>
      <c r="HI7" s="1086"/>
      <c r="HJ7" s="1086"/>
      <c r="HK7" s="1086"/>
      <c r="HL7" s="1086"/>
      <c r="HM7" s="1086"/>
      <c r="HN7" s="1086"/>
      <c r="HO7" s="1086"/>
      <c r="HY7" s="1084"/>
      <c r="HZ7" s="458"/>
      <c r="IA7" s="458"/>
      <c r="IB7" s="1084"/>
      <c r="IC7" s="1084"/>
      <c r="ID7" s="458"/>
      <c r="IE7" s="458"/>
      <c r="IF7" s="1084"/>
      <c r="IG7" s="1084"/>
      <c r="IH7" s="1084"/>
      <c r="II7" s="1084"/>
      <c r="IU7" s="1171"/>
      <c r="IV7" s="1171"/>
      <c r="IW7" s="1171"/>
      <c r="IX7" s="1171"/>
      <c r="IY7" s="1171"/>
      <c r="IZ7" s="1171"/>
      <c r="JA7" s="1171"/>
      <c r="JB7" s="1171"/>
      <c r="JC7" s="1171"/>
      <c r="JD7" s="1171"/>
      <c r="JE7" s="1171"/>
      <c r="JF7" s="1171"/>
      <c r="JG7" s="1171"/>
    </row>
    <row r="8" spans="1:306" ht="15.75" x14ac:dyDescent="0.25">
      <c r="B8" s="289">
        <v>1.25</v>
      </c>
      <c r="C8" s="330"/>
      <c r="D8" s="331"/>
      <c r="E8" s="331"/>
      <c r="F8" s="332"/>
      <c r="G8" s="330"/>
      <c r="H8" s="331"/>
      <c r="I8" s="331"/>
      <c r="J8" s="331"/>
      <c r="K8" s="339"/>
      <c r="L8" s="340"/>
      <c r="M8" s="340"/>
      <c r="N8" s="341"/>
      <c r="O8" s="339"/>
      <c r="P8" s="340"/>
      <c r="Q8" s="340"/>
      <c r="R8" s="341"/>
      <c r="S8">
        <f>V8/12/3.281*RWDI_FACTORS!$D$7</f>
        <v>20.319008432388497</v>
      </c>
      <c r="T8" s="358"/>
      <c r="U8" s="360"/>
      <c r="V8" s="360">
        <v>2</v>
      </c>
      <c r="W8" s="355">
        <f t="shared" ref="W8:AZ8" ca="1" si="4">BP8</f>
        <v>0.705001416586573</v>
      </c>
      <c r="X8" s="363">
        <f t="shared" ca="1" si="4"/>
        <v>0.13733333333333334</v>
      </c>
      <c r="Y8" s="355">
        <f t="shared" ca="1" si="4"/>
        <v>0.64674013924611073</v>
      </c>
      <c r="Z8" s="363">
        <f t="shared" ca="1" si="4"/>
        <v>0.16099999999999998</v>
      </c>
      <c r="AA8" s="355">
        <f t="shared" ca="1" si="4"/>
        <v>0.54450944344767316</v>
      </c>
      <c r="AB8" s="363">
        <f t="shared" ca="1" si="4"/>
        <v>0.21199999999999999</v>
      </c>
      <c r="AC8" s="355">
        <f t="shared" ca="1" si="4"/>
        <v>0.44007493572935025</v>
      </c>
      <c r="AD8" s="363">
        <f t="shared" ca="1" si="4"/>
        <v>0.253</v>
      </c>
      <c r="AE8" s="355">
        <f t="shared" ca="1" si="4"/>
        <v>0.43227381366875844</v>
      </c>
      <c r="AF8" s="363">
        <f t="shared" ca="1" si="4"/>
        <v>0.2678907587709739</v>
      </c>
      <c r="AG8" s="355">
        <f t="shared" ca="1" si="4"/>
        <v>0.39567901234567882</v>
      </c>
      <c r="AH8" s="363">
        <f t="shared" ca="1" si="4"/>
        <v>0.27200000000000002</v>
      </c>
      <c r="AI8" s="1108" t="e">
        <f t="shared" ca="1" si="4"/>
        <v>#REF!</v>
      </c>
      <c r="AJ8" s="363" t="e">
        <f t="shared" ca="1" si="4"/>
        <v>#REF!</v>
      </c>
      <c r="AK8" s="1108" t="e">
        <f t="shared" ca="1" si="4"/>
        <v>#REF!</v>
      </c>
      <c r="AL8" s="363" t="e">
        <f t="shared" ca="1" si="4"/>
        <v>#REF!</v>
      </c>
      <c r="AM8" s="1108" t="e">
        <f t="shared" ca="1" si="4"/>
        <v>#REF!</v>
      </c>
      <c r="AN8" s="363" t="e">
        <f t="shared" ca="1" si="4"/>
        <v>#REF!</v>
      </c>
      <c r="AO8" s="1108" t="e">
        <f t="shared" ca="1" si="4"/>
        <v>#REF!</v>
      </c>
      <c r="AP8" s="363" t="e">
        <f t="shared" ca="1" si="4"/>
        <v>#REF!</v>
      </c>
      <c r="AQ8" s="1108" t="e">
        <f t="shared" ca="1" si="4"/>
        <v>#REF!</v>
      </c>
      <c r="AR8" s="363" t="e">
        <f t="shared" ca="1" si="4"/>
        <v>#REF!</v>
      </c>
      <c r="AS8" s="1108" t="e">
        <f t="shared" ca="1" si="4"/>
        <v>#REF!</v>
      </c>
      <c r="AT8" s="363" t="e">
        <f t="shared" ca="1" si="4"/>
        <v>#REF!</v>
      </c>
      <c r="AU8" s="1108" t="e">
        <f t="shared" ca="1" si="4"/>
        <v>#REF!</v>
      </c>
      <c r="AV8" s="363" t="e">
        <f t="shared" ca="1" si="4"/>
        <v>#REF!</v>
      </c>
      <c r="AW8" s="1108" t="e">
        <f t="shared" ca="1" si="4"/>
        <v>#REF!</v>
      </c>
      <c r="AX8" s="363" t="e">
        <f t="shared" ca="1" si="4"/>
        <v>#REF!</v>
      </c>
      <c r="AY8" s="1108" t="e">
        <f t="shared" ca="1" si="4"/>
        <v>#REF!</v>
      </c>
      <c r="AZ8" s="363" t="e">
        <f t="shared" ca="1" si="4"/>
        <v>#REF!</v>
      </c>
      <c r="BA8" s="499"/>
      <c r="BG8" s="520"/>
      <c r="BH8" s="520"/>
      <c r="BI8" s="520"/>
      <c r="BJ8" s="520"/>
      <c r="BK8" s="520"/>
      <c r="BL8" s="520"/>
      <c r="BM8">
        <f t="shared" ref="BM8:BM27" si="5">+V8</f>
        <v>2</v>
      </c>
      <c r="BN8" s="531">
        <f ca="1">MATCH(BO8,INDIRECT($BS$2),0)</f>
        <v>1</v>
      </c>
      <c r="BO8" s="493">
        <f t="shared" ref="BO8:BO27" si="6">BM8</f>
        <v>2</v>
      </c>
      <c r="BP8" s="500">
        <f ca="1">INDEX(INDIRECT($BQ$2),$BN8,BP$1)</f>
        <v>0.705001416586573</v>
      </c>
      <c r="BQ8" s="488">
        <f ca="1">INDEX(INDIRECT($BQ$2),$BN8,BQ$1)+$BW$4</f>
        <v>0.13733333333333334</v>
      </c>
      <c r="BR8" s="500">
        <f ca="1">INDEX(INDIRECT($BQ$2),$BN8,BR$1)</f>
        <v>0.64674013924611073</v>
      </c>
      <c r="BS8" s="488">
        <f ca="1">INDEX(INDIRECT($BQ$2),$BN8,BS$1)+$BW$4</f>
        <v>0.16099999999999998</v>
      </c>
      <c r="BT8" s="500">
        <f ca="1">INDEX(INDIRECT($BQ$2),$BN8,BT$1)</f>
        <v>0.54450944344767316</v>
      </c>
      <c r="BU8" s="488">
        <f ca="1">INDEX(INDIRECT($BQ$2),$BN8,BU$1)+$BW$4</f>
        <v>0.21199999999999999</v>
      </c>
      <c r="BV8" s="500">
        <f ca="1">INDEX(INDIRECT($BQ$2),$BN8,BV$1)</f>
        <v>0.44007493572935025</v>
      </c>
      <c r="BW8" s="488">
        <f ca="1">INDEX(INDIRECT($BQ$2),$BN8,BW$1)+$BW$4</f>
        <v>0.253</v>
      </c>
      <c r="BX8" s="500">
        <f ca="1">INDEX(INDIRECT($BQ$2),$BN8,BX$1)</f>
        <v>0.43227381366875844</v>
      </c>
      <c r="BY8" s="488">
        <f ca="1">INDEX(INDIRECT($BQ$2),$BN8,BY$1)+$BW$4</f>
        <v>0.2678907587709739</v>
      </c>
      <c r="BZ8" s="500">
        <f ca="1">INDEX(INDIRECT($BQ$2),$BN8,BZ$1)</f>
        <v>0.39567901234567882</v>
      </c>
      <c r="CA8" s="488">
        <f ca="1">INDEX(INDIRECT($BQ$2),$BN8,CA$1)+$BW$4</f>
        <v>0.27200000000000002</v>
      </c>
      <c r="CB8" s="1106" t="e">
        <f t="shared" ref="CB8:CB27" ca="1" si="7">INDEX(INDIRECT($CB$2),$BN8,CB$1)</f>
        <v>#REF!</v>
      </c>
      <c r="CC8" s="488" t="e">
        <f t="shared" ref="CC8:CC27" ca="1" si="8">INDEX(INDIRECT($CB$2),$BN8,CC$1)+$BW$4</f>
        <v>#REF!</v>
      </c>
      <c r="CD8" s="1106" t="e">
        <f t="shared" ref="CD8:CD27" ca="1" si="9">INDEX(INDIRECT($CB$2),$BN8,CD$1)</f>
        <v>#REF!</v>
      </c>
      <c r="CE8" s="488" t="e">
        <f t="shared" ref="CE8:CE27" ca="1" si="10">INDEX(INDIRECT($CB$2),$BN8,CE$1)+$BW$4</f>
        <v>#REF!</v>
      </c>
      <c r="CF8" s="1106" t="e">
        <f t="shared" ref="CF8:CF27" ca="1" si="11">INDEX(INDIRECT($CB$2),$BN8,CF$1)</f>
        <v>#REF!</v>
      </c>
      <c r="CG8" s="488" t="e">
        <f t="shared" ref="CG8:CG27" ca="1" si="12">INDEX(INDIRECT($CB$2),$BN8,CG$1)+$BW$4</f>
        <v>#REF!</v>
      </c>
      <c r="CH8" s="1106" t="e">
        <f t="shared" ref="CH8:CH27" ca="1" si="13">INDEX(INDIRECT($CB$2),$BN8,CH$1)</f>
        <v>#REF!</v>
      </c>
      <c r="CI8" s="488" t="e">
        <f t="shared" ref="CI8:CI27" ca="1" si="14">INDEX(INDIRECT($CB$2),$BN8,CI$1)+$BW$4</f>
        <v>#REF!</v>
      </c>
      <c r="CJ8" s="1106" t="e">
        <f t="shared" ref="CJ8:CJ27" ca="1" si="15">INDEX(INDIRECT($CB$2),$BN8,CJ$1)</f>
        <v>#REF!</v>
      </c>
      <c r="CK8" s="488" t="e">
        <f t="shared" ref="CK8:CK27" ca="1" si="16">INDEX(INDIRECT($CB$2),$BN8,CK$1)+$BW$4</f>
        <v>#REF!</v>
      </c>
      <c r="CL8" s="1106" t="e">
        <f t="shared" ref="CL8:CL27" ca="1" si="17">INDEX(INDIRECT($CB$2),$BN8,CL$1)</f>
        <v>#REF!</v>
      </c>
      <c r="CM8" s="488" t="e">
        <f t="shared" ref="CM8:CM27" ca="1" si="18">INDEX(INDIRECT($CB$2),$BN8,CM$1)+$BW$4</f>
        <v>#REF!</v>
      </c>
      <c r="CN8" s="1106" t="e">
        <f t="shared" ref="CN8:CN27" ca="1" si="19">INDEX(INDIRECT($CB$2),$BN8,CN$1)</f>
        <v>#REF!</v>
      </c>
      <c r="CO8" s="488" t="e">
        <f t="shared" ref="CO8:CO27" ca="1" si="20">INDEX(INDIRECT($CB$2),$BN8,CO$1)+$BW$4</f>
        <v>#REF!</v>
      </c>
      <c r="CP8" s="1106" t="e">
        <f t="shared" ref="CP8:CP27" ca="1" si="21">INDEX(INDIRECT($CB$2),$BN8,CP$1)</f>
        <v>#REF!</v>
      </c>
      <c r="CQ8" s="488" t="e">
        <f t="shared" ref="CQ8:CQ27" ca="1" si="22">INDEX(INDIRECT($CB$2),$BN8,CQ$1)+$BW$4</f>
        <v>#REF!</v>
      </c>
      <c r="CR8" s="1106" t="e">
        <f t="shared" ref="CR8:CR27" ca="1" si="23">INDEX(INDIRECT($CB$2),$BN8,CR$1)</f>
        <v>#REF!</v>
      </c>
      <c r="CS8" s="488" t="e">
        <f t="shared" ref="CS8:CS27" ca="1" si="24">INDEX(INDIRECT($CB$2),$BN8,CS$1)+$BW$4</f>
        <v>#REF!</v>
      </c>
      <c r="CT8" s="488"/>
      <c r="CU8" s="488"/>
      <c r="CV8" s="84"/>
      <c r="CW8" s="1055"/>
      <c r="CX8" s="1150"/>
      <c r="CY8" s="1150"/>
      <c r="CZ8" s="1150"/>
      <c r="DA8" s="1150"/>
      <c r="DB8" s="1150"/>
      <c r="DC8" s="1150"/>
      <c r="DD8" s="1150"/>
      <c r="DE8" s="1150"/>
      <c r="DF8" s="1150"/>
      <c r="DG8" s="1150"/>
      <c r="DM8" s="552"/>
      <c r="DN8" s="290"/>
      <c r="DS8" s="290"/>
      <c r="DT8" s="290"/>
      <c r="DU8" s="290"/>
      <c r="DV8" s="290"/>
      <c r="DW8" s="290"/>
      <c r="DX8" s="870"/>
      <c r="DY8" s="870"/>
      <c r="DZ8" s="870"/>
      <c r="EJ8" s="857">
        <v>2</v>
      </c>
      <c r="EK8" s="859">
        <v>0.64545454545454539</v>
      </c>
      <c r="EL8" s="859">
        <v>0.13533333333333333</v>
      </c>
      <c r="EM8" s="859">
        <v>0.62340302410604209</v>
      </c>
      <c r="EN8" s="859">
        <v>0.16666666666666666</v>
      </c>
      <c r="EO8" s="859">
        <v>0.5817650631343706</v>
      </c>
      <c r="EP8" s="859">
        <v>0.19700000000000001</v>
      </c>
      <c r="EQ8" s="859">
        <v>0.53</v>
      </c>
      <c r="ER8" s="859">
        <v>0.223</v>
      </c>
      <c r="ES8" s="859">
        <v>0.42358490566037732</v>
      </c>
      <c r="ET8" s="859">
        <v>0.3297832351978629</v>
      </c>
      <c r="EU8" s="859">
        <v>0.4372549019607842</v>
      </c>
      <c r="EV8" s="859">
        <v>0.3096666666666667</v>
      </c>
      <c r="EY8" s="534">
        <v>2</v>
      </c>
      <c r="EZ8" s="534">
        <v>0.6425342648510266</v>
      </c>
      <c r="FA8" s="534">
        <v>0.13100000000000001</v>
      </c>
      <c r="FB8" s="534">
        <v>0.61780821917808215</v>
      </c>
      <c r="FC8" s="534">
        <v>0.15466666666666665</v>
      </c>
      <c r="FD8" s="862">
        <v>0.52717717717717716</v>
      </c>
      <c r="FE8" s="534">
        <v>0.21299999999999997</v>
      </c>
      <c r="FF8" s="862">
        <v>0.48826288368905824</v>
      </c>
      <c r="FG8" s="862">
        <v>0.22916666666666669</v>
      </c>
      <c r="FH8" s="862">
        <v>0.40060156497354033</v>
      </c>
      <c r="FI8" s="862">
        <v>0.31856117462375283</v>
      </c>
      <c r="FJ8" s="862">
        <v>0.38497757847533631</v>
      </c>
      <c r="FK8" s="862">
        <v>0.35166666666666663</v>
      </c>
      <c r="FN8" s="532">
        <v>2</v>
      </c>
      <c r="FO8" s="532">
        <v>0.67659031399212266</v>
      </c>
      <c r="FP8" s="532">
        <v>0.13550000000000001</v>
      </c>
      <c r="FQ8" s="532">
        <v>0.6356832141998382</v>
      </c>
      <c r="FR8" s="532">
        <v>0.1615</v>
      </c>
      <c r="FS8" s="532">
        <v>0.57748344370860938</v>
      </c>
      <c r="FT8" s="532">
        <v>0.20399999999999999</v>
      </c>
      <c r="FU8" s="532">
        <v>0.51821192052980136</v>
      </c>
      <c r="FV8" s="532">
        <v>0.23649999999999999</v>
      </c>
      <c r="FW8" s="458">
        <v>0.34945071982281284</v>
      </c>
      <c r="FX8" s="458">
        <v>0.371</v>
      </c>
      <c r="FY8" s="532">
        <v>0.34945071982281284</v>
      </c>
      <c r="FZ8" s="532">
        <v>0.371</v>
      </c>
      <c r="GG8">
        <v>8</v>
      </c>
      <c r="GH8" s="1066">
        <v>2</v>
      </c>
      <c r="GI8" s="1066">
        <v>0.67842939579652239</v>
      </c>
      <c r="GJ8" s="1066">
        <v>0.14400000000000002</v>
      </c>
      <c r="GK8" s="1066">
        <v>0.61065307654461098</v>
      </c>
      <c r="GL8" s="1066">
        <v>0.16133333333333333</v>
      </c>
      <c r="GM8" s="1066">
        <v>0.5968467353596042</v>
      </c>
      <c r="GN8" s="1066">
        <v>0.18599999999999997</v>
      </c>
      <c r="GO8" s="1066">
        <v>0.527778693231433</v>
      </c>
      <c r="GP8" s="1066">
        <v>0.24874999999999997</v>
      </c>
      <c r="GQ8" s="1066">
        <v>0.44135087730259209</v>
      </c>
      <c r="GR8" s="1066">
        <v>0.28513543060093666</v>
      </c>
      <c r="GS8" s="1066">
        <v>0.42348507418421405</v>
      </c>
      <c r="GT8" s="1066">
        <v>0.33</v>
      </c>
      <c r="HC8" s="1086">
        <v>2</v>
      </c>
      <c r="HD8" s="1086">
        <v>0.705001416586573</v>
      </c>
      <c r="HE8" s="1086">
        <v>0.13733333333333334</v>
      </c>
      <c r="HF8" s="1086">
        <v>0.64674013924611073</v>
      </c>
      <c r="HG8" s="1086">
        <v>0.16099999999999998</v>
      </c>
      <c r="HH8" s="1086">
        <v>0.54450944344767316</v>
      </c>
      <c r="HI8" s="1086">
        <v>0.21199999999999999</v>
      </c>
      <c r="HJ8" s="1086">
        <v>0.44007493572935025</v>
      </c>
      <c r="HK8" s="1086">
        <v>0.253</v>
      </c>
      <c r="HL8" s="1086">
        <v>0.43227381366875844</v>
      </c>
      <c r="HM8" s="1086">
        <v>0.2678907587709739</v>
      </c>
      <c r="HN8" s="1086">
        <v>0.39567901234567882</v>
      </c>
      <c r="HO8" s="1086">
        <v>0.27200000000000002</v>
      </c>
      <c r="HY8" s="1084">
        <v>2</v>
      </c>
      <c r="HZ8" s="458">
        <v>0.59629727732779425</v>
      </c>
      <c r="IA8" s="458">
        <v>0.16399999999999998</v>
      </c>
      <c r="IB8" s="1084">
        <v>0.62785240135616738</v>
      </c>
      <c r="IC8" s="1084">
        <v>0.16633333333333328</v>
      </c>
      <c r="ID8" s="458">
        <v>0.45171017135508196</v>
      </c>
      <c r="IE8" s="458">
        <v>0.26733333333333331</v>
      </c>
      <c r="IF8" s="1084">
        <v>0.45171017135508196</v>
      </c>
      <c r="IG8" s="1084">
        <v>0.26733333333333331</v>
      </c>
      <c r="IH8" s="1084">
        <v>0.39590783652550421</v>
      </c>
      <c r="II8" s="1084">
        <v>0.33600000000000002</v>
      </c>
      <c r="IU8" s="1171">
        <v>2</v>
      </c>
      <c r="IV8" s="1171">
        <v>0.65632350470617939</v>
      </c>
      <c r="IW8" s="1171">
        <v>0.14866666666666667</v>
      </c>
      <c r="IX8" s="1171">
        <v>0.59938736973620688</v>
      </c>
      <c r="IY8" s="1171">
        <v>0.16649999999999998</v>
      </c>
      <c r="IZ8" s="1171">
        <v>0.57888358317214694</v>
      </c>
      <c r="JA8" s="1171">
        <v>0.19899999999999998</v>
      </c>
      <c r="JB8" s="1171">
        <v>0.51947751322751334</v>
      </c>
      <c r="JC8" s="1171">
        <v>0.23</v>
      </c>
      <c r="JD8" s="1171">
        <v>0.43775650609330657</v>
      </c>
      <c r="JE8" s="1171">
        <v>0.28000000000000003</v>
      </c>
      <c r="JF8" s="1171">
        <v>0.41098336968358934</v>
      </c>
      <c r="JG8" s="1171">
        <v>0.31866666666666665</v>
      </c>
    </row>
    <row r="9" spans="1:306" ht="15.75" x14ac:dyDescent="0.25">
      <c r="B9" s="289">
        <v>2</v>
      </c>
      <c r="C9" s="330"/>
      <c r="D9" s="331"/>
      <c r="E9" s="331"/>
      <c r="F9" s="332"/>
      <c r="G9" s="330"/>
      <c r="H9" s="331"/>
      <c r="I9" s="331"/>
      <c r="J9" s="331"/>
      <c r="K9" s="339"/>
      <c r="L9" s="340"/>
      <c r="M9" s="340"/>
      <c r="N9" s="341"/>
      <c r="O9" s="339"/>
      <c r="P9" s="340"/>
      <c r="Q9" s="340"/>
      <c r="R9" s="341"/>
      <c r="S9">
        <f>V9/12/3.281*RWDI_FACTORS!$D$7</f>
        <v>30.478512648582743</v>
      </c>
      <c r="T9" s="358"/>
      <c r="U9" s="360"/>
      <c r="V9" s="360">
        <v>3</v>
      </c>
      <c r="W9" s="355">
        <f t="shared" ref="W9:W27" ca="1" si="25">BP9</f>
        <v>0.73138473120014502</v>
      </c>
      <c r="X9" s="363">
        <f t="shared" ref="X9:X27" ca="1" si="26">BQ9</f>
        <v>0.13166666666666665</v>
      </c>
      <c r="Y9" s="355">
        <f t="shared" ref="Y9:Y27" ca="1" si="27">BR9</f>
        <v>0.67372075612951532</v>
      </c>
      <c r="Z9" s="363">
        <f t="shared" ref="Z9:Z27" ca="1" si="28">BS9</f>
        <v>0.15537499999999999</v>
      </c>
      <c r="AA9" s="355">
        <f t="shared" ref="AA9:AA27" ca="1" si="29">BT9</f>
        <v>0.57330259722453625</v>
      </c>
      <c r="AB9" s="363">
        <f t="shared" ref="AB9:AB27" ca="1" si="30">BU9</f>
        <v>0.19883333333333333</v>
      </c>
      <c r="AC9" s="355">
        <f t="shared" ref="AC9:AC27" ca="1" si="31">BV9</f>
        <v>0.51507992499707023</v>
      </c>
      <c r="AD9" s="363">
        <f t="shared" ref="AD9:AD27" ca="1" si="32">BW9</f>
        <v>0.24033333333333337</v>
      </c>
      <c r="AE9" s="355">
        <f t="shared" ref="AE9:AE27" ca="1" si="33">BX9</f>
        <v>0.47729373123606011</v>
      </c>
      <c r="AF9" s="363">
        <f t="shared" ref="AF9:AF27" ca="1" si="34">BY9</f>
        <v>0.25534761127466327</v>
      </c>
      <c r="AG9" s="355">
        <f t="shared" ref="AG9:AG27" ca="1" si="35">BZ9</f>
        <v>0.42993827160493814</v>
      </c>
      <c r="AH9" s="363">
        <f t="shared" ref="AH9:AH27" ca="1" si="36">CA9</f>
        <v>0.26750000000000002</v>
      </c>
      <c r="AI9" s="1108" t="e">
        <f t="shared" ref="AI9:AI27" ca="1" si="37">CB9</f>
        <v>#REF!</v>
      </c>
      <c r="AJ9" s="363" t="e">
        <f t="shared" ref="AJ9:AJ27" ca="1" si="38">CC9</f>
        <v>#REF!</v>
      </c>
      <c r="AK9" s="1108" t="e">
        <f t="shared" ref="AK9:AK27" ca="1" si="39">CD9</f>
        <v>#REF!</v>
      </c>
      <c r="AL9" s="363" t="e">
        <f t="shared" ref="AL9:AL27" ca="1" si="40">CE9</f>
        <v>#REF!</v>
      </c>
      <c r="AM9" s="1108" t="e">
        <f t="shared" ref="AM9:AM27" ca="1" si="41">CF9</f>
        <v>#REF!</v>
      </c>
      <c r="AN9" s="363" t="e">
        <f t="shared" ref="AN9:AN27" ca="1" si="42">CG9</f>
        <v>#REF!</v>
      </c>
      <c r="AO9" s="1108" t="e">
        <f t="shared" ref="AO9:AO27" ca="1" si="43">CH9</f>
        <v>#REF!</v>
      </c>
      <c r="AP9" s="363" t="e">
        <f t="shared" ref="AP9:AP27" ca="1" si="44">CI9</f>
        <v>#REF!</v>
      </c>
      <c r="AQ9" s="1108" t="e">
        <f t="shared" ref="AQ9:AQ27" ca="1" si="45">CJ9</f>
        <v>#REF!</v>
      </c>
      <c r="AR9" s="363" t="e">
        <f t="shared" ref="AR9:AR27" ca="1" si="46">CK9</f>
        <v>#REF!</v>
      </c>
      <c r="AS9" s="1108" t="e">
        <f t="shared" ref="AS9:AS27" ca="1" si="47">CL9</f>
        <v>#REF!</v>
      </c>
      <c r="AT9" s="363" t="e">
        <f t="shared" ref="AT9:AT27" ca="1" si="48">CM9</f>
        <v>#REF!</v>
      </c>
      <c r="AU9" s="1108" t="e">
        <f t="shared" ref="AU9:AU27" ca="1" si="49">CN9</f>
        <v>#REF!</v>
      </c>
      <c r="AV9" s="363" t="e">
        <f t="shared" ref="AV9:AV27" ca="1" si="50">CO9</f>
        <v>#REF!</v>
      </c>
      <c r="AW9" s="1108" t="e">
        <f t="shared" ref="AW9:AW27" ca="1" si="51">CP9</f>
        <v>#REF!</v>
      </c>
      <c r="AX9" s="363" t="e">
        <f t="shared" ref="AX9:AX27" ca="1" si="52">CQ9</f>
        <v>#REF!</v>
      </c>
      <c r="AY9" s="1108" t="e">
        <f t="shared" ref="AY9:AY27" ca="1" si="53">CR9</f>
        <v>#REF!</v>
      </c>
      <c r="AZ9" s="363" t="e">
        <f t="shared" ref="AZ9:AZ27" ca="1" si="54">CS9</f>
        <v>#REF!</v>
      </c>
      <c r="BA9" s="499"/>
      <c r="BG9" s="520"/>
      <c r="BH9" s="520"/>
      <c r="BI9" s="520"/>
      <c r="BJ9" s="520"/>
      <c r="BK9" s="520"/>
      <c r="BL9" s="520"/>
      <c r="BM9">
        <f t="shared" si="5"/>
        <v>3</v>
      </c>
      <c r="BN9" s="531">
        <f t="shared" ref="BN9:BN27" ca="1" si="55">MATCH(BO9,INDIRECT($BS$2),0)</f>
        <v>2</v>
      </c>
      <c r="BO9" s="493">
        <f t="shared" si="6"/>
        <v>3</v>
      </c>
      <c r="BP9" s="500">
        <f t="shared" ref="BP9:BZ27" ca="1" si="56">INDEX(INDIRECT($BQ$2),$BN9,BP$1)</f>
        <v>0.73138473120014502</v>
      </c>
      <c r="BQ9" s="488">
        <f t="shared" ref="BQ9:CA27" ca="1" si="57">INDEX(INDIRECT($BQ$2),$BN9,BQ$1)+$BW$4</f>
        <v>0.13166666666666665</v>
      </c>
      <c r="BR9" s="500">
        <f t="shared" ca="1" si="56"/>
        <v>0.67372075612951532</v>
      </c>
      <c r="BS9" s="488">
        <f t="shared" ca="1" si="57"/>
        <v>0.15537499999999999</v>
      </c>
      <c r="BT9" s="500">
        <f t="shared" ca="1" si="56"/>
        <v>0.57330259722453625</v>
      </c>
      <c r="BU9" s="488">
        <f t="shared" ca="1" si="57"/>
        <v>0.19883333333333333</v>
      </c>
      <c r="BV9" s="500">
        <f t="shared" ca="1" si="56"/>
        <v>0.51507992499707023</v>
      </c>
      <c r="BW9" s="488">
        <f t="shared" ca="1" si="57"/>
        <v>0.24033333333333337</v>
      </c>
      <c r="BX9" s="500">
        <f t="shared" ca="1" si="56"/>
        <v>0.47729373123606011</v>
      </c>
      <c r="BY9" s="488">
        <f t="shared" ca="1" si="57"/>
        <v>0.25534761127466327</v>
      </c>
      <c r="BZ9" s="500">
        <f t="shared" ca="1" si="56"/>
        <v>0.42993827160493814</v>
      </c>
      <c r="CA9" s="488">
        <f t="shared" ca="1" si="57"/>
        <v>0.26750000000000002</v>
      </c>
      <c r="CB9" s="1106" t="e">
        <f t="shared" ca="1" si="7"/>
        <v>#REF!</v>
      </c>
      <c r="CC9" s="488" t="e">
        <f t="shared" ca="1" si="8"/>
        <v>#REF!</v>
      </c>
      <c r="CD9" s="1106" t="e">
        <f t="shared" ca="1" si="9"/>
        <v>#REF!</v>
      </c>
      <c r="CE9" s="488" t="e">
        <f t="shared" ca="1" si="10"/>
        <v>#REF!</v>
      </c>
      <c r="CF9" s="1106" t="e">
        <f t="shared" ca="1" si="11"/>
        <v>#REF!</v>
      </c>
      <c r="CG9" s="488" t="e">
        <f t="shared" ca="1" si="12"/>
        <v>#REF!</v>
      </c>
      <c r="CH9" s="1106" t="e">
        <f t="shared" ca="1" si="13"/>
        <v>#REF!</v>
      </c>
      <c r="CI9" s="488" t="e">
        <f t="shared" ca="1" si="14"/>
        <v>#REF!</v>
      </c>
      <c r="CJ9" s="1106" t="e">
        <f t="shared" ca="1" si="15"/>
        <v>#REF!</v>
      </c>
      <c r="CK9" s="488" t="e">
        <f t="shared" ca="1" si="16"/>
        <v>#REF!</v>
      </c>
      <c r="CL9" s="1106" t="e">
        <f t="shared" ca="1" si="17"/>
        <v>#REF!</v>
      </c>
      <c r="CM9" s="488" t="e">
        <f t="shared" ca="1" si="18"/>
        <v>#REF!</v>
      </c>
      <c r="CN9" s="1106" t="e">
        <f t="shared" ca="1" si="19"/>
        <v>#REF!</v>
      </c>
      <c r="CO9" s="488" t="e">
        <f t="shared" ca="1" si="20"/>
        <v>#REF!</v>
      </c>
      <c r="CP9" s="1106" t="e">
        <f t="shared" ca="1" si="21"/>
        <v>#REF!</v>
      </c>
      <c r="CQ9" s="488" t="e">
        <f t="shared" ca="1" si="22"/>
        <v>#REF!</v>
      </c>
      <c r="CR9" s="1106" t="e">
        <f t="shared" ca="1" si="23"/>
        <v>#REF!</v>
      </c>
      <c r="CS9" s="488" t="e">
        <f t="shared" ca="1" si="24"/>
        <v>#REF!</v>
      </c>
      <c r="CT9" s="488"/>
      <c r="CU9" s="488"/>
      <c r="CV9" s="84"/>
      <c r="CW9" s="1055"/>
      <c r="CX9" s="1150"/>
      <c r="CY9" s="1150"/>
      <c r="CZ9" s="1150"/>
      <c r="DA9" s="1150"/>
      <c r="DB9" s="1150"/>
      <c r="DC9" s="1150"/>
      <c r="DD9" s="1150"/>
      <c r="DE9" s="1150"/>
      <c r="DF9" s="1150"/>
      <c r="DG9" s="1150"/>
      <c r="DM9" s="552"/>
      <c r="DN9" s="290"/>
      <c r="DS9" s="290"/>
      <c r="DT9" s="290"/>
      <c r="DU9" s="290"/>
      <c r="DV9" s="290"/>
      <c r="DW9" s="290"/>
      <c r="DX9" s="870"/>
      <c r="DY9" s="870"/>
      <c r="DZ9" s="870"/>
      <c r="EJ9" s="857">
        <v>3</v>
      </c>
      <c r="EK9" s="859">
        <v>0.67532467532467544</v>
      </c>
      <c r="EL9" s="859">
        <v>0.12683333333333333</v>
      </c>
      <c r="EM9" s="859">
        <v>0.66347424061865379</v>
      </c>
      <c r="EN9" s="859">
        <v>0.156</v>
      </c>
      <c r="EO9" s="859">
        <v>0.6235040071767961</v>
      </c>
      <c r="EP9" s="859">
        <v>0.188</v>
      </c>
      <c r="EQ9" s="859">
        <v>0.55992896641640078</v>
      </c>
      <c r="ER9" s="859">
        <v>0.216</v>
      </c>
      <c r="ES9" s="859">
        <v>0.45754716981132071</v>
      </c>
      <c r="ET9" s="859">
        <v>0.29049999999999998</v>
      </c>
      <c r="EU9" s="859">
        <v>0.48583877995642694</v>
      </c>
      <c r="EV9" s="859">
        <v>0.29600000000000004</v>
      </c>
      <c r="EY9" s="534">
        <v>3</v>
      </c>
      <c r="EZ9" s="534">
        <v>0.66754776421262374</v>
      </c>
      <c r="FA9" s="534">
        <v>0.1245</v>
      </c>
      <c r="FB9" s="534">
        <v>0.64703196347031966</v>
      </c>
      <c r="FC9" s="534">
        <v>0.14733333333333332</v>
      </c>
      <c r="FD9" s="862">
        <v>0.56173545994974572</v>
      </c>
      <c r="FE9" s="534">
        <v>0.20499999999999999</v>
      </c>
      <c r="FF9" s="862">
        <v>0.52050352701694991</v>
      </c>
      <c r="FG9" s="862">
        <v>0.22216666666666662</v>
      </c>
      <c r="FH9" s="862">
        <v>0.45325659233796201</v>
      </c>
      <c r="FI9" s="862">
        <v>0.29428058731187645</v>
      </c>
      <c r="FJ9" s="862">
        <v>0.44304932735426006</v>
      </c>
      <c r="FK9" s="862">
        <v>0.32933333333333337</v>
      </c>
      <c r="FN9" s="532">
        <v>3</v>
      </c>
      <c r="FO9" s="532">
        <v>0.70622923405285276</v>
      </c>
      <c r="FP9" s="532">
        <v>0.1285</v>
      </c>
      <c r="FQ9" s="532">
        <v>0.67335562987736886</v>
      </c>
      <c r="FR9" s="532">
        <v>0.15049999999999999</v>
      </c>
      <c r="FS9" s="532">
        <v>0.6119205298013245</v>
      </c>
      <c r="FT9" s="532">
        <v>0.193</v>
      </c>
      <c r="FU9" s="532">
        <v>0.55165562913907285</v>
      </c>
      <c r="FV9" s="532">
        <v>0.224</v>
      </c>
      <c r="FW9" s="458">
        <v>0.43863344407530452</v>
      </c>
      <c r="FX9" s="458">
        <v>0.32299999999999995</v>
      </c>
      <c r="FY9" s="532">
        <v>0.43863344407530452</v>
      </c>
      <c r="FZ9" s="532">
        <v>0.32299999999999995</v>
      </c>
      <c r="GG9">
        <v>9</v>
      </c>
      <c r="GH9" s="1066">
        <v>3</v>
      </c>
      <c r="GI9" s="1066">
        <v>0.71054469556300981</v>
      </c>
      <c r="GJ9" s="1066">
        <v>0.13783333333333334</v>
      </c>
      <c r="GK9" s="1066">
        <v>0.6476352938543376</v>
      </c>
      <c r="GL9" s="1066">
        <v>0.154</v>
      </c>
      <c r="GM9" s="1066">
        <v>0.63101212692022079</v>
      </c>
      <c r="GN9" s="1066">
        <v>0.18</v>
      </c>
      <c r="GO9" s="1066">
        <v>0.56073325402231777</v>
      </c>
      <c r="GP9" s="1066">
        <v>0.23912499999999998</v>
      </c>
      <c r="GQ9" s="1066">
        <v>0.48095918519517272</v>
      </c>
      <c r="GR9" s="1066">
        <v>0.27406771530046831</v>
      </c>
      <c r="GS9" s="1066">
        <v>0.45546664829959521</v>
      </c>
      <c r="GT9" s="1066">
        <v>0.31462499999999999</v>
      </c>
      <c r="HC9" s="1086">
        <v>3</v>
      </c>
      <c r="HD9" s="1086">
        <v>0.73138473120014502</v>
      </c>
      <c r="HE9" s="1086">
        <v>0.13166666666666665</v>
      </c>
      <c r="HF9" s="1086">
        <v>0.67372075612951532</v>
      </c>
      <c r="HG9" s="1086">
        <v>0.15537499999999999</v>
      </c>
      <c r="HH9" s="1086">
        <v>0.57330259722453625</v>
      </c>
      <c r="HI9" s="1086">
        <v>0.19883333333333333</v>
      </c>
      <c r="HJ9" s="1086">
        <v>0.51507992499707023</v>
      </c>
      <c r="HK9" s="1086">
        <v>0.24033333333333337</v>
      </c>
      <c r="HL9" s="1086">
        <v>0.47729373123606011</v>
      </c>
      <c r="HM9" s="1086">
        <v>0.25534761127466327</v>
      </c>
      <c r="HN9" s="1086">
        <v>0.42993827160493814</v>
      </c>
      <c r="HO9" s="1086">
        <v>0.26750000000000002</v>
      </c>
      <c r="HY9" s="1084">
        <v>3</v>
      </c>
      <c r="HZ9" s="458">
        <v>0.62338458964743282</v>
      </c>
      <c r="IA9" s="458">
        <v>0.15749999999999997</v>
      </c>
      <c r="IB9" s="1084">
        <v>0.66452348792420413</v>
      </c>
      <c r="IC9" s="1084">
        <v>0.16149999999999998</v>
      </c>
      <c r="ID9" s="458">
        <v>0.50396979692508337</v>
      </c>
      <c r="IE9" s="458">
        <v>0.25616666666666665</v>
      </c>
      <c r="IF9" s="1084">
        <v>0.50396979692508337</v>
      </c>
      <c r="IG9" s="1084">
        <v>0.25616666666666665</v>
      </c>
      <c r="IH9" s="1084">
        <v>0.42459790361943661</v>
      </c>
      <c r="II9" s="1084">
        <v>0.32725000000000004</v>
      </c>
      <c r="IU9" s="1171">
        <v>3</v>
      </c>
      <c r="IV9" s="1171">
        <v>0.69099340178174329</v>
      </c>
      <c r="IW9" s="1171">
        <v>0.14133333333333334</v>
      </c>
      <c r="IX9" s="1171">
        <v>0.63214995598716528</v>
      </c>
      <c r="IY9" s="1171">
        <v>0.1555</v>
      </c>
      <c r="IZ9" s="1171">
        <v>0.60860104088720712</v>
      </c>
      <c r="JA9" s="1171">
        <v>0.19149999999999998</v>
      </c>
      <c r="JB9" s="1171">
        <v>0.55291005291005302</v>
      </c>
      <c r="JC9" s="1171">
        <v>0.22500000000000001</v>
      </c>
      <c r="JD9" s="1171">
        <v>0.47983232255168984</v>
      </c>
      <c r="JE9" s="1171">
        <v>0.27174999999999999</v>
      </c>
      <c r="JF9" s="1171">
        <v>0.43622309056639846</v>
      </c>
      <c r="JG9" s="1171">
        <v>0.30938888888888888</v>
      </c>
    </row>
    <row r="10" spans="1:306" ht="15.75" x14ac:dyDescent="0.25">
      <c r="B10" s="289">
        <v>3</v>
      </c>
      <c r="C10" s="330"/>
      <c r="D10" s="331"/>
      <c r="E10" s="331"/>
      <c r="F10" s="332"/>
      <c r="G10" s="330"/>
      <c r="H10" s="331"/>
      <c r="I10" s="331"/>
      <c r="J10" s="331"/>
      <c r="K10" s="339"/>
      <c r="L10" s="340"/>
      <c r="M10" s="340"/>
      <c r="N10" s="341"/>
      <c r="O10" s="339"/>
      <c r="P10" s="340"/>
      <c r="Q10" s="340"/>
      <c r="R10" s="341"/>
      <c r="S10">
        <f>V10/12/3.281*RWDI_FACTORS!$D$7</f>
        <v>40.638016864776993</v>
      </c>
      <c r="T10" s="358"/>
      <c r="U10" s="360"/>
      <c r="V10" s="360">
        <v>4</v>
      </c>
      <c r="W10" s="355">
        <f t="shared" ca="1" si="25"/>
        <v>0.75064681938354971</v>
      </c>
      <c r="X10" s="363">
        <f t="shared" ca="1" si="26"/>
        <v>0.126</v>
      </c>
      <c r="Y10" s="355">
        <f t="shared" ca="1" si="27"/>
        <v>0.69274939172749406</v>
      </c>
      <c r="Z10" s="363">
        <f t="shared" ca="1" si="28"/>
        <v>0.14974999999999999</v>
      </c>
      <c r="AA10" s="355">
        <f t="shared" ca="1" si="29"/>
        <v>0.60209575100139923</v>
      </c>
      <c r="AB10" s="363">
        <f t="shared" ca="1" si="30"/>
        <v>0.192</v>
      </c>
      <c r="AC10" s="355">
        <f t="shared" ca="1" si="31"/>
        <v>0.54090340442986062</v>
      </c>
      <c r="AD10" s="363">
        <f t="shared" ca="1" si="32"/>
        <v>0.22766666666666668</v>
      </c>
      <c r="AE10" s="355">
        <f t="shared" ca="1" si="33"/>
        <v>0.51205160624523927</v>
      </c>
      <c r="AF10" s="363">
        <f t="shared" ca="1" si="34"/>
        <v>0.24680591561549042</v>
      </c>
      <c r="AG10" s="355">
        <f t="shared" ca="1" si="35"/>
        <v>0.46419753086419746</v>
      </c>
      <c r="AH10" s="363">
        <f t="shared" ca="1" si="36"/>
        <v>0.26300000000000001</v>
      </c>
      <c r="AI10" s="1108" t="e">
        <f t="shared" ca="1" si="37"/>
        <v>#REF!</v>
      </c>
      <c r="AJ10" s="363" t="e">
        <f t="shared" ca="1" si="38"/>
        <v>#REF!</v>
      </c>
      <c r="AK10" s="1108" t="e">
        <f t="shared" ca="1" si="39"/>
        <v>#REF!</v>
      </c>
      <c r="AL10" s="363" t="e">
        <f t="shared" ca="1" si="40"/>
        <v>#REF!</v>
      </c>
      <c r="AM10" s="1108" t="e">
        <f t="shared" ca="1" si="41"/>
        <v>#REF!</v>
      </c>
      <c r="AN10" s="363" t="e">
        <f t="shared" ca="1" si="42"/>
        <v>#REF!</v>
      </c>
      <c r="AO10" s="1108" t="e">
        <f t="shared" ca="1" si="43"/>
        <v>#REF!</v>
      </c>
      <c r="AP10" s="363" t="e">
        <f t="shared" ca="1" si="44"/>
        <v>#REF!</v>
      </c>
      <c r="AQ10" s="1108" t="e">
        <f t="shared" ca="1" si="45"/>
        <v>#REF!</v>
      </c>
      <c r="AR10" s="363" t="e">
        <f t="shared" ca="1" si="46"/>
        <v>#REF!</v>
      </c>
      <c r="AS10" s="1108" t="e">
        <f t="shared" ca="1" si="47"/>
        <v>#REF!</v>
      </c>
      <c r="AT10" s="363" t="e">
        <f t="shared" ca="1" si="48"/>
        <v>#REF!</v>
      </c>
      <c r="AU10" s="1108" t="e">
        <f t="shared" ca="1" si="49"/>
        <v>#REF!</v>
      </c>
      <c r="AV10" s="363" t="e">
        <f t="shared" ca="1" si="50"/>
        <v>#REF!</v>
      </c>
      <c r="AW10" s="1108" t="e">
        <f t="shared" ca="1" si="51"/>
        <v>#REF!</v>
      </c>
      <c r="AX10" s="363" t="e">
        <f t="shared" ca="1" si="52"/>
        <v>#REF!</v>
      </c>
      <c r="AY10" s="1108" t="e">
        <f t="shared" ca="1" si="53"/>
        <v>#REF!</v>
      </c>
      <c r="AZ10" s="363" t="e">
        <f t="shared" ca="1" si="54"/>
        <v>#REF!</v>
      </c>
      <c r="BA10" s="499"/>
      <c r="BG10" s="520"/>
      <c r="BH10" s="520"/>
      <c r="BI10" s="520"/>
      <c r="BJ10" s="520"/>
      <c r="BK10" s="520"/>
      <c r="BL10" s="520"/>
      <c r="BM10">
        <f t="shared" si="5"/>
        <v>4</v>
      </c>
      <c r="BN10" s="531">
        <f t="shared" ca="1" si="55"/>
        <v>3</v>
      </c>
      <c r="BO10" s="493">
        <f t="shared" si="6"/>
        <v>4</v>
      </c>
      <c r="BP10" s="500">
        <f t="shared" ca="1" si="56"/>
        <v>0.75064681938354971</v>
      </c>
      <c r="BQ10" s="488">
        <f t="shared" ca="1" si="57"/>
        <v>0.126</v>
      </c>
      <c r="BR10" s="500">
        <f t="shared" ca="1" si="56"/>
        <v>0.69274939172749406</v>
      </c>
      <c r="BS10" s="488">
        <f t="shared" ca="1" si="57"/>
        <v>0.14974999999999999</v>
      </c>
      <c r="BT10" s="500">
        <f t="shared" ca="1" si="56"/>
        <v>0.60209575100139923</v>
      </c>
      <c r="BU10" s="488">
        <f t="shared" ca="1" si="57"/>
        <v>0.192</v>
      </c>
      <c r="BV10" s="500">
        <f t="shared" ca="1" si="56"/>
        <v>0.54090340442986062</v>
      </c>
      <c r="BW10" s="488">
        <f t="shared" ca="1" si="57"/>
        <v>0.22766666666666668</v>
      </c>
      <c r="BX10" s="500">
        <f t="shared" ca="1" si="56"/>
        <v>0.51205160624523927</v>
      </c>
      <c r="BY10" s="488">
        <f t="shared" ca="1" si="57"/>
        <v>0.24680591561549042</v>
      </c>
      <c r="BZ10" s="500">
        <f t="shared" ca="1" si="56"/>
        <v>0.46419753086419746</v>
      </c>
      <c r="CA10" s="488">
        <f t="shared" ca="1" si="57"/>
        <v>0.26300000000000001</v>
      </c>
      <c r="CB10" s="1106" t="e">
        <f t="shared" ca="1" si="7"/>
        <v>#REF!</v>
      </c>
      <c r="CC10" s="488" t="e">
        <f t="shared" ca="1" si="8"/>
        <v>#REF!</v>
      </c>
      <c r="CD10" s="1106" t="e">
        <f t="shared" ca="1" si="9"/>
        <v>#REF!</v>
      </c>
      <c r="CE10" s="488" t="e">
        <f t="shared" ca="1" si="10"/>
        <v>#REF!</v>
      </c>
      <c r="CF10" s="1106" t="e">
        <f t="shared" ca="1" si="11"/>
        <v>#REF!</v>
      </c>
      <c r="CG10" s="488" t="e">
        <f t="shared" ca="1" si="12"/>
        <v>#REF!</v>
      </c>
      <c r="CH10" s="1106" t="e">
        <f t="shared" ca="1" si="13"/>
        <v>#REF!</v>
      </c>
      <c r="CI10" s="488" t="e">
        <f t="shared" ca="1" si="14"/>
        <v>#REF!</v>
      </c>
      <c r="CJ10" s="1106" t="e">
        <f t="shared" ca="1" si="15"/>
        <v>#REF!</v>
      </c>
      <c r="CK10" s="488" t="e">
        <f t="shared" ca="1" si="16"/>
        <v>#REF!</v>
      </c>
      <c r="CL10" s="1106" t="e">
        <f t="shared" ca="1" si="17"/>
        <v>#REF!</v>
      </c>
      <c r="CM10" s="488" t="e">
        <f t="shared" ca="1" si="18"/>
        <v>#REF!</v>
      </c>
      <c r="CN10" s="1106" t="e">
        <f t="shared" ca="1" si="19"/>
        <v>#REF!</v>
      </c>
      <c r="CO10" s="488" t="e">
        <f t="shared" ca="1" si="20"/>
        <v>#REF!</v>
      </c>
      <c r="CP10" s="1106" t="e">
        <f t="shared" ca="1" si="21"/>
        <v>#REF!</v>
      </c>
      <c r="CQ10" s="488" t="e">
        <f t="shared" ca="1" si="22"/>
        <v>#REF!</v>
      </c>
      <c r="CR10" s="1106" t="e">
        <f t="shared" ca="1" si="23"/>
        <v>#REF!</v>
      </c>
      <c r="CS10" s="488" t="e">
        <f t="shared" ca="1" si="24"/>
        <v>#REF!</v>
      </c>
      <c r="CT10" s="488"/>
      <c r="CU10" s="488"/>
      <c r="CV10" s="84"/>
      <c r="CW10" s="1055"/>
      <c r="CX10" s="1150"/>
      <c r="CY10" s="1150"/>
      <c r="CZ10" s="1150"/>
      <c r="DA10" s="1150"/>
      <c r="DB10" s="1150"/>
      <c r="DC10" s="1150"/>
      <c r="DD10" s="1150"/>
      <c r="DE10" s="1150"/>
      <c r="DF10" s="1150"/>
      <c r="DG10" s="1150"/>
      <c r="DM10" s="552"/>
      <c r="DN10" s="290"/>
      <c r="DS10" s="290"/>
      <c r="DT10" s="290"/>
      <c r="DU10" s="290"/>
      <c r="DV10" s="290"/>
      <c r="DW10" s="290"/>
      <c r="DX10" s="870"/>
      <c r="DY10" s="870"/>
      <c r="DZ10" s="870"/>
      <c r="EJ10" s="857">
        <v>4</v>
      </c>
      <c r="EK10" s="859">
        <v>0.69696969696969691</v>
      </c>
      <c r="EL10" s="859">
        <v>0.11833333333333333</v>
      </c>
      <c r="EM10" s="859">
        <v>0.68427623826181283</v>
      </c>
      <c r="EN10" s="859">
        <v>0.151</v>
      </c>
      <c r="EO10" s="859">
        <v>0.65496203204947545</v>
      </c>
      <c r="EP10" s="859">
        <v>0.17549999999999999</v>
      </c>
      <c r="EQ10" s="859">
        <v>0.59051386953198759</v>
      </c>
      <c r="ER10" s="859">
        <v>0.20800000000000002</v>
      </c>
      <c r="ES10" s="859">
        <v>0.51352201257861629</v>
      </c>
      <c r="ET10" s="859">
        <v>0.26550000000000001</v>
      </c>
      <c r="EU10" s="859">
        <v>0.5281045751633987</v>
      </c>
      <c r="EV10" s="859">
        <v>0.28199999999999997</v>
      </c>
      <c r="EY10" s="534">
        <v>4</v>
      </c>
      <c r="EZ10" s="534">
        <v>0.69010458060120694</v>
      </c>
      <c r="FA10" s="534">
        <v>0.11800000000000001</v>
      </c>
      <c r="FB10" s="534">
        <v>0.66803652968036531</v>
      </c>
      <c r="FC10" s="534">
        <v>0.14299999999999999</v>
      </c>
      <c r="FD10" s="862">
        <v>0.59762977262977257</v>
      </c>
      <c r="FE10" s="534">
        <v>0.19383333333333336</v>
      </c>
      <c r="FF10" s="862">
        <v>0.55037318862486651</v>
      </c>
      <c r="FG10" s="862">
        <v>0.2145</v>
      </c>
      <c r="FH10" s="862">
        <v>0.49575286082590814</v>
      </c>
      <c r="FI10" s="862">
        <v>0.27</v>
      </c>
      <c r="FJ10" s="862">
        <v>0.48094170403587444</v>
      </c>
      <c r="FK10" s="862">
        <v>0.30299999999999999</v>
      </c>
      <c r="FN10" s="532">
        <v>4</v>
      </c>
      <c r="FO10" s="532">
        <v>0.73595616872400815</v>
      </c>
      <c r="FP10" s="532">
        <v>0.122</v>
      </c>
      <c r="FQ10" s="532">
        <v>0.69641725140446364</v>
      </c>
      <c r="FR10" s="532">
        <v>0.14200000000000002</v>
      </c>
      <c r="FS10" s="532">
        <v>0.65695364238410592</v>
      </c>
      <c r="FT10" s="532">
        <v>0.183</v>
      </c>
      <c r="FU10" s="532">
        <v>0.58874172185430462</v>
      </c>
      <c r="FV10" s="532">
        <v>0.21249999999999999</v>
      </c>
      <c r="FW10" s="458">
        <v>0.49931339977851608</v>
      </c>
      <c r="FX10" s="458">
        <v>0.28249999999999997</v>
      </c>
      <c r="FY10" s="532">
        <v>0.49931339977851608</v>
      </c>
      <c r="FZ10" s="532">
        <v>0.28249999999999997</v>
      </c>
      <c r="GG10">
        <v>10</v>
      </c>
      <c r="GH10" s="1066">
        <v>4</v>
      </c>
      <c r="GI10" s="1066">
        <v>0.73424867855932552</v>
      </c>
      <c r="GJ10" s="1066">
        <v>0.13166666666666665</v>
      </c>
      <c r="GK10" s="1066">
        <v>0.67522507122507125</v>
      </c>
      <c r="GL10" s="1066">
        <v>0.14666666666666667</v>
      </c>
      <c r="GM10" s="1066">
        <v>0.65643247472666511</v>
      </c>
      <c r="GN10" s="1066">
        <v>0.17399999999999999</v>
      </c>
      <c r="GO10" s="1066">
        <v>0.58535539194321184</v>
      </c>
      <c r="GP10" s="1066">
        <v>0.22949999999999998</v>
      </c>
      <c r="GQ10" s="1066">
        <v>0.51027296942983236</v>
      </c>
      <c r="GR10" s="1066">
        <v>0.26645052431690081</v>
      </c>
      <c r="GS10" s="1066">
        <v>0.48226616012661389</v>
      </c>
      <c r="GT10" s="1066">
        <v>0.29924999999999996</v>
      </c>
      <c r="HC10" s="1086">
        <v>4</v>
      </c>
      <c r="HD10" s="1086">
        <v>0.75064681938354971</v>
      </c>
      <c r="HE10" s="1086">
        <v>0.126</v>
      </c>
      <c r="HF10" s="1086">
        <v>0.69274939172749406</v>
      </c>
      <c r="HG10" s="1086">
        <v>0.14974999999999999</v>
      </c>
      <c r="HH10" s="1086">
        <v>0.60209575100139923</v>
      </c>
      <c r="HI10" s="1086">
        <v>0.192</v>
      </c>
      <c r="HJ10" s="1086">
        <v>0.54090340442986062</v>
      </c>
      <c r="HK10" s="1086">
        <v>0.22766666666666668</v>
      </c>
      <c r="HL10" s="1086">
        <v>0.51205160624523927</v>
      </c>
      <c r="HM10" s="1086">
        <v>0.24680591561549042</v>
      </c>
      <c r="HN10" s="1086">
        <v>0.46419753086419746</v>
      </c>
      <c r="HO10" s="1086">
        <v>0.26300000000000001</v>
      </c>
      <c r="HY10" s="1084">
        <v>4</v>
      </c>
      <c r="HZ10" s="458">
        <v>0.65047190196707139</v>
      </c>
      <c r="IA10" s="458">
        <v>0.151</v>
      </c>
      <c r="IB10" s="1084">
        <v>0.69183377306977589</v>
      </c>
      <c r="IC10" s="1084">
        <v>0.15666666666666665</v>
      </c>
      <c r="ID10" s="458">
        <v>0.5446756604674925</v>
      </c>
      <c r="IE10" s="458">
        <v>0.245</v>
      </c>
      <c r="IF10" s="1084">
        <v>0.5446756604674925</v>
      </c>
      <c r="IG10" s="1084">
        <v>0.245</v>
      </c>
      <c r="IH10" s="1084">
        <v>0.45328797071336896</v>
      </c>
      <c r="II10" s="1084">
        <v>0.31850000000000001</v>
      </c>
      <c r="IU10" s="1171">
        <v>4</v>
      </c>
      <c r="IV10" s="1171">
        <v>0.71787723334642395</v>
      </c>
      <c r="IW10" s="1171">
        <v>0.13366666666666666</v>
      </c>
      <c r="IX10" s="1171">
        <v>0.65557534880380297</v>
      </c>
      <c r="IY10" s="1171">
        <v>0.14699999999999999</v>
      </c>
      <c r="IZ10" s="1171">
        <v>0.63766253935534878</v>
      </c>
      <c r="JA10" s="1171">
        <v>0.18149999999999999</v>
      </c>
      <c r="JB10" s="1171">
        <v>0.57470238095238102</v>
      </c>
      <c r="JC10" s="1171">
        <v>0.21850000000000003</v>
      </c>
      <c r="JD10" s="1171">
        <v>0.50497943297894243</v>
      </c>
      <c r="JE10" s="1171">
        <v>0.26587499999999997</v>
      </c>
      <c r="JF10" s="1171">
        <v>0.45558702275418611</v>
      </c>
      <c r="JG10" s="1171">
        <v>0.30011111111111111</v>
      </c>
    </row>
    <row r="11" spans="1:306" ht="15.75" x14ac:dyDescent="0.25">
      <c r="B11" s="289">
        <v>4</v>
      </c>
      <c r="C11" s="330"/>
      <c r="D11" s="331"/>
      <c r="E11" s="331"/>
      <c r="F11" s="332"/>
      <c r="G11" s="330"/>
      <c r="H11" s="331"/>
      <c r="I11" s="331"/>
      <c r="J11" s="331"/>
      <c r="K11" s="339"/>
      <c r="L11" s="340"/>
      <c r="M11" s="340"/>
      <c r="N11" s="341"/>
      <c r="O11" s="339"/>
      <c r="P11" s="340"/>
      <c r="Q11" s="340"/>
      <c r="R11" s="341"/>
      <c r="S11">
        <f>V11/12/3.281*RWDI_FACTORS!$D$7</f>
        <v>50.797521080971251</v>
      </c>
      <c r="T11" s="358"/>
      <c r="U11" s="360"/>
      <c r="V11" s="360">
        <v>5</v>
      </c>
      <c r="W11" s="355">
        <f t="shared" ca="1" si="25"/>
        <v>0.7699089075669544</v>
      </c>
      <c r="X11" s="363">
        <f t="shared" ca="1" si="26"/>
        <v>0.12033333333333333</v>
      </c>
      <c r="Y11" s="355">
        <f t="shared" ca="1" si="27"/>
        <v>0.70975091575091587</v>
      </c>
      <c r="Z11" s="363">
        <f t="shared" ca="1" si="28"/>
        <v>0.14250000000000002</v>
      </c>
      <c r="AA11" s="355">
        <f t="shared" ca="1" si="29"/>
        <v>0.62989390620859687</v>
      </c>
      <c r="AB11" s="363">
        <f t="shared" ca="1" si="30"/>
        <v>0.18516666666666665</v>
      </c>
      <c r="AC11" s="355">
        <f t="shared" ca="1" si="31"/>
        <v>0.56672688386265091</v>
      </c>
      <c r="AD11" s="363">
        <f t="shared" ca="1" si="32"/>
        <v>0.21833333333333335</v>
      </c>
      <c r="AE11" s="355">
        <f t="shared" ca="1" si="33"/>
        <v>0.54074572054238179</v>
      </c>
      <c r="AF11" s="363">
        <f t="shared" ca="1" si="34"/>
        <v>0.24102795780774522</v>
      </c>
      <c r="AG11" s="355">
        <f t="shared" ca="1" si="35"/>
        <v>0.49845679012345678</v>
      </c>
      <c r="AH11" s="363">
        <f t="shared" ca="1" si="36"/>
        <v>0.25850000000000001</v>
      </c>
      <c r="AI11" s="1108" t="e">
        <f t="shared" ca="1" si="37"/>
        <v>#REF!</v>
      </c>
      <c r="AJ11" s="363" t="e">
        <f t="shared" ca="1" si="38"/>
        <v>#REF!</v>
      </c>
      <c r="AK11" s="1108" t="e">
        <f t="shared" ca="1" si="39"/>
        <v>#REF!</v>
      </c>
      <c r="AL11" s="363" t="e">
        <f t="shared" ca="1" si="40"/>
        <v>#REF!</v>
      </c>
      <c r="AM11" s="1108" t="e">
        <f t="shared" ca="1" si="41"/>
        <v>#REF!</v>
      </c>
      <c r="AN11" s="363" t="e">
        <f t="shared" ca="1" si="42"/>
        <v>#REF!</v>
      </c>
      <c r="AO11" s="1108" t="e">
        <f t="shared" ca="1" si="43"/>
        <v>#REF!</v>
      </c>
      <c r="AP11" s="363" t="e">
        <f t="shared" ca="1" si="44"/>
        <v>#REF!</v>
      </c>
      <c r="AQ11" s="1108" t="e">
        <f t="shared" ca="1" si="45"/>
        <v>#REF!</v>
      </c>
      <c r="AR11" s="363" t="e">
        <f t="shared" ca="1" si="46"/>
        <v>#REF!</v>
      </c>
      <c r="AS11" s="1108" t="e">
        <f t="shared" ca="1" si="47"/>
        <v>#REF!</v>
      </c>
      <c r="AT11" s="363" t="e">
        <f t="shared" ca="1" si="48"/>
        <v>#REF!</v>
      </c>
      <c r="AU11" s="1108" t="e">
        <f t="shared" ca="1" si="49"/>
        <v>#REF!</v>
      </c>
      <c r="AV11" s="363" t="e">
        <f t="shared" ca="1" si="50"/>
        <v>#REF!</v>
      </c>
      <c r="AW11" s="1108" t="e">
        <f t="shared" ca="1" si="51"/>
        <v>#REF!</v>
      </c>
      <c r="AX11" s="363" t="e">
        <f t="shared" ca="1" si="52"/>
        <v>#REF!</v>
      </c>
      <c r="AY11" s="1108" t="e">
        <f t="shared" ca="1" si="53"/>
        <v>#REF!</v>
      </c>
      <c r="AZ11" s="363" t="e">
        <f t="shared" ca="1" si="54"/>
        <v>#REF!</v>
      </c>
      <c r="BA11" s="499"/>
      <c r="BG11" s="520"/>
      <c r="BH11" s="520"/>
      <c r="BI11" s="520"/>
      <c r="BJ11" s="520"/>
      <c r="BK11" s="520"/>
      <c r="BL11" s="520"/>
      <c r="BM11">
        <f t="shared" si="5"/>
        <v>5</v>
      </c>
      <c r="BN11" s="531">
        <f t="shared" ca="1" si="55"/>
        <v>4</v>
      </c>
      <c r="BO11" s="493">
        <f t="shared" si="6"/>
        <v>5</v>
      </c>
      <c r="BP11" s="500">
        <f t="shared" ca="1" si="56"/>
        <v>0.7699089075669544</v>
      </c>
      <c r="BQ11" s="488">
        <f t="shared" ca="1" si="57"/>
        <v>0.12033333333333333</v>
      </c>
      <c r="BR11" s="500">
        <f t="shared" ca="1" si="56"/>
        <v>0.70975091575091587</v>
      </c>
      <c r="BS11" s="488">
        <f t="shared" ca="1" si="57"/>
        <v>0.14250000000000002</v>
      </c>
      <c r="BT11" s="500">
        <f t="shared" ca="1" si="56"/>
        <v>0.62989390620859687</v>
      </c>
      <c r="BU11" s="488">
        <f t="shared" ca="1" si="57"/>
        <v>0.18516666666666665</v>
      </c>
      <c r="BV11" s="500">
        <f t="shared" ca="1" si="56"/>
        <v>0.56672688386265091</v>
      </c>
      <c r="BW11" s="488">
        <f t="shared" ca="1" si="57"/>
        <v>0.21833333333333335</v>
      </c>
      <c r="BX11" s="500">
        <f t="shared" ca="1" si="56"/>
        <v>0.54074572054238179</v>
      </c>
      <c r="BY11" s="488">
        <f t="shared" ca="1" si="57"/>
        <v>0.24102795780774522</v>
      </c>
      <c r="BZ11" s="500">
        <f t="shared" ca="1" si="56"/>
        <v>0.49845679012345678</v>
      </c>
      <c r="CA11" s="488">
        <f t="shared" ca="1" si="57"/>
        <v>0.25850000000000001</v>
      </c>
      <c r="CB11" s="1106" t="e">
        <f t="shared" ca="1" si="7"/>
        <v>#REF!</v>
      </c>
      <c r="CC11" s="488" t="e">
        <f t="shared" ca="1" si="8"/>
        <v>#REF!</v>
      </c>
      <c r="CD11" s="1106" t="e">
        <f t="shared" ca="1" si="9"/>
        <v>#REF!</v>
      </c>
      <c r="CE11" s="488" t="e">
        <f t="shared" ca="1" si="10"/>
        <v>#REF!</v>
      </c>
      <c r="CF11" s="1106" t="e">
        <f t="shared" ca="1" si="11"/>
        <v>#REF!</v>
      </c>
      <c r="CG11" s="488" t="e">
        <f t="shared" ca="1" si="12"/>
        <v>#REF!</v>
      </c>
      <c r="CH11" s="1106" t="e">
        <f t="shared" ca="1" si="13"/>
        <v>#REF!</v>
      </c>
      <c r="CI11" s="488" t="e">
        <f t="shared" ca="1" si="14"/>
        <v>#REF!</v>
      </c>
      <c r="CJ11" s="1106" t="e">
        <f t="shared" ca="1" si="15"/>
        <v>#REF!</v>
      </c>
      <c r="CK11" s="488" t="e">
        <f t="shared" ca="1" si="16"/>
        <v>#REF!</v>
      </c>
      <c r="CL11" s="1106" t="e">
        <f t="shared" ca="1" si="17"/>
        <v>#REF!</v>
      </c>
      <c r="CM11" s="488" t="e">
        <f t="shared" ca="1" si="18"/>
        <v>#REF!</v>
      </c>
      <c r="CN11" s="1106" t="e">
        <f t="shared" ca="1" si="19"/>
        <v>#REF!</v>
      </c>
      <c r="CO11" s="488" t="e">
        <f t="shared" ca="1" si="20"/>
        <v>#REF!</v>
      </c>
      <c r="CP11" s="1106" t="e">
        <f t="shared" ca="1" si="21"/>
        <v>#REF!</v>
      </c>
      <c r="CQ11" s="488" t="e">
        <f t="shared" ca="1" si="22"/>
        <v>#REF!</v>
      </c>
      <c r="CR11" s="1106" t="e">
        <f t="shared" ca="1" si="23"/>
        <v>#REF!</v>
      </c>
      <c r="CS11" s="488" t="e">
        <f t="shared" ca="1" si="24"/>
        <v>#REF!</v>
      </c>
      <c r="CT11" s="488"/>
      <c r="CU11" s="488"/>
      <c r="CV11" s="84"/>
      <c r="CW11" s="1055"/>
      <c r="CX11" s="1150"/>
      <c r="CY11" s="1150"/>
      <c r="CZ11" s="1150"/>
      <c r="DA11" s="1150"/>
      <c r="DB11" s="1150"/>
      <c r="DC11" s="1150"/>
      <c r="DD11" s="1150"/>
      <c r="DE11" s="1150"/>
      <c r="DF11" s="1150"/>
      <c r="DG11" s="1150"/>
      <c r="DM11" s="552"/>
      <c r="DN11" s="290"/>
      <c r="DS11" s="290"/>
      <c r="DT11" s="290"/>
      <c r="DU11" s="290"/>
      <c r="DV11" s="290"/>
      <c r="DW11" s="290"/>
      <c r="DX11" s="870"/>
      <c r="DY11" s="870"/>
      <c r="DZ11" s="870"/>
      <c r="EJ11" s="857">
        <v>5</v>
      </c>
      <c r="EK11" s="859">
        <v>0.7142857142857143</v>
      </c>
      <c r="EL11" s="859">
        <v>0.11533333333333334</v>
      </c>
      <c r="EM11" s="859">
        <v>0.70507823590497198</v>
      </c>
      <c r="EN11" s="859">
        <v>0.14599999999999999</v>
      </c>
      <c r="EO11" s="859">
        <v>0.67778646649968455</v>
      </c>
      <c r="EP11" s="859">
        <v>0.16700000000000001</v>
      </c>
      <c r="EQ11" s="859">
        <v>0.6210987726475744</v>
      </c>
      <c r="ER11" s="859">
        <v>0.20125000000000001</v>
      </c>
      <c r="ES11" s="859">
        <v>0.54748427672955979</v>
      </c>
      <c r="ET11" s="859">
        <v>0.25600000000000001</v>
      </c>
      <c r="EU11" s="859">
        <v>0.5631808278867102</v>
      </c>
      <c r="EV11" s="859">
        <v>0.26966666666666667</v>
      </c>
      <c r="EY11" s="534">
        <v>5</v>
      </c>
      <c r="EZ11" s="534">
        <v>0.7079713658594905</v>
      </c>
      <c r="FA11" s="534">
        <v>0.11300000000000002</v>
      </c>
      <c r="FB11" s="534">
        <v>0.68789954337899539</v>
      </c>
      <c r="FC11" s="534">
        <v>0.13900000000000001</v>
      </c>
      <c r="FD11" s="862">
        <v>0.63859548323834037</v>
      </c>
      <c r="FE11" s="534">
        <v>0.18233333333333335</v>
      </c>
      <c r="FF11" s="862">
        <v>0.58649424592377608</v>
      </c>
      <c r="FG11" s="862">
        <v>0.20475000000000002</v>
      </c>
      <c r="FH11" s="862">
        <v>0.5297164050839025</v>
      </c>
      <c r="FI11" s="862">
        <v>0.25600000000000001</v>
      </c>
      <c r="FJ11" s="862">
        <v>0.51883408071748882</v>
      </c>
      <c r="FK11" s="862">
        <v>0.28666666666666668</v>
      </c>
      <c r="FN11" s="532">
        <v>5</v>
      </c>
      <c r="FO11" s="532">
        <v>0.75903800030805113</v>
      </c>
      <c r="FP11" s="532">
        <v>0.11749999999999999</v>
      </c>
      <c r="FQ11" s="532">
        <v>0.71947887293155843</v>
      </c>
      <c r="FR11" s="532">
        <v>0.13675000000000001</v>
      </c>
      <c r="FS11" s="532">
        <v>0.67947019867549674</v>
      </c>
      <c r="FT11" s="532">
        <v>0.17699999999999999</v>
      </c>
      <c r="FU11" s="532">
        <v>0.61639072847682108</v>
      </c>
      <c r="FV11" s="532">
        <v>0.20624999999999999</v>
      </c>
      <c r="FW11" s="458">
        <v>0.5349368770764118</v>
      </c>
      <c r="FX11" s="458">
        <v>0.26300000000000001</v>
      </c>
      <c r="FY11" s="532">
        <v>0.5349368770764118</v>
      </c>
      <c r="FZ11" s="532">
        <v>0.26300000000000001</v>
      </c>
      <c r="GG11">
        <v>11</v>
      </c>
      <c r="GH11" s="1066">
        <v>5</v>
      </c>
      <c r="GI11" s="1066">
        <v>0.74943855910625667</v>
      </c>
      <c r="GJ11" s="1066">
        <v>0.1255</v>
      </c>
      <c r="GK11" s="1066">
        <v>0.69197815764482429</v>
      </c>
      <c r="GL11" s="1066">
        <v>0.13933333333333331</v>
      </c>
      <c r="GM11" s="1066">
        <v>0.67522060843290754</v>
      </c>
      <c r="GN11" s="1066">
        <v>0.16799999999999998</v>
      </c>
      <c r="GO11" s="1066">
        <v>0.60363022010078393</v>
      </c>
      <c r="GP11" s="1066">
        <v>0.21987499999999996</v>
      </c>
      <c r="GQ11" s="1066">
        <v>0.53424216857307127</v>
      </c>
      <c r="GR11" s="1066">
        <v>0.2588333333333333</v>
      </c>
      <c r="GS11" s="1066">
        <v>0.50322101140610775</v>
      </c>
      <c r="GT11" s="1066">
        <v>0.29012499999999997</v>
      </c>
      <c r="HC11" s="1086">
        <v>5</v>
      </c>
      <c r="HD11" s="1086">
        <v>0.7699089075669544</v>
      </c>
      <c r="HE11" s="1086">
        <v>0.12033333333333333</v>
      </c>
      <c r="HF11" s="1086">
        <v>0.70975091575091587</v>
      </c>
      <c r="HG11" s="1086">
        <v>0.14250000000000002</v>
      </c>
      <c r="HH11" s="1086">
        <v>0.62989390620859687</v>
      </c>
      <c r="HI11" s="1086">
        <v>0.18516666666666665</v>
      </c>
      <c r="HJ11" s="1086">
        <v>0.56672688386265091</v>
      </c>
      <c r="HK11" s="1086">
        <v>0.21833333333333335</v>
      </c>
      <c r="HL11" s="1086">
        <v>0.54074572054238179</v>
      </c>
      <c r="HM11" s="1086">
        <v>0.24102795780774522</v>
      </c>
      <c r="HN11" s="1086">
        <v>0.49845679012345678</v>
      </c>
      <c r="HO11" s="1086">
        <v>0.25850000000000001</v>
      </c>
      <c r="HY11" s="1084">
        <v>5</v>
      </c>
      <c r="HZ11" s="458">
        <v>0.67755921428670995</v>
      </c>
      <c r="IA11" s="458">
        <v>0.14450000000000002</v>
      </c>
      <c r="IB11" s="1084">
        <v>0.71378786590506571</v>
      </c>
      <c r="IC11" s="1084">
        <v>0.15183333333333332</v>
      </c>
      <c r="ID11" s="458">
        <v>0.57850041150040388</v>
      </c>
      <c r="IE11" s="458">
        <v>0.23383333333333334</v>
      </c>
      <c r="IF11" s="1084">
        <v>0.57850041150040388</v>
      </c>
      <c r="IG11" s="1084">
        <v>0.23383333333333334</v>
      </c>
      <c r="IH11" s="1084">
        <v>0.48197803780730131</v>
      </c>
      <c r="II11" s="1084">
        <v>0.30974999999999997</v>
      </c>
      <c r="IU11" s="1171">
        <v>5</v>
      </c>
      <c r="IV11" s="1171">
        <v>0.73776581875436464</v>
      </c>
      <c r="IW11" s="1171">
        <v>0.126</v>
      </c>
      <c r="IX11" s="1171">
        <v>0.68174461197717007</v>
      </c>
      <c r="IY11" s="1171">
        <v>0.14149999999999999</v>
      </c>
      <c r="IZ11" s="1171">
        <v>0.65808776683985371</v>
      </c>
      <c r="JA11" s="1171">
        <v>0.17600000000000002</v>
      </c>
      <c r="JB11" s="1171">
        <v>0.59163359788359793</v>
      </c>
      <c r="JC11" s="1171">
        <v>0.21299999999999999</v>
      </c>
      <c r="JD11" s="1171">
        <v>0.52671476417255814</v>
      </c>
      <c r="JE11" s="1171">
        <v>0.26</v>
      </c>
      <c r="JF11" s="1171">
        <v>0.47593381461250078</v>
      </c>
      <c r="JG11" s="1171">
        <v>0.28994444444444445</v>
      </c>
    </row>
    <row r="12" spans="1:306" ht="15.75" x14ac:dyDescent="0.25">
      <c r="B12" s="289">
        <v>5</v>
      </c>
      <c r="C12" s="330"/>
      <c r="D12" s="331"/>
      <c r="E12" s="331"/>
      <c r="F12" s="332"/>
      <c r="G12" s="330"/>
      <c r="H12" s="331"/>
      <c r="I12" s="331"/>
      <c r="J12" s="331"/>
      <c r="K12" s="339"/>
      <c r="L12" s="340"/>
      <c r="M12" s="340"/>
      <c r="N12" s="341"/>
      <c r="O12" s="339"/>
      <c r="P12" s="340"/>
      <c r="Q12" s="340"/>
      <c r="R12" s="341"/>
      <c r="S12">
        <f>V12/12/3.281*RWDI_FACTORS!$D$7</f>
        <v>60.957025297165487</v>
      </c>
      <c r="T12" s="358"/>
      <c r="U12" s="360"/>
      <c r="V12" s="360">
        <v>6</v>
      </c>
      <c r="W12" s="355">
        <f t="shared" ca="1" si="25"/>
        <v>0.78917099575035909</v>
      </c>
      <c r="X12" s="363">
        <f t="shared" ca="1" si="26"/>
        <v>0.11591666666666667</v>
      </c>
      <c r="Y12" s="355">
        <f t="shared" ca="1" si="27"/>
        <v>0.72388278388278393</v>
      </c>
      <c r="Z12" s="363">
        <f t="shared" ca="1" si="28"/>
        <v>0.13800000000000001</v>
      </c>
      <c r="AA12" s="355">
        <f t="shared" ca="1" si="29"/>
        <v>0.6576920614157945</v>
      </c>
      <c r="AB12" s="363">
        <f t="shared" ca="1" si="30"/>
        <v>0.17833333333333332</v>
      </c>
      <c r="AC12" s="355">
        <f t="shared" ca="1" si="31"/>
        <v>0.5925503632954412</v>
      </c>
      <c r="AD12" s="363">
        <f t="shared" ca="1" si="32"/>
        <v>0.21033333333333334</v>
      </c>
      <c r="AE12" s="355">
        <f t="shared" ca="1" si="33"/>
        <v>0.56538012251069525</v>
      </c>
      <c r="AF12" s="363">
        <f t="shared" ca="1" si="34"/>
        <v>0.23524999999999999</v>
      </c>
      <c r="AG12" s="355">
        <f t="shared" ca="1" si="35"/>
        <v>0.53271604938271611</v>
      </c>
      <c r="AH12" s="363">
        <f t="shared" ca="1" si="36"/>
        <v>0.254</v>
      </c>
      <c r="AI12" s="1108" t="e">
        <f t="shared" ca="1" si="37"/>
        <v>#REF!</v>
      </c>
      <c r="AJ12" s="363" t="e">
        <f t="shared" ca="1" si="38"/>
        <v>#REF!</v>
      </c>
      <c r="AK12" s="1108" t="e">
        <f t="shared" ca="1" si="39"/>
        <v>#REF!</v>
      </c>
      <c r="AL12" s="363" t="e">
        <f t="shared" ca="1" si="40"/>
        <v>#REF!</v>
      </c>
      <c r="AM12" s="1108" t="e">
        <f t="shared" ca="1" si="41"/>
        <v>#REF!</v>
      </c>
      <c r="AN12" s="363" t="e">
        <f t="shared" ca="1" si="42"/>
        <v>#REF!</v>
      </c>
      <c r="AO12" s="1108" t="e">
        <f t="shared" ca="1" si="43"/>
        <v>#REF!</v>
      </c>
      <c r="AP12" s="363" t="e">
        <f t="shared" ca="1" si="44"/>
        <v>#REF!</v>
      </c>
      <c r="AQ12" s="1108" t="e">
        <f t="shared" ca="1" si="45"/>
        <v>#REF!</v>
      </c>
      <c r="AR12" s="363" t="e">
        <f t="shared" ca="1" si="46"/>
        <v>#REF!</v>
      </c>
      <c r="AS12" s="1108" t="e">
        <f t="shared" ca="1" si="47"/>
        <v>#REF!</v>
      </c>
      <c r="AT12" s="363" t="e">
        <f t="shared" ca="1" si="48"/>
        <v>#REF!</v>
      </c>
      <c r="AU12" s="1108" t="e">
        <f t="shared" ca="1" si="49"/>
        <v>#REF!</v>
      </c>
      <c r="AV12" s="363" t="e">
        <f t="shared" ca="1" si="50"/>
        <v>#REF!</v>
      </c>
      <c r="AW12" s="1108" t="e">
        <f t="shared" ca="1" si="51"/>
        <v>#REF!</v>
      </c>
      <c r="AX12" s="363" t="e">
        <f t="shared" ca="1" si="52"/>
        <v>#REF!</v>
      </c>
      <c r="AY12" s="1108" t="e">
        <f t="shared" ca="1" si="53"/>
        <v>#REF!</v>
      </c>
      <c r="AZ12" s="363" t="e">
        <f t="shared" ca="1" si="54"/>
        <v>#REF!</v>
      </c>
      <c r="BA12" s="499"/>
      <c r="BG12" s="520"/>
      <c r="BH12" s="520"/>
      <c r="BI12" s="520"/>
      <c r="BJ12" s="520"/>
      <c r="BK12" s="520"/>
      <c r="BL12" s="520"/>
      <c r="BM12">
        <f t="shared" si="5"/>
        <v>6</v>
      </c>
      <c r="BN12" s="531">
        <f t="shared" ca="1" si="55"/>
        <v>5</v>
      </c>
      <c r="BO12" s="493">
        <f t="shared" si="6"/>
        <v>6</v>
      </c>
      <c r="BP12" s="500">
        <f t="shared" ca="1" si="56"/>
        <v>0.78917099575035909</v>
      </c>
      <c r="BQ12" s="488">
        <f t="shared" ca="1" si="57"/>
        <v>0.11591666666666667</v>
      </c>
      <c r="BR12" s="500">
        <f t="shared" ca="1" si="56"/>
        <v>0.72388278388278393</v>
      </c>
      <c r="BS12" s="488">
        <f t="shared" ca="1" si="57"/>
        <v>0.13800000000000001</v>
      </c>
      <c r="BT12" s="500">
        <f t="shared" ca="1" si="56"/>
        <v>0.6576920614157945</v>
      </c>
      <c r="BU12" s="488">
        <f t="shared" ca="1" si="57"/>
        <v>0.17833333333333332</v>
      </c>
      <c r="BV12" s="500">
        <f t="shared" ca="1" si="56"/>
        <v>0.5925503632954412</v>
      </c>
      <c r="BW12" s="488">
        <f t="shared" ca="1" si="57"/>
        <v>0.21033333333333334</v>
      </c>
      <c r="BX12" s="500">
        <f t="shared" ca="1" si="56"/>
        <v>0.56538012251069525</v>
      </c>
      <c r="BY12" s="488">
        <f t="shared" ca="1" si="57"/>
        <v>0.23524999999999999</v>
      </c>
      <c r="BZ12" s="500">
        <f t="shared" ca="1" si="56"/>
        <v>0.53271604938271611</v>
      </c>
      <c r="CA12" s="488">
        <f t="shared" ca="1" si="57"/>
        <v>0.254</v>
      </c>
      <c r="CB12" s="1106" t="e">
        <f t="shared" ca="1" si="7"/>
        <v>#REF!</v>
      </c>
      <c r="CC12" s="488" t="e">
        <f t="shared" ca="1" si="8"/>
        <v>#REF!</v>
      </c>
      <c r="CD12" s="1106" t="e">
        <f t="shared" ca="1" si="9"/>
        <v>#REF!</v>
      </c>
      <c r="CE12" s="488" t="e">
        <f t="shared" ca="1" si="10"/>
        <v>#REF!</v>
      </c>
      <c r="CF12" s="1106" t="e">
        <f t="shared" ca="1" si="11"/>
        <v>#REF!</v>
      </c>
      <c r="CG12" s="488" t="e">
        <f t="shared" ca="1" si="12"/>
        <v>#REF!</v>
      </c>
      <c r="CH12" s="1106" t="e">
        <f t="shared" ca="1" si="13"/>
        <v>#REF!</v>
      </c>
      <c r="CI12" s="488" t="e">
        <f t="shared" ca="1" si="14"/>
        <v>#REF!</v>
      </c>
      <c r="CJ12" s="1106" t="e">
        <f t="shared" ca="1" si="15"/>
        <v>#REF!</v>
      </c>
      <c r="CK12" s="488" t="e">
        <f t="shared" ca="1" si="16"/>
        <v>#REF!</v>
      </c>
      <c r="CL12" s="1106" t="e">
        <f t="shared" ca="1" si="17"/>
        <v>#REF!</v>
      </c>
      <c r="CM12" s="488" t="e">
        <f t="shared" ca="1" si="18"/>
        <v>#REF!</v>
      </c>
      <c r="CN12" s="1106" t="e">
        <f t="shared" ca="1" si="19"/>
        <v>#REF!</v>
      </c>
      <c r="CO12" s="488" t="e">
        <f t="shared" ca="1" si="20"/>
        <v>#REF!</v>
      </c>
      <c r="CP12" s="1106" t="e">
        <f t="shared" ca="1" si="21"/>
        <v>#REF!</v>
      </c>
      <c r="CQ12" s="488" t="e">
        <f t="shared" ca="1" si="22"/>
        <v>#REF!</v>
      </c>
      <c r="CR12" s="1106" t="e">
        <f t="shared" ca="1" si="23"/>
        <v>#REF!</v>
      </c>
      <c r="CS12" s="488" t="e">
        <f t="shared" ca="1" si="24"/>
        <v>#REF!</v>
      </c>
      <c r="CT12" s="488"/>
      <c r="CU12" s="488"/>
      <c r="CV12" s="84"/>
      <c r="CW12" s="1055"/>
      <c r="CX12" s="1150"/>
      <c r="CY12" s="1150"/>
      <c r="CZ12" s="1150"/>
      <c r="DA12" s="1150"/>
      <c r="DB12" s="1150"/>
      <c r="DC12" s="1150"/>
      <c r="DD12" s="1150"/>
      <c r="DE12" s="1150"/>
      <c r="DF12" s="1150"/>
      <c r="DG12" s="1150"/>
      <c r="DM12" s="552"/>
      <c r="DN12" s="290"/>
      <c r="DS12" s="290"/>
      <c r="DT12" s="290"/>
      <c r="DU12" s="290"/>
      <c r="DV12" s="290"/>
      <c r="DW12" s="290"/>
      <c r="DX12" s="870"/>
      <c r="DY12" s="870"/>
      <c r="DZ12" s="870"/>
      <c r="EJ12" s="857">
        <v>6</v>
      </c>
      <c r="EK12" s="859">
        <v>0.72835497835497831</v>
      </c>
      <c r="EL12" s="859">
        <v>0.11233333333333334</v>
      </c>
      <c r="EM12" s="859">
        <v>0.72478539156691235</v>
      </c>
      <c r="EN12" s="859">
        <v>0.14116666666666666</v>
      </c>
      <c r="EO12" s="859">
        <v>0.69743532746116865</v>
      </c>
      <c r="EP12" s="859">
        <v>0.16</v>
      </c>
      <c r="EQ12" s="859">
        <v>0.63568313626758988</v>
      </c>
      <c r="ER12" s="859">
        <v>0.19450000000000001</v>
      </c>
      <c r="ES12" s="859">
        <v>0.57504575038399042</v>
      </c>
      <c r="ET12" s="859">
        <v>0.24349745639444409</v>
      </c>
      <c r="EU12" s="859">
        <v>0.58736383442265783</v>
      </c>
      <c r="EV12" s="859">
        <v>0.26033333333333331</v>
      </c>
      <c r="EY12" s="534">
        <v>6</v>
      </c>
      <c r="EZ12" s="862">
        <v>0.72583815111777428</v>
      </c>
      <c r="FA12" s="862">
        <v>0.10800000000000001</v>
      </c>
      <c r="FB12" s="862">
        <v>0.70547945205479456</v>
      </c>
      <c r="FC12" s="862">
        <v>0.13700000000000001</v>
      </c>
      <c r="FD12" s="862">
        <v>0.6708815958815959</v>
      </c>
      <c r="FE12" s="534">
        <v>0.17350000000000002</v>
      </c>
      <c r="FF12" s="862">
        <v>0.61556650946248248</v>
      </c>
      <c r="FG12" s="862">
        <v>0.19500000000000001</v>
      </c>
      <c r="FH12" s="862">
        <v>0.55816471727026118</v>
      </c>
      <c r="FI12" s="862">
        <v>0.24412588530631743</v>
      </c>
      <c r="FJ12" s="862">
        <v>0.54843049327354265</v>
      </c>
      <c r="FK12" s="862">
        <v>0.27833333333333332</v>
      </c>
      <c r="FN12" s="532">
        <v>6</v>
      </c>
      <c r="FO12" s="532">
        <v>0.77556274341540699</v>
      </c>
      <c r="FP12" s="532">
        <v>0.113</v>
      </c>
      <c r="FQ12" s="532">
        <v>0.74262793188624387</v>
      </c>
      <c r="FR12" s="532">
        <v>0.13150000000000001</v>
      </c>
      <c r="FS12" s="532">
        <v>0.70198675496688745</v>
      </c>
      <c r="FT12" s="532">
        <v>0.17100000000000001</v>
      </c>
      <c r="FU12" s="532">
        <v>0.64403973509933765</v>
      </c>
      <c r="FV12" s="532">
        <v>0.2</v>
      </c>
      <c r="FW12" s="458">
        <v>0.56664008859357695</v>
      </c>
      <c r="FX12" s="458">
        <v>0.252</v>
      </c>
      <c r="FY12" s="532">
        <v>0.56664008859357695</v>
      </c>
      <c r="FZ12" s="532">
        <v>0.252</v>
      </c>
      <c r="GG12">
        <v>12</v>
      </c>
      <c r="GH12" s="1066">
        <v>6</v>
      </c>
      <c r="GI12" s="1066">
        <v>0.76462843965318783</v>
      </c>
      <c r="GJ12" s="1066">
        <v>0.12041666666666664</v>
      </c>
      <c r="GK12" s="1066">
        <v>0.70873124406457733</v>
      </c>
      <c r="GL12" s="1066">
        <v>0.13391666666666666</v>
      </c>
      <c r="GM12" s="1066">
        <v>0.69400874213914998</v>
      </c>
      <c r="GN12" s="1066">
        <v>0.1630833333333333</v>
      </c>
      <c r="GO12" s="1066">
        <v>0.62190504825835602</v>
      </c>
      <c r="GP12" s="1066">
        <v>0.21024999999999999</v>
      </c>
      <c r="GQ12" s="1066">
        <v>0.55527787364357561</v>
      </c>
      <c r="GR12" s="1066">
        <v>0.24841666666666665</v>
      </c>
      <c r="GS12" s="1066">
        <v>0.52417586268560168</v>
      </c>
      <c r="GT12" s="1066">
        <v>0.28100000000000003</v>
      </c>
      <c r="HC12" s="1086">
        <v>6</v>
      </c>
      <c r="HD12" s="1086">
        <v>0.78917099575035909</v>
      </c>
      <c r="HE12" s="1086">
        <v>0.11591666666666667</v>
      </c>
      <c r="HF12" s="1086">
        <v>0.72388278388278393</v>
      </c>
      <c r="HG12" s="1086">
        <v>0.13800000000000001</v>
      </c>
      <c r="HH12" s="1086">
        <v>0.6576920614157945</v>
      </c>
      <c r="HI12" s="1086">
        <v>0.17833333333333332</v>
      </c>
      <c r="HJ12" s="1086">
        <v>0.5925503632954412</v>
      </c>
      <c r="HK12" s="1086">
        <v>0.21033333333333334</v>
      </c>
      <c r="HL12" s="1086">
        <v>0.56538012251069525</v>
      </c>
      <c r="HM12" s="1086">
        <v>0.23524999999999999</v>
      </c>
      <c r="HN12" s="1086">
        <v>0.53271604938271611</v>
      </c>
      <c r="HO12" s="1086">
        <v>0.254</v>
      </c>
      <c r="HY12" s="1084">
        <v>6</v>
      </c>
      <c r="HZ12" s="458">
        <v>0.70464652660634852</v>
      </c>
      <c r="IA12" s="458">
        <v>0.13925000000000001</v>
      </c>
      <c r="IB12" s="1084">
        <v>0.73224183096384965</v>
      </c>
      <c r="IC12" s="1084">
        <v>0.14666666666666667</v>
      </c>
      <c r="ID12" s="458">
        <v>0.60769072605198848</v>
      </c>
      <c r="IE12" s="458">
        <v>0.22508333333333333</v>
      </c>
      <c r="IF12" s="1084">
        <v>0.60769072605198848</v>
      </c>
      <c r="IG12" s="1084">
        <v>0.22508333333333333</v>
      </c>
      <c r="IH12" s="1084">
        <v>0.51066810490123371</v>
      </c>
      <c r="II12" s="1084">
        <v>0.30099999999999999</v>
      </c>
      <c r="IU12" s="1171">
        <v>6</v>
      </c>
      <c r="IV12" s="1171">
        <v>0.756092066571183</v>
      </c>
      <c r="IW12" s="1171">
        <v>0.12149999999999998</v>
      </c>
      <c r="IX12" s="1171">
        <v>0.69693175421629583</v>
      </c>
      <c r="IY12" s="1171">
        <v>0.13600000000000001</v>
      </c>
      <c r="IZ12" s="1171">
        <v>0.67253967301529038</v>
      </c>
      <c r="JA12" s="1171">
        <v>0.17225000000000001</v>
      </c>
      <c r="JB12" s="1171">
        <v>0.6167989417989419</v>
      </c>
      <c r="JC12" s="1171">
        <v>0.20550000000000002</v>
      </c>
      <c r="JD12" s="1171">
        <v>0.55190781555636903</v>
      </c>
      <c r="JE12" s="1171">
        <v>0.2525</v>
      </c>
      <c r="JF12" s="1171">
        <v>0.49477420751835077</v>
      </c>
      <c r="JG12" s="1171">
        <v>0.27885185185185185</v>
      </c>
    </row>
    <row r="13" spans="1:306" ht="15.75" x14ac:dyDescent="0.25">
      <c r="B13" s="289">
        <v>6</v>
      </c>
      <c r="C13" s="330"/>
      <c r="D13" s="331"/>
      <c r="E13" s="331"/>
      <c r="F13" s="332"/>
      <c r="G13" s="330"/>
      <c r="H13" s="331"/>
      <c r="I13" s="331"/>
      <c r="J13" s="331"/>
      <c r="K13" s="339"/>
      <c r="L13" s="340"/>
      <c r="M13" s="340"/>
      <c r="N13" s="341"/>
      <c r="O13" s="339"/>
      <c r="P13" s="340"/>
      <c r="Q13" s="340"/>
      <c r="R13" s="341"/>
      <c r="S13">
        <f>V13/12/3.281*RWDI_FACTORS!$D$7</f>
        <v>71.116529513359751</v>
      </c>
      <c r="T13" s="358"/>
      <c r="U13" s="360"/>
      <c r="V13" s="360">
        <v>7</v>
      </c>
      <c r="W13" s="355">
        <f t="shared" ca="1" si="25"/>
        <v>0.8034248629059404</v>
      </c>
      <c r="X13" s="363">
        <f t="shared" ca="1" si="26"/>
        <v>0.1115</v>
      </c>
      <c r="Y13" s="355">
        <f t="shared" ca="1" si="27"/>
        <v>0.73676739926739931</v>
      </c>
      <c r="Z13" s="363">
        <f t="shared" ca="1" si="28"/>
        <v>0.13450000000000001</v>
      </c>
      <c r="AA13" s="355">
        <f t="shared" ca="1" si="29"/>
        <v>0.67705282468274997</v>
      </c>
      <c r="AB13" s="363">
        <f t="shared" ca="1" si="30"/>
        <v>0.17299999999999996</v>
      </c>
      <c r="AC13" s="355">
        <f t="shared" ca="1" si="31"/>
        <v>0.61012885268955819</v>
      </c>
      <c r="AD13" s="363">
        <f t="shared" ca="1" si="32"/>
        <v>0.20425000000000001</v>
      </c>
      <c r="AE13" s="355">
        <f t="shared" ca="1" si="33"/>
        <v>0.59001452447900882</v>
      </c>
      <c r="AF13" s="363">
        <f t="shared" ca="1" si="34"/>
        <v>0.23099999999999998</v>
      </c>
      <c r="AG13" s="355">
        <f t="shared" ca="1" si="35"/>
        <v>0.55113168724279837</v>
      </c>
      <c r="AH13" s="363">
        <f t="shared" ca="1" si="36"/>
        <v>0.25049999999999994</v>
      </c>
      <c r="AI13" s="1108" t="e">
        <f t="shared" ca="1" si="37"/>
        <v>#REF!</v>
      </c>
      <c r="AJ13" s="363" t="e">
        <f t="shared" ca="1" si="38"/>
        <v>#REF!</v>
      </c>
      <c r="AK13" s="1108" t="e">
        <f t="shared" ca="1" si="39"/>
        <v>#REF!</v>
      </c>
      <c r="AL13" s="363" t="e">
        <f t="shared" ca="1" si="40"/>
        <v>#REF!</v>
      </c>
      <c r="AM13" s="1108" t="e">
        <f t="shared" ca="1" si="41"/>
        <v>#REF!</v>
      </c>
      <c r="AN13" s="363" t="e">
        <f t="shared" ca="1" si="42"/>
        <v>#REF!</v>
      </c>
      <c r="AO13" s="1108" t="e">
        <f t="shared" ca="1" si="43"/>
        <v>#REF!</v>
      </c>
      <c r="AP13" s="363" t="e">
        <f t="shared" ca="1" si="44"/>
        <v>#REF!</v>
      </c>
      <c r="AQ13" s="1108" t="e">
        <f t="shared" ca="1" si="45"/>
        <v>#REF!</v>
      </c>
      <c r="AR13" s="363" t="e">
        <f t="shared" ca="1" si="46"/>
        <v>#REF!</v>
      </c>
      <c r="AS13" s="1108" t="e">
        <f t="shared" ca="1" si="47"/>
        <v>#REF!</v>
      </c>
      <c r="AT13" s="363" t="e">
        <f t="shared" ca="1" si="48"/>
        <v>#REF!</v>
      </c>
      <c r="AU13" s="1108" t="e">
        <f t="shared" ca="1" si="49"/>
        <v>#REF!</v>
      </c>
      <c r="AV13" s="363" t="e">
        <f t="shared" ca="1" si="50"/>
        <v>#REF!</v>
      </c>
      <c r="AW13" s="1108" t="e">
        <f t="shared" ca="1" si="51"/>
        <v>#REF!</v>
      </c>
      <c r="AX13" s="363" t="e">
        <f t="shared" ca="1" si="52"/>
        <v>#REF!</v>
      </c>
      <c r="AY13" s="1108" t="e">
        <f t="shared" ca="1" si="53"/>
        <v>#REF!</v>
      </c>
      <c r="AZ13" s="363" t="e">
        <f t="shared" ca="1" si="54"/>
        <v>#REF!</v>
      </c>
      <c r="BA13" s="499"/>
      <c r="BG13" s="520"/>
      <c r="BH13" s="520"/>
      <c r="BI13" s="520"/>
      <c r="BJ13" s="520"/>
      <c r="BK13" s="520"/>
      <c r="BL13" s="520"/>
      <c r="BM13">
        <f t="shared" si="5"/>
        <v>7</v>
      </c>
      <c r="BN13" s="531">
        <f t="shared" ca="1" si="55"/>
        <v>6</v>
      </c>
      <c r="BO13" s="493">
        <f t="shared" si="6"/>
        <v>7</v>
      </c>
      <c r="BP13" s="500">
        <f t="shared" ca="1" si="56"/>
        <v>0.8034248629059404</v>
      </c>
      <c r="BQ13" s="488">
        <f t="shared" ca="1" si="57"/>
        <v>0.1115</v>
      </c>
      <c r="BR13" s="500">
        <f t="shared" ca="1" si="56"/>
        <v>0.73676739926739931</v>
      </c>
      <c r="BS13" s="488">
        <f t="shared" ca="1" si="57"/>
        <v>0.13450000000000001</v>
      </c>
      <c r="BT13" s="500">
        <f t="shared" ca="1" si="56"/>
        <v>0.67705282468274997</v>
      </c>
      <c r="BU13" s="488">
        <f t="shared" ca="1" si="57"/>
        <v>0.17299999999999996</v>
      </c>
      <c r="BV13" s="500">
        <f t="shared" ca="1" si="56"/>
        <v>0.61012885268955819</v>
      </c>
      <c r="BW13" s="488">
        <f t="shared" ca="1" si="57"/>
        <v>0.20425000000000001</v>
      </c>
      <c r="BX13" s="500">
        <f t="shared" ca="1" si="56"/>
        <v>0.59001452447900882</v>
      </c>
      <c r="BY13" s="488">
        <f t="shared" ca="1" si="57"/>
        <v>0.23099999999999998</v>
      </c>
      <c r="BZ13" s="500">
        <f t="shared" ca="1" si="56"/>
        <v>0.55113168724279837</v>
      </c>
      <c r="CA13" s="488">
        <f t="shared" ca="1" si="57"/>
        <v>0.25049999999999994</v>
      </c>
      <c r="CB13" s="1106" t="e">
        <f t="shared" ca="1" si="7"/>
        <v>#REF!</v>
      </c>
      <c r="CC13" s="488" t="e">
        <f t="shared" ca="1" si="8"/>
        <v>#REF!</v>
      </c>
      <c r="CD13" s="1106" t="e">
        <f t="shared" ca="1" si="9"/>
        <v>#REF!</v>
      </c>
      <c r="CE13" s="488" t="e">
        <f t="shared" ca="1" si="10"/>
        <v>#REF!</v>
      </c>
      <c r="CF13" s="1106" t="e">
        <f t="shared" ca="1" si="11"/>
        <v>#REF!</v>
      </c>
      <c r="CG13" s="488" t="e">
        <f t="shared" ca="1" si="12"/>
        <v>#REF!</v>
      </c>
      <c r="CH13" s="1106" t="e">
        <f t="shared" ca="1" si="13"/>
        <v>#REF!</v>
      </c>
      <c r="CI13" s="488" t="e">
        <f t="shared" ca="1" si="14"/>
        <v>#REF!</v>
      </c>
      <c r="CJ13" s="1106" t="e">
        <f t="shared" ca="1" si="15"/>
        <v>#REF!</v>
      </c>
      <c r="CK13" s="488" t="e">
        <f t="shared" ca="1" si="16"/>
        <v>#REF!</v>
      </c>
      <c r="CL13" s="1106" t="e">
        <f t="shared" ca="1" si="17"/>
        <v>#REF!</v>
      </c>
      <c r="CM13" s="488" t="e">
        <f t="shared" ca="1" si="18"/>
        <v>#REF!</v>
      </c>
      <c r="CN13" s="1106" t="e">
        <f t="shared" ca="1" si="19"/>
        <v>#REF!</v>
      </c>
      <c r="CO13" s="488" t="e">
        <f t="shared" ca="1" si="20"/>
        <v>#REF!</v>
      </c>
      <c r="CP13" s="1106" t="e">
        <f t="shared" ca="1" si="21"/>
        <v>#REF!</v>
      </c>
      <c r="CQ13" s="488" t="e">
        <f t="shared" ca="1" si="22"/>
        <v>#REF!</v>
      </c>
      <c r="CR13" s="1106" t="e">
        <f t="shared" ca="1" si="23"/>
        <v>#REF!</v>
      </c>
      <c r="CS13" s="488" t="e">
        <f t="shared" ca="1" si="24"/>
        <v>#REF!</v>
      </c>
      <c r="CT13" s="488"/>
      <c r="CU13" s="488"/>
      <c r="CV13" s="84"/>
      <c r="CW13" s="1055"/>
      <c r="CX13" s="1150"/>
      <c r="CY13" s="1150"/>
      <c r="CZ13" s="1150"/>
      <c r="DA13" s="1150"/>
      <c r="DB13" s="1150"/>
      <c r="DC13" s="1150"/>
      <c r="DD13" s="1150"/>
      <c r="DE13" s="1150"/>
      <c r="DF13" s="1150"/>
      <c r="DG13" s="1150"/>
      <c r="DM13" s="552"/>
      <c r="DN13" s="290"/>
      <c r="DS13" s="290"/>
      <c r="DT13" s="290"/>
      <c r="DU13" s="290"/>
      <c r="DV13" s="290"/>
      <c r="DW13" s="290"/>
      <c r="DX13" s="870"/>
      <c r="DY13" s="870"/>
      <c r="DZ13" s="870"/>
      <c r="EJ13" s="857">
        <v>7</v>
      </c>
      <c r="EK13" s="859">
        <v>0.74242424242424232</v>
      </c>
      <c r="EL13" s="859">
        <v>0.10933333333333334</v>
      </c>
      <c r="EM13" s="859">
        <v>0.74011317930397691</v>
      </c>
      <c r="EN13" s="859">
        <v>0.13758333333333334</v>
      </c>
      <c r="EO13" s="859">
        <v>0.71688571507960774</v>
      </c>
      <c r="EP13" s="859">
        <v>0.1565</v>
      </c>
      <c r="EQ13" s="859">
        <v>0.65689879962235309</v>
      </c>
      <c r="ER13" s="859">
        <v>0.18875</v>
      </c>
      <c r="ES13" s="859">
        <v>0.59942836249268416</v>
      </c>
      <c r="ET13" s="859">
        <v>0.23340429302310112</v>
      </c>
      <c r="EU13" s="859">
        <v>0.6098039215686275</v>
      </c>
      <c r="EV13" s="859">
        <v>0.25233333333333335</v>
      </c>
      <c r="EY13" s="534">
        <v>7</v>
      </c>
      <c r="EZ13" s="862">
        <v>0.73923824006148697</v>
      </c>
      <c r="FA13" s="862">
        <v>0.10550000000000001</v>
      </c>
      <c r="FB13" s="862">
        <v>0.71917808219178081</v>
      </c>
      <c r="FC13" s="862">
        <v>0.13416666666666666</v>
      </c>
      <c r="FD13" s="862">
        <v>0.6941303548446407</v>
      </c>
      <c r="FE13" s="534">
        <v>0.16675000000000001</v>
      </c>
      <c r="FF13" s="862">
        <v>0.63393420601809858</v>
      </c>
      <c r="FG13" s="862">
        <v>0.18991666666666668</v>
      </c>
      <c r="FH13" s="862">
        <v>0.58340612603637387</v>
      </c>
      <c r="FI13" s="862">
        <v>0.23451719084520317</v>
      </c>
      <c r="FJ13" s="862">
        <v>0.57242152466367713</v>
      </c>
      <c r="FK13" s="862">
        <v>0.27</v>
      </c>
      <c r="FN13" s="532">
        <v>7</v>
      </c>
      <c r="FO13" s="532">
        <v>0.78876493497920663</v>
      </c>
      <c r="FP13" s="532">
        <v>0.1085</v>
      </c>
      <c r="FQ13" s="532">
        <v>0.7525739392747065</v>
      </c>
      <c r="FR13" s="532">
        <v>0.127</v>
      </c>
      <c r="FS13" s="532">
        <v>0.72185430463576161</v>
      </c>
      <c r="FT13" s="532">
        <v>0.16399999999999998</v>
      </c>
      <c r="FU13" s="532">
        <v>0.66639072847682113</v>
      </c>
      <c r="FV13" s="532">
        <v>0.19350000000000001</v>
      </c>
      <c r="FW13" s="458">
        <v>0.58700996677740858</v>
      </c>
      <c r="FX13" s="458">
        <v>0.24249999999999999</v>
      </c>
      <c r="FY13" s="532">
        <v>0.58700996677740858</v>
      </c>
      <c r="FZ13" s="532">
        <v>0.24249999999999999</v>
      </c>
      <c r="GG13">
        <v>13</v>
      </c>
      <c r="GH13" s="1066">
        <v>7</v>
      </c>
      <c r="GI13" s="1066">
        <v>0.7787368669493292</v>
      </c>
      <c r="GJ13" s="1066">
        <v>0.11533333333333332</v>
      </c>
      <c r="GK13" s="1066">
        <v>0.72321905666350106</v>
      </c>
      <c r="GL13" s="1066">
        <v>0.12849999999999998</v>
      </c>
      <c r="GM13" s="1066">
        <v>0.70520434047937131</v>
      </c>
      <c r="GN13" s="1066">
        <v>0.15816666666666668</v>
      </c>
      <c r="GO13" s="1066">
        <v>0.63961692285594085</v>
      </c>
      <c r="GP13" s="1066">
        <v>0.20150000000000001</v>
      </c>
      <c r="GQ13" s="1066">
        <v>0.57981044312205177</v>
      </c>
      <c r="GR13" s="1066">
        <v>0.2412083333333333</v>
      </c>
      <c r="GS13" s="1066">
        <v>0.54770872714052898</v>
      </c>
      <c r="GT13" s="1066">
        <v>0.27024999999999999</v>
      </c>
      <c r="HC13" s="1086">
        <v>7</v>
      </c>
      <c r="HD13" s="1086">
        <v>0.8034248629059404</v>
      </c>
      <c r="HE13" s="1086">
        <v>0.1115</v>
      </c>
      <c r="HF13" s="1086">
        <v>0.73676739926739931</v>
      </c>
      <c r="HG13" s="1086">
        <v>0.13450000000000001</v>
      </c>
      <c r="HH13" s="1086">
        <v>0.67705282468274997</v>
      </c>
      <c r="HI13" s="1086">
        <v>0.17299999999999996</v>
      </c>
      <c r="HJ13" s="1086">
        <v>0.61012885268955819</v>
      </c>
      <c r="HK13" s="1086">
        <v>0.20425000000000001</v>
      </c>
      <c r="HL13" s="1086">
        <v>0.59001452447900882</v>
      </c>
      <c r="HM13" s="1086">
        <v>0.23099999999999998</v>
      </c>
      <c r="HN13" s="1086">
        <v>0.55113168724279837</v>
      </c>
      <c r="HO13" s="1086">
        <v>0.25049999999999994</v>
      </c>
      <c r="HY13" s="1084">
        <v>7</v>
      </c>
      <c r="HZ13" s="458">
        <v>0.72310437607171218</v>
      </c>
      <c r="IA13" s="458">
        <v>0.13400000000000001</v>
      </c>
      <c r="IB13" s="1084">
        <v>0.75112675119344585</v>
      </c>
      <c r="IC13" s="1084">
        <v>0.14150000000000001</v>
      </c>
      <c r="ID13" s="458">
        <v>0.62881554251580973</v>
      </c>
      <c r="IE13" s="458">
        <v>0.21633333333333332</v>
      </c>
      <c r="IF13" s="1084">
        <v>0.62881554251580973</v>
      </c>
      <c r="IG13" s="1084">
        <v>0.21633333333333332</v>
      </c>
      <c r="IH13" s="1084">
        <v>0.532849052787703</v>
      </c>
      <c r="II13" s="1084">
        <v>0.29225000000000001</v>
      </c>
      <c r="IU13" s="1171">
        <v>7</v>
      </c>
      <c r="IV13" s="1171">
        <v>0.77400956130895271</v>
      </c>
      <c r="IW13" s="1171">
        <v>0.11699999999999998</v>
      </c>
      <c r="IX13" s="1171">
        <v>0.71179255840678546</v>
      </c>
      <c r="IY13" s="1171">
        <v>0.13100000000000001</v>
      </c>
      <c r="IZ13" s="1171">
        <v>0.68748124885287099</v>
      </c>
      <c r="JA13" s="1171">
        <v>0.16850000000000001</v>
      </c>
      <c r="JB13" s="1171">
        <v>0.63260582010582012</v>
      </c>
      <c r="JC13" s="1171">
        <v>0.20149999999999998</v>
      </c>
      <c r="JD13" s="1171">
        <v>0.57184273791915208</v>
      </c>
      <c r="JE13" s="1171">
        <v>0.2445</v>
      </c>
      <c r="JF13" s="1171">
        <v>0.51361460042420071</v>
      </c>
      <c r="JG13" s="1171">
        <v>0.27253703703703702</v>
      </c>
    </row>
    <row r="14" spans="1:306" ht="15.75" x14ac:dyDescent="0.25">
      <c r="B14" s="289">
        <v>8</v>
      </c>
      <c r="C14" s="330"/>
      <c r="D14" s="331"/>
      <c r="E14" s="331"/>
      <c r="F14" s="332"/>
      <c r="G14" s="330"/>
      <c r="H14" s="331"/>
      <c r="I14" s="331"/>
      <c r="J14" s="331"/>
      <c r="K14" s="339"/>
      <c r="L14" s="340"/>
      <c r="M14" s="340"/>
      <c r="N14" s="341"/>
      <c r="O14" s="339"/>
      <c r="P14" s="340"/>
      <c r="Q14" s="340"/>
      <c r="R14" s="341"/>
      <c r="S14">
        <f>V14/12/3.281*RWDI_FACTORS!$D$7</f>
        <v>81.276033729553987</v>
      </c>
      <c r="T14" s="358"/>
      <c r="U14" s="360"/>
      <c r="V14" s="360">
        <v>8</v>
      </c>
      <c r="W14" s="355">
        <f t="shared" ca="1" si="25"/>
        <v>0.81767873006152181</v>
      </c>
      <c r="X14" s="363">
        <f t="shared" ca="1" si="26"/>
        <v>0.10833333333333334</v>
      </c>
      <c r="Y14" s="355">
        <f t="shared" ca="1" si="27"/>
        <v>0.7496520146520147</v>
      </c>
      <c r="Z14" s="363">
        <f t="shared" ca="1" si="28"/>
        <v>0.13100000000000001</v>
      </c>
      <c r="AA14" s="355">
        <f t="shared" ca="1" si="29"/>
        <v>0.69641358794970554</v>
      </c>
      <c r="AB14" s="363">
        <f t="shared" ca="1" si="30"/>
        <v>0.16766666666666666</v>
      </c>
      <c r="AC14" s="355">
        <f t="shared" ca="1" si="31"/>
        <v>0.63649658678073362</v>
      </c>
      <c r="AD14" s="363">
        <f t="shared" ca="1" si="32"/>
        <v>0.19816666666666669</v>
      </c>
      <c r="AE14" s="355">
        <f t="shared" ca="1" si="33"/>
        <v>0.61395438245681055</v>
      </c>
      <c r="AF14" s="363">
        <f t="shared" ca="1" si="34"/>
        <v>0.22550000000000001</v>
      </c>
      <c r="AG14" s="355">
        <f t="shared" ca="1" si="35"/>
        <v>0.56954732510288064</v>
      </c>
      <c r="AH14" s="363">
        <f t="shared" ca="1" si="36"/>
        <v>0.247</v>
      </c>
      <c r="AI14" s="1108" t="e">
        <f t="shared" ca="1" si="37"/>
        <v>#REF!</v>
      </c>
      <c r="AJ14" s="363" t="e">
        <f t="shared" ca="1" si="38"/>
        <v>#REF!</v>
      </c>
      <c r="AK14" s="1108" t="e">
        <f t="shared" ca="1" si="39"/>
        <v>#REF!</v>
      </c>
      <c r="AL14" s="363" t="e">
        <f t="shared" ca="1" si="40"/>
        <v>#REF!</v>
      </c>
      <c r="AM14" s="1108" t="e">
        <f t="shared" ca="1" si="41"/>
        <v>#REF!</v>
      </c>
      <c r="AN14" s="363" t="e">
        <f t="shared" ca="1" si="42"/>
        <v>#REF!</v>
      </c>
      <c r="AO14" s="1108" t="e">
        <f t="shared" ca="1" si="43"/>
        <v>#REF!</v>
      </c>
      <c r="AP14" s="363" t="e">
        <f t="shared" ca="1" si="44"/>
        <v>#REF!</v>
      </c>
      <c r="AQ14" s="1108" t="e">
        <f t="shared" ca="1" si="45"/>
        <v>#REF!</v>
      </c>
      <c r="AR14" s="363" t="e">
        <f t="shared" ca="1" si="46"/>
        <v>#REF!</v>
      </c>
      <c r="AS14" s="1108" t="e">
        <f t="shared" ca="1" si="47"/>
        <v>#REF!</v>
      </c>
      <c r="AT14" s="363" t="e">
        <f t="shared" ca="1" si="48"/>
        <v>#REF!</v>
      </c>
      <c r="AU14" s="1108" t="e">
        <f t="shared" ca="1" si="49"/>
        <v>#REF!</v>
      </c>
      <c r="AV14" s="363" t="e">
        <f t="shared" ca="1" si="50"/>
        <v>#REF!</v>
      </c>
      <c r="AW14" s="1108" t="e">
        <f t="shared" ca="1" si="51"/>
        <v>#REF!</v>
      </c>
      <c r="AX14" s="363" t="e">
        <f t="shared" ca="1" si="52"/>
        <v>#REF!</v>
      </c>
      <c r="AY14" s="1108" t="e">
        <f t="shared" ca="1" si="53"/>
        <v>#REF!</v>
      </c>
      <c r="AZ14" s="363" t="e">
        <f t="shared" ca="1" si="54"/>
        <v>#REF!</v>
      </c>
      <c r="BA14" s="499"/>
      <c r="BG14" s="520"/>
      <c r="BH14" s="520"/>
      <c r="BI14" s="520"/>
      <c r="BJ14" s="520"/>
      <c r="BK14" s="520"/>
      <c r="BL14" s="520"/>
      <c r="BM14">
        <f t="shared" si="5"/>
        <v>8</v>
      </c>
      <c r="BN14" s="531">
        <f t="shared" ca="1" si="55"/>
        <v>7</v>
      </c>
      <c r="BO14" s="493">
        <f t="shared" si="6"/>
        <v>8</v>
      </c>
      <c r="BP14" s="500">
        <f t="shared" ca="1" si="56"/>
        <v>0.81767873006152181</v>
      </c>
      <c r="BQ14" s="488">
        <f t="shared" ca="1" si="57"/>
        <v>0.10833333333333334</v>
      </c>
      <c r="BR14" s="500">
        <f t="shared" ca="1" si="56"/>
        <v>0.7496520146520147</v>
      </c>
      <c r="BS14" s="488">
        <f t="shared" ca="1" si="57"/>
        <v>0.13100000000000001</v>
      </c>
      <c r="BT14" s="500">
        <f t="shared" ca="1" si="56"/>
        <v>0.69641358794970554</v>
      </c>
      <c r="BU14" s="488">
        <f t="shared" ca="1" si="57"/>
        <v>0.16766666666666666</v>
      </c>
      <c r="BV14" s="500">
        <f t="shared" ca="1" si="56"/>
        <v>0.63649658678073362</v>
      </c>
      <c r="BW14" s="488">
        <f t="shared" ca="1" si="57"/>
        <v>0.19816666666666669</v>
      </c>
      <c r="BX14" s="500">
        <f t="shared" ca="1" si="56"/>
        <v>0.61395438245681055</v>
      </c>
      <c r="BY14" s="488">
        <f t="shared" ca="1" si="57"/>
        <v>0.22550000000000001</v>
      </c>
      <c r="BZ14" s="500">
        <f t="shared" ca="1" si="56"/>
        <v>0.56954732510288064</v>
      </c>
      <c r="CA14" s="488">
        <f t="shared" ca="1" si="57"/>
        <v>0.247</v>
      </c>
      <c r="CB14" s="1106" t="e">
        <f t="shared" ca="1" si="7"/>
        <v>#REF!</v>
      </c>
      <c r="CC14" s="488" t="e">
        <f t="shared" ca="1" si="8"/>
        <v>#REF!</v>
      </c>
      <c r="CD14" s="1106" t="e">
        <f t="shared" ca="1" si="9"/>
        <v>#REF!</v>
      </c>
      <c r="CE14" s="488" t="e">
        <f t="shared" ca="1" si="10"/>
        <v>#REF!</v>
      </c>
      <c r="CF14" s="1106" t="e">
        <f t="shared" ca="1" si="11"/>
        <v>#REF!</v>
      </c>
      <c r="CG14" s="488" t="e">
        <f t="shared" ca="1" si="12"/>
        <v>#REF!</v>
      </c>
      <c r="CH14" s="1106" t="e">
        <f t="shared" ca="1" si="13"/>
        <v>#REF!</v>
      </c>
      <c r="CI14" s="488" t="e">
        <f t="shared" ca="1" si="14"/>
        <v>#REF!</v>
      </c>
      <c r="CJ14" s="1106" t="e">
        <f t="shared" ca="1" si="15"/>
        <v>#REF!</v>
      </c>
      <c r="CK14" s="488" t="e">
        <f t="shared" ca="1" si="16"/>
        <v>#REF!</v>
      </c>
      <c r="CL14" s="1106" t="e">
        <f t="shared" ca="1" si="17"/>
        <v>#REF!</v>
      </c>
      <c r="CM14" s="488" t="e">
        <f t="shared" ca="1" si="18"/>
        <v>#REF!</v>
      </c>
      <c r="CN14" s="1106" t="e">
        <f t="shared" ca="1" si="19"/>
        <v>#REF!</v>
      </c>
      <c r="CO14" s="488" t="e">
        <f t="shared" ca="1" si="20"/>
        <v>#REF!</v>
      </c>
      <c r="CP14" s="1106" t="e">
        <f t="shared" ca="1" si="21"/>
        <v>#REF!</v>
      </c>
      <c r="CQ14" s="488" t="e">
        <f t="shared" ca="1" si="22"/>
        <v>#REF!</v>
      </c>
      <c r="CR14" s="1106" t="e">
        <f t="shared" ca="1" si="23"/>
        <v>#REF!</v>
      </c>
      <c r="CS14" s="488" t="e">
        <f t="shared" ca="1" si="24"/>
        <v>#REF!</v>
      </c>
      <c r="CT14" s="488"/>
      <c r="CU14" s="488"/>
      <c r="CV14" s="84"/>
      <c r="CW14" s="1055"/>
      <c r="CX14" s="1150"/>
      <c r="CY14" s="1150"/>
      <c r="CZ14" s="1150"/>
      <c r="DA14" s="1150"/>
      <c r="DB14" s="1150"/>
      <c r="DC14" s="1150"/>
      <c r="DD14" s="1150"/>
      <c r="DE14" s="1150"/>
      <c r="DF14" s="1150"/>
      <c r="DG14" s="1150"/>
      <c r="DM14" s="552"/>
      <c r="DN14" s="290"/>
      <c r="DS14" s="290"/>
      <c r="DT14" s="290"/>
      <c r="DU14" s="290"/>
      <c r="DV14" s="290"/>
      <c r="DW14" s="290"/>
      <c r="DX14" s="870"/>
      <c r="DY14" s="870"/>
      <c r="DZ14" s="870"/>
      <c r="EJ14" s="857">
        <v>8</v>
      </c>
      <c r="EK14" s="859">
        <v>0.75974025974025972</v>
      </c>
      <c r="EL14" s="859">
        <v>0.10633333333333334</v>
      </c>
      <c r="EM14" s="859">
        <v>0.75763065100347926</v>
      </c>
      <c r="EN14" s="859">
        <v>0.13400000000000001</v>
      </c>
      <c r="EO14" s="859">
        <v>0.73633610269804683</v>
      </c>
      <c r="EP14" s="859">
        <v>0.15050000000000002</v>
      </c>
      <c r="EQ14" s="859">
        <v>0.67706694240884768</v>
      </c>
      <c r="ER14" s="859">
        <v>0.183</v>
      </c>
      <c r="ES14" s="859">
        <v>0.62138364779874211</v>
      </c>
      <c r="ET14" s="859">
        <v>0.22499999999999998</v>
      </c>
      <c r="EU14" s="859">
        <v>0.63202614379084954</v>
      </c>
      <c r="EV14" s="859">
        <v>0.24766666666666665</v>
      </c>
      <c r="EY14" s="534">
        <v>8</v>
      </c>
      <c r="EZ14" s="862">
        <v>0.75710502531977075</v>
      </c>
      <c r="FA14" s="862">
        <v>0.10300000000000001</v>
      </c>
      <c r="FB14" s="862">
        <v>0.73515981735159819</v>
      </c>
      <c r="FC14" s="862">
        <v>0.13133333333333333</v>
      </c>
      <c r="FD14" s="862">
        <v>0.71559569773855491</v>
      </c>
      <c r="FE14" s="534">
        <v>0.16</v>
      </c>
      <c r="FF14" s="862">
        <v>0.65315758711731853</v>
      </c>
      <c r="FG14" s="862">
        <v>0.18483333333333335</v>
      </c>
      <c r="FH14" s="862">
        <v>0.60619204848704156</v>
      </c>
      <c r="FI14" s="862">
        <v>0.22650000000000001</v>
      </c>
      <c r="FJ14" s="862">
        <v>0.59506726457399106</v>
      </c>
      <c r="FK14" s="862">
        <v>0.26333333333333331</v>
      </c>
      <c r="FN14" s="532">
        <v>8</v>
      </c>
      <c r="FO14" s="532">
        <v>0.80196712654300617</v>
      </c>
      <c r="FP14" s="532">
        <v>0.10400000000000001</v>
      </c>
      <c r="FQ14" s="532">
        <v>0.76912147244628049</v>
      </c>
      <c r="FR14" s="532">
        <v>0.1235</v>
      </c>
      <c r="FS14" s="532">
        <v>0.73509933774834435</v>
      </c>
      <c r="FT14" s="532">
        <v>0.15949999999999998</v>
      </c>
      <c r="FU14" s="532">
        <v>0.6887417218543046</v>
      </c>
      <c r="FV14" s="532">
        <v>0.187</v>
      </c>
      <c r="FW14" s="458">
        <v>0.61402657807308969</v>
      </c>
      <c r="FX14" s="458">
        <v>0.23299999999999998</v>
      </c>
      <c r="FY14" s="532">
        <v>0.61402657807308969</v>
      </c>
      <c r="FZ14" s="532">
        <v>0.23299999999999998</v>
      </c>
      <c r="GG14">
        <v>14</v>
      </c>
      <c r="GH14" s="1066">
        <v>8</v>
      </c>
      <c r="GI14" s="1066">
        <v>0.79284529424547057</v>
      </c>
      <c r="GJ14" s="1066">
        <v>0.11133333333333333</v>
      </c>
      <c r="GK14" s="1066">
        <v>0.7377068692624249</v>
      </c>
      <c r="GL14" s="1066">
        <v>0.125</v>
      </c>
      <c r="GM14" s="1066">
        <v>0.71639993881959274</v>
      </c>
      <c r="GN14" s="1066">
        <v>0.15391666666666665</v>
      </c>
      <c r="GO14" s="1066">
        <v>0.65732879745352568</v>
      </c>
      <c r="GP14" s="1066">
        <v>0.192</v>
      </c>
      <c r="GQ14" s="1066">
        <v>0.60434301260052792</v>
      </c>
      <c r="GR14" s="1066">
        <v>0.23399999999999996</v>
      </c>
      <c r="GS14" s="1066">
        <v>0.57124159159545607</v>
      </c>
      <c r="GT14" s="1066">
        <v>0.25950000000000001</v>
      </c>
      <c r="HC14" s="1086">
        <v>8</v>
      </c>
      <c r="HD14" s="1086">
        <v>0.81767873006152181</v>
      </c>
      <c r="HE14" s="1086">
        <v>0.10833333333333334</v>
      </c>
      <c r="HF14" s="1086">
        <v>0.7496520146520147</v>
      </c>
      <c r="HG14" s="1086">
        <v>0.13100000000000001</v>
      </c>
      <c r="HH14" s="1086">
        <v>0.69641358794970554</v>
      </c>
      <c r="HI14" s="1086">
        <v>0.16766666666666666</v>
      </c>
      <c r="HJ14" s="1086">
        <v>0.63649658678073362</v>
      </c>
      <c r="HK14" s="1086">
        <v>0.19816666666666669</v>
      </c>
      <c r="HL14" s="1086">
        <v>0.61395438245681055</v>
      </c>
      <c r="HM14" s="1086">
        <v>0.22550000000000001</v>
      </c>
      <c r="HN14" s="1086">
        <v>0.56954732510288064</v>
      </c>
      <c r="HO14" s="1086">
        <v>0.247</v>
      </c>
      <c r="HY14" s="1084">
        <v>8</v>
      </c>
      <c r="HZ14" s="458">
        <v>0.74156222553707585</v>
      </c>
      <c r="IA14" s="458">
        <v>0.13</v>
      </c>
      <c r="IB14" s="1084">
        <v>0.77001167142304217</v>
      </c>
      <c r="IC14" s="1084">
        <v>0.13600000000000001</v>
      </c>
      <c r="ID14" s="458">
        <v>0.64994035897963109</v>
      </c>
      <c r="IE14" s="458">
        <v>0.21</v>
      </c>
      <c r="IF14" s="1084">
        <v>0.64994035897963109</v>
      </c>
      <c r="IG14" s="1084">
        <v>0.21</v>
      </c>
      <c r="IH14" s="1084">
        <v>0.5550300006741723</v>
      </c>
      <c r="II14" s="1084">
        <v>0.28350000000000003</v>
      </c>
      <c r="IU14" s="1171">
        <v>8</v>
      </c>
      <c r="IV14" s="1171">
        <v>0.7891017693477832</v>
      </c>
      <c r="IW14" s="1171">
        <v>0.11166666666666666</v>
      </c>
      <c r="IX14" s="1171">
        <v>0.72794931926258877</v>
      </c>
      <c r="IY14" s="1171">
        <v>0.128</v>
      </c>
      <c r="IZ14" s="1171">
        <v>0.70308838011266572</v>
      </c>
      <c r="JA14" s="1171">
        <v>0.16500000000000001</v>
      </c>
      <c r="JB14" s="1171">
        <v>0.65390211640211637</v>
      </c>
      <c r="JC14" s="1171">
        <v>0.19699999999999998</v>
      </c>
      <c r="JD14" s="1171">
        <v>0.59177766028193513</v>
      </c>
      <c r="JE14" s="1171">
        <v>0.23649999999999999</v>
      </c>
      <c r="JF14" s="1171">
        <v>0.52664337939869366</v>
      </c>
      <c r="JG14" s="1171">
        <v>0.26208333333333333</v>
      </c>
    </row>
    <row r="15" spans="1:306" ht="15.75" x14ac:dyDescent="0.25">
      <c r="B15" s="289">
        <v>10</v>
      </c>
      <c r="C15" s="330"/>
      <c r="D15" s="331"/>
      <c r="E15" s="331"/>
      <c r="F15" s="332"/>
      <c r="G15" s="330"/>
      <c r="H15" s="331"/>
      <c r="I15" s="331"/>
      <c r="J15" s="331"/>
      <c r="K15" s="339"/>
      <c r="L15" s="340"/>
      <c r="M15" s="340"/>
      <c r="N15" s="341"/>
      <c r="O15" s="339"/>
      <c r="P15" s="340"/>
      <c r="Q15" s="340"/>
      <c r="R15" s="341"/>
      <c r="S15">
        <f>V15/12/3.281*RWDI_FACTORS!$D$7</f>
        <v>101.5950421619425</v>
      </c>
      <c r="T15" s="358"/>
      <c r="U15" s="360"/>
      <c r="V15" s="360">
        <v>10</v>
      </c>
      <c r="W15" s="355">
        <f t="shared" ca="1" si="25"/>
        <v>0.83954875657359995</v>
      </c>
      <c r="X15" s="363">
        <f t="shared" ca="1" si="26"/>
        <v>0.1009</v>
      </c>
      <c r="Y15" s="355">
        <f t="shared" ca="1" si="27"/>
        <v>0.7840654643321755</v>
      </c>
      <c r="Z15" s="363">
        <f t="shared" ca="1" si="28"/>
        <v>0.124</v>
      </c>
      <c r="AA15" s="355">
        <f t="shared" ca="1" si="29"/>
        <v>0.72171431480217096</v>
      </c>
      <c r="AB15" s="363">
        <f t="shared" ca="1" si="30"/>
        <v>0.15983333333333336</v>
      </c>
      <c r="AC15" s="355">
        <f t="shared" ca="1" si="31"/>
        <v>0.66286432087190905</v>
      </c>
      <c r="AD15" s="363">
        <f t="shared" ca="1" si="32"/>
        <v>0.18666666666666668</v>
      </c>
      <c r="AE15" s="355">
        <f t="shared" ca="1" si="33"/>
        <v>0.63789424043461218</v>
      </c>
      <c r="AF15" s="363">
        <f t="shared" ca="1" si="34"/>
        <v>0.214</v>
      </c>
      <c r="AG15" s="355">
        <f t="shared" ca="1" si="35"/>
        <v>0.60905349794238683</v>
      </c>
      <c r="AH15" s="363">
        <f t="shared" ca="1" si="36"/>
        <v>0.23499999999999999</v>
      </c>
      <c r="AI15" s="1108" t="e">
        <f t="shared" ca="1" si="37"/>
        <v>#REF!</v>
      </c>
      <c r="AJ15" s="363" t="e">
        <f t="shared" ca="1" si="38"/>
        <v>#REF!</v>
      </c>
      <c r="AK15" s="1108" t="e">
        <f t="shared" ca="1" si="39"/>
        <v>#REF!</v>
      </c>
      <c r="AL15" s="363" t="e">
        <f t="shared" ca="1" si="40"/>
        <v>#REF!</v>
      </c>
      <c r="AM15" s="1108" t="e">
        <f t="shared" ca="1" si="41"/>
        <v>#REF!</v>
      </c>
      <c r="AN15" s="363" t="e">
        <f t="shared" ca="1" si="42"/>
        <v>#REF!</v>
      </c>
      <c r="AO15" s="1108" t="e">
        <f t="shared" ca="1" si="43"/>
        <v>#REF!</v>
      </c>
      <c r="AP15" s="363" t="e">
        <f t="shared" ca="1" si="44"/>
        <v>#REF!</v>
      </c>
      <c r="AQ15" s="1108" t="e">
        <f t="shared" ca="1" si="45"/>
        <v>#REF!</v>
      </c>
      <c r="AR15" s="363" t="e">
        <f t="shared" ca="1" si="46"/>
        <v>#REF!</v>
      </c>
      <c r="AS15" s="1108" t="e">
        <f t="shared" ca="1" si="47"/>
        <v>#REF!</v>
      </c>
      <c r="AT15" s="363" t="e">
        <f t="shared" ca="1" si="48"/>
        <v>#REF!</v>
      </c>
      <c r="AU15" s="1108" t="e">
        <f t="shared" ca="1" si="49"/>
        <v>#REF!</v>
      </c>
      <c r="AV15" s="363" t="e">
        <f t="shared" ca="1" si="50"/>
        <v>#REF!</v>
      </c>
      <c r="AW15" s="1108" t="e">
        <f t="shared" ca="1" si="51"/>
        <v>#REF!</v>
      </c>
      <c r="AX15" s="363" t="e">
        <f t="shared" ca="1" si="52"/>
        <v>#REF!</v>
      </c>
      <c r="AY15" s="1108" t="e">
        <f t="shared" ca="1" si="53"/>
        <v>#REF!</v>
      </c>
      <c r="AZ15" s="363" t="e">
        <f t="shared" ca="1" si="54"/>
        <v>#REF!</v>
      </c>
      <c r="BA15" s="499"/>
      <c r="BG15" s="520"/>
      <c r="BH15" s="520"/>
      <c r="BI15" s="520"/>
      <c r="BJ15" s="520"/>
      <c r="BK15" s="520"/>
      <c r="BL15" s="520"/>
      <c r="BM15">
        <f t="shared" si="5"/>
        <v>10</v>
      </c>
      <c r="BN15" s="531">
        <f t="shared" ca="1" si="55"/>
        <v>8</v>
      </c>
      <c r="BO15" s="493">
        <f t="shared" si="6"/>
        <v>10</v>
      </c>
      <c r="BP15" s="500">
        <f t="shared" ca="1" si="56"/>
        <v>0.83954875657359995</v>
      </c>
      <c r="BQ15" s="488">
        <f t="shared" ca="1" si="57"/>
        <v>0.1009</v>
      </c>
      <c r="BR15" s="500">
        <f t="shared" ca="1" si="56"/>
        <v>0.7840654643321755</v>
      </c>
      <c r="BS15" s="488">
        <f t="shared" ca="1" si="57"/>
        <v>0.124</v>
      </c>
      <c r="BT15" s="500">
        <f t="shared" ca="1" si="56"/>
        <v>0.72171431480217096</v>
      </c>
      <c r="BU15" s="488">
        <f t="shared" ca="1" si="57"/>
        <v>0.15983333333333336</v>
      </c>
      <c r="BV15" s="500">
        <f t="shared" ca="1" si="56"/>
        <v>0.66286432087190905</v>
      </c>
      <c r="BW15" s="488">
        <f t="shared" ca="1" si="57"/>
        <v>0.18666666666666668</v>
      </c>
      <c r="BX15" s="500">
        <f t="shared" ca="1" si="56"/>
        <v>0.63789424043461218</v>
      </c>
      <c r="BY15" s="488">
        <f t="shared" ca="1" si="57"/>
        <v>0.214</v>
      </c>
      <c r="BZ15" s="500">
        <f t="shared" ca="1" si="56"/>
        <v>0.60905349794238683</v>
      </c>
      <c r="CA15" s="488">
        <f t="shared" ca="1" si="57"/>
        <v>0.23499999999999999</v>
      </c>
      <c r="CB15" s="1106" t="e">
        <f t="shared" ca="1" si="7"/>
        <v>#REF!</v>
      </c>
      <c r="CC15" s="488" t="e">
        <f t="shared" ca="1" si="8"/>
        <v>#REF!</v>
      </c>
      <c r="CD15" s="1106" t="e">
        <f t="shared" ca="1" si="9"/>
        <v>#REF!</v>
      </c>
      <c r="CE15" s="488" t="e">
        <f t="shared" ca="1" si="10"/>
        <v>#REF!</v>
      </c>
      <c r="CF15" s="1106" t="e">
        <f t="shared" ca="1" si="11"/>
        <v>#REF!</v>
      </c>
      <c r="CG15" s="488" t="e">
        <f t="shared" ca="1" si="12"/>
        <v>#REF!</v>
      </c>
      <c r="CH15" s="1106" t="e">
        <f t="shared" ca="1" si="13"/>
        <v>#REF!</v>
      </c>
      <c r="CI15" s="488" t="e">
        <f t="shared" ca="1" si="14"/>
        <v>#REF!</v>
      </c>
      <c r="CJ15" s="1106" t="e">
        <f t="shared" ca="1" si="15"/>
        <v>#REF!</v>
      </c>
      <c r="CK15" s="488" t="e">
        <f t="shared" ca="1" si="16"/>
        <v>#REF!</v>
      </c>
      <c r="CL15" s="1106" t="e">
        <f t="shared" ca="1" si="17"/>
        <v>#REF!</v>
      </c>
      <c r="CM15" s="488" t="e">
        <f t="shared" ca="1" si="18"/>
        <v>#REF!</v>
      </c>
      <c r="CN15" s="1106" t="e">
        <f t="shared" ca="1" si="19"/>
        <v>#REF!</v>
      </c>
      <c r="CO15" s="488" t="e">
        <f t="shared" ca="1" si="20"/>
        <v>#REF!</v>
      </c>
      <c r="CP15" s="1106" t="e">
        <f t="shared" ca="1" si="21"/>
        <v>#REF!</v>
      </c>
      <c r="CQ15" s="488" t="e">
        <f t="shared" ca="1" si="22"/>
        <v>#REF!</v>
      </c>
      <c r="CR15" s="1106" t="e">
        <f t="shared" ca="1" si="23"/>
        <v>#REF!</v>
      </c>
      <c r="CS15" s="488" t="e">
        <f t="shared" ca="1" si="24"/>
        <v>#REF!</v>
      </c>
      <c r="CT15" s="488"/>
      <c r="CU15" s="488"/>
      <c r="CV15" s="84"/>
      <c r="CW15" s="1055"/>
      <c r="CX15" s="1150"/>
      <c r="CY15" s="1150"/>
      <c r="CZ15" s="1150"/>
      <c r="DA15" s="1150"/>
      <c r="DB15" s="1150"/>
      <c r="DC15" s="1150"/>
      <c r="DD15" s="1150"/>
      <c r="DE15" s="1150"/>
      <c r="DF15" s="1150"/>
      <c r="DG15" s="1150"/>
      <c r="DM15" s="552"/>
      <c r="DN15" s="290"/>
      <c r="DS15" s="290"/>
      <c r="DT15" s="290"/>
      <c r="DU15" s="290"/>
      <c r="DV15" s="290"/>
      <c r="DW15" s="290"/>
      <c r="DX15" s="870"/>
      <c r="DY15" s="870"/>
      <c r="DZ15" s="870"/>
      <c r="EJ15" s="857">
        <v>10</v>
      </c>
      <c r="EK15" s="859">
        <v>0.78354978354978355</v>
      </c>
      <c r="EL15" s="859">
        <v>0.10218333333333335</v>
      </c>
      <c r="EM15" s="859">
        <v>0.78171717459029511</v>
      </c>
      <c r="EN15" s="859">
        <v>0.12833333333333333</v>
      </c>
      <c r="EO15" s="859">
        <v>0.76571015746875049</v>
      </c>
      <c r="EP15" s="859">
        <v>0.14450000000000002</v>
      </c>
      <c r="EQ15" s="859">
        <v>0.70327743559771616</v>
      </c>
      <c r="ER15" s="859">
        <v>0.17824999999999999</v>
      </c>
      <c r="ES15" s="859">
        <v>0.65433257985283455</v>
      </c>
      <c r="ET15" s="859">
        <v>0.21344088231911013</v>
      </c>
      <c r="EU15" s="859">
        <v>0.66427015250544652</v>
      </c>
      <c r="EV15" s="859">
        <v>0.23666666666666669</v>
      </c>
      <c r="EY15" s="534">
        <v>10</v>
      </c>
      <c r="EZ15" s="862">
        <v>0.77720515873533991</v>
      </c>
      <c r="FA15" s="862">
        <v>9.9150000000000002E-2</v>
      </c>
      <c r="FB15" s="862">
        <v>0.7625570776255709</v>
      </c>
      <c r="FC15" s="862">
        <v>0.1265</v>
      </c>
      <c r="FD15" s="862">
        <v>0.74377183305754735</v>
      </c>
      <c r="FE15" s="534">
        <v>0.15233333333333335</v>
      </c>
      <c r="FF15" s="862">
        <v>0.67899127315234686</v>
      </c>
      <c r="FG15" s="862">
        <v>0.17983333333333335</v>
      </c>
      <c r="FH15" s="862">
        <v>0.63853135331117528</v>
      </c>
      <c r="FI15" s="862">
        <v>0.21440470507374346</v>
      </c>
      <c r="FJ15" s="862">
        <v>0.63</v>
      </c>
      <c r="FK15" s="862">
        <v>0.24433333333333335</v>
      </c>
      <c r="FN15" s="532">
        <v>10</v>
      </c>
      <c r="FO15" s="532">
        <v>0.82504895812704904</v>
      </c>
      <c r="FP15" s="532">
        <v>9.9099999999999994E-2</v>
      </c>
      <c r="FQ15" s="532">
        <v>0.79218309397337527</v>
      </c>
      <c r="FR15" s="532">
        <v>0.12</v>
      </c>
      <c r="FS15" s="532">
        <v>0.76158940397350994</v>
      </c>
      <c r="FT15" s="532">
        <v>0.155</v>
      </c>
      <c r="FU15" s="532">
        <v>0.71523178807947019</v>
      </c>
      <c r="FV15" s="532">
        <v>0.18</v>
      </c>
      <c r="FW15" s="458">
        <v>0.64634330011074204</v>
      </c>
      <c r="FX15" s="458">
        <v>0.22549999999999998</v>
      </c>
      <c r="FY15" s="532">
        <v>0.64634330011074204</v>
      </c>
      <c r="FZ15" s="532">
        <v>0.22549999999999998</v>
      </c>
      <c r="GG15">
        <v>15</v>
      </c>
      <c r="GH15" s="1066">
        <v>10</v>
      </c>
      <c r="GI15" s="1066">
        <v>0.81393901474881492</v>
      </c>
      <c r="GJ15" s="1066">
        <v>0.10441666666666666</v>
      </c>
      <c r="GK15" s="1066">
        <v>0.75713453624564742</v>
      </c>
      <c r="GL15" s="1066">
        <v>0.11849999999999999</v>
      </c>
      <c r="GM15" s="1066">
        <v>0.73696352690481248</v>
      </c>
      <c r="GN15" s="1066">
        <v>0.14966666666666664</v>
      </c>
      <c r="GO15" s="1066">
        <v>0.68287456124289592</v>
      </c>
      <c r="GP15" s="1066">
        <v>0.18287500000000001</v>
      </c>
      <c r="GQ15" s="1066">
        <v>0.63436491041538678</v>
      </c>
      <c r="GR15" s="1066">
        <v>0.22183333333333333</v>
      </c>
      <c r="GS15" s="1066">
        <v>0.60130278129590753</v>
      </c>
      <c r="GT15" s="1066">
        <v>0.24525</v>
      </c>
      <c r="HC15" s="1086">
        <v>10</v>
      </c>
      <c r="HD15" s="1086">
        <v>0.83954875657359995</v>
      </c>
      <c r="HE15" s="1086">
        <v>0.1009</v>
      </c>
      <c r="HF15" s="1086">
        <v>0.7840654643321755</v>
      </c>
      <c r="HG15" s="1086">
        <v>0.124</v>
      </c>
      <c r="HH15" s="1086">
        <v>0.72171431480217096</v>
      </c>
      <c r="HI15" s="1086">
        <v>0.15983333333333336</v>
      </c>
      <c r="HJ15" s="1086">
        <v>0.66286432087190905</v>
      </c>
      <c r="HK15" s="1086">
        <v>0.18666666666666668</v>
      </c>
      <c r="HL15" s="1086">
        <v>0.63789424043461218</v>
      </c>
      <c r="HM15" s="1086">
        <v>0.214</v>
      </c>
      <c r="HN15" s="1086">
        <v>0.60905349794238683</v>
      </c>
      <c r="HO15" s="1086">
        <v>0.23499999999999999</v>
      </c>
      <c r="HY15" s="1084">
        <v>10</v>
      </c>
      <c r="HZ15" s="458">
        <v>0.77637283740642105</v>
      </c>
      <c r="IA15" s="458">
        <v>0.12366666666666667</v>
      </c>
      <c r="IB15" s="1084">
        <v>0.79919930082819324</v>
      </c>
      <c r="IC15" s="1084">
        <v>0.12955555555555556</v>
      </c>
      <c r="ID15" s="458">
        <v>0.68408975281597884</v>
      </c>
      <c r="IE15" s="458">
        <v>0.19533333333333336</v>
      </c>
      <c r="IF15" s="1084">
        <v>0.68408975281597884</v>
      </c>
      <c r="IG15" s="1084">
        <v>0.19533333333333336</v>
      </c>
      <c r="IH15" s="1084">
        <v>0.59340929009640664</v>
      </c>
      <c r="II15" s="1084">
        <v>0.2719166666666667</v>
      </c>
      <c r="IU15" s="1171">
        <v>10</v>
      </c>
      <c r="IV15" s="1171">
        <v>0.81397537837502343</v>
      </c>
      <c r="IW15" s="1171">
        <v>0.10613333333333333</v>
      </c>
      <c r="IX15" s="1171">
        <v>0.7534738403411454</v>
      </c>
      <c r="IY15" s="1171">
        <v>0.122</v>
      </c>
      <c r="IZ15" s="1171">
        <v>0.73430793707379749</v>
      </c>
      <c r="JA15" s="1171">
        <v>0.1595</v>
      </c>
      <c r="JB15" s="1171">
        <v>0.68062169312169318</v>
      </c>
      <c r="JC15" s="1171">
        <v>0.19024999999999997</v>
      </c>
      <c r="JD15" s="1171">
        <v>0.6285279726821803</v>
      </c>
      <c r="JE15" s="1171">
        <v>0.2253333333333333</v>
      </c>
      <c r="JF15" s="1171">
        <v>0.56455946232928567</v>
      </c>
      <c r="JG15" s="1171">
        <v>0.25162962962962959</v>
      </c>
    </row>
    <row r="16" spans="1:306" ht="15.75" x14ac:dyDescent="0.25">
      <c r="B16" s="289">
        <v>12</v>
      </c>
      <c r="C16" s="330"/>
      <c r="D16" s="331"/>
      <c r="E16" s="331"/>
      <c r="F16" s="332"/>
      <c r="G16" s="330"/>
      <c r="H16" s="331"/>
      <c r="I16" s="331"/>
      <c r="J16" s="331"/>
      <c r="K16" s="339"/>
      <c r="L16" s="340"/>
      <c r="M16" s="340"/>
      <c r="N16" s="341"/>
      <c r="O16" s="339"/>
      <c r="P16" s="340"/>
      <c r="Q16" s="340"/>
      <c r="R16" s="341"/>
      <c r="S16">
        <f>V16/12/3.281*RWDI_FACTORS!$D$7</f>
        <v>121.91405059433097</v>
      </c>
      <c r="T16" s="358"/>
      <c r="U16" s="360"/>
      <c r="V16" s="360">
        <v>12</v>
      </c>
      <c r="W16" s="355">
        <f t="shared" ca="1" si="25"/>
        <v>0.85636608461294417</v>
      </c>
      <c r="X16" s="363">
        <f t="shared" ca="1" si="26"/>
        <v>9.5399999999999985E-2</v>
      </c>
      <c r="Y16" s="355">
        <f t="shared" ca="1" si="27"/>
        <v>0.79986710036295472</v>
      </c>
      <c r="Z16" s="363">
        <f t="shared" ca="1" si="28"/>
        <v>0.1195</v>
      </c>
      <c r="AA16" s="355">
        <f t="shared" ca="1" si="29"/>
        <v>0.74701504165463628</v>
      </c>
      <c r="AB16" s="363">
        <f t="shared" ca="1" si="30"/>
        <v>0.15200000000000002</v>
      </c>
      <c r="AC16" s="355">
        <f t="shared" ca="1" si="31"/>
        <v>0.68418009492558296</v>
      </c>
      <c r="AD16" s="363">
        <f t="shared" ca="1" si="32"/>
        <v>0.17988888888888888</v>
      </c>
      <c r="AE16" s="355">
        <f t="shared" ca="1" si="33"/>
        <v>0.66368412123039711</v>
      </c>
      <c r="AF16" s="363">
        <f t="shared" ca="1" si="34"/>
        <v>0.20624999999999999</v>
      </c>
      <c r="AG16" s="355">
        <f t="shared" ca="1" si="35"/>
        <v>0.63429355281207134</v>
      </c>
      <c r="AH16" s="363">
        <f t="shared" ca="1" si="36"/>
        <v>0.22699999999999998</v>
      </c>
      <c r="AI16" s="1108" t="e">
        <f t="shared" ca="1" si="37"/>
        <v>#REF!</v>
      </c>
      <c r="AJ16" s="363" t="e">
        <f t="shared" ca="1" si="38"/>
        <v>#REF!</v>
      </c>
      <c r="AK16" s="1108" t="e">
        <f t="shared" ca="1" si="39"/>
        <v>#REF!</v>
      </c>
      <c r="AL16" s="363" t="e">
        <f t="shared" ca="1" si="40"/>
        <v>#REF!</v>
      </c>
      <c r="AM16" s="1108" t="e">
        <f t="shared" ca="1" si="41"/>
        <v>#REF!</v>
      </c>
      <c r="AN16" s="363" t="e">
        <f t="shared" ca="1" si="42"/>
        <v>#REF!</v>
      </c>
      <c r="AO16" s="1108" t="e">
        <f t="shared" ca="1" si="43"/>
        <v>#REF!</v>
      </c>
      <c r="AP16" s="363" t="e">
        <f t="shared" ca="1" si="44"/>
        <v>#REF!</v>
      </c>
      <c r="AQ16" s="1108" t="e">
        <f t="shared" ca="1" si="45"/>
        <v>#REF!</v>
      </c>
      <c r="AR16" s="363" t="e">
        <f t="shared" ca="1" si="46"/>
        <v>#REF!</v>
      </c>
      <c r="AS16" s="1108" t="e">
        <f t="shared" ca="1" si="47"/>
        <v>#REF!</v>
      </c>
      <c r="AT16" s="363" t="e">
        <f t="shared" ca="1" si="48"/>
        <v>#REF!</v>
      </c>
      <c r="AU16" s="1108" t="e">
        <f t="shared" ca="1" si="49"/>
        <v>#REF!</v>
      </c>
      <c r="AV16" s="363" t="e">
        <f t="shared" ca="1" si="50"/>
        <v>#REF!</v>
      </c>
      <c r="AW16" s="1108" t="e">
        <f t="shared" ca="1" si="51"/>
        <v>#REF!</v>
      </c>
      <c r="AX16" s="363" t="e">
        <f t="shared" ca="1" si="52"/>
        <v>#REF!</v>
      </c>
      <c r="AY16" s="1108" t="e">
        <f t="shared" ca="1" si="53"/>
        <v>#REF!</v>
      </c>
      <c r="AZ16" s="363" t="e">
        <f t="shared" ca="1" si="54"/>
        <v>#REF!</v>
      </c>
      <c r="BA16" s="499"/>
      <c r="BG16" s="520"/>
      <c r="BH16" s="520"/>
      <c r="BI16" s="520"/>
      <c r="BJ16" s="520"/>
      <c r="BK16" s="520"/>
      <c r="BL16" s="520"/>
      <c r="BM16">
        <f t="shared" si="5"/>
        <v>12</v>
      </c>
      <c r="BN16" s="531">
        <f t="shared" ca="1" si="55"/>
        <v>9</v>
      </c>
      <c r="BO16" s="493">
        <f t="shared" si="6"/>
        <v>12</v>
      </c>
      <c r="BP16" s="500">
        <f t="shared" ca="1" si="56"/>
        <v>0.85636608461294417</v>
      </c>
      <c r="BQ16" s="488">
        <f t="shared" ca="1" si="57"/>
        <v>9.5399999999999985E-2</v>
      </c>
      <c r="BR16" s="500">
        <f t="shared" ca="1" si="56"/>
        <v>0.79986710036295472</v>
      </c>
      <c r="BS16" s="488">
        <f t="shared" ca="1" si="57"/>
        <v>0.1195</v>
      </c>
      <c r="BT16" s="500">
        <f t="shared" ca="1" si="56"/>
        <v>0.74701504165463628</v>
      </c>
      <c r="BU16" s="488">
        <f t="shared" ca="1" si="57"/>
        <v>0.15200000000000002</v>
      </c>
      <c r="BV16" s="500">
        <f t="shared" ca="1" si="56"/>
        <v>0.68418009492558296</v>
      </c>
      <c r="BW16" s="488">
        <f t="shared" ca="1" si="57"/>
        <v>0.17988888888888888</v>
      </c>
      <c r="BX16" s="500">
        <f t="shared" ca="1" si="56"/>
        <v>0.66368412123039711</v>
      </c>
      <c r="BY16" s="488">
        <f t="shared" ca="1" si="57"/>
        <v>0.20624999999999999</v>
      </c>
      <c r="BZ16" s="500">
        <f t="shared" ca="1" si="56"/>
        <v>0.63429355281207134</v>
      </c>
      <c r="CA16" s="488">
        <f t="shared" ca="1" si="57"/>
        <v>0.22699999999999998</v>
      </c>
      <c r="CB16" s="1106" t="e">
        <f t="shared" ca="1" si="7"/>
        <v>#REF!</v>
      </c>
      <c r="CC16" s="488" t="e">
        <f t="shared" ca="1" si="8"/>
        <v>#REF!</v>
      </c>
      <c r="CD16" s="1106" t="e">
        <f t="shared" ca="1" si="9"/>
        <v>#REF!</v>
      </c>
      <c r="CE16" s="488" t="e">
        <f t="shared" ca="1" si="10"/>
        <v>#REF!</v>
      </c>
      <c r="CF16" s="1106" t="e">
        <f t="shared" ca="1" si="11"/>
        <v>#REF!</v>
      </c>
      <c r="CG16" s="488" t="e">
        <f t="shared" ca="1" si="12"/>
        <v>#REF!</v>
      </c>
      <c r="CH16" s="1106" t="e">
        <f t="shared" ca="1" si="13"/>
        <v>#REF!</v>
      </c>
      <c r="CI16" s="488" t="e">
        <f t="shared" ca="1" si="14"/>
        <v>#REF!</v>
      </c>
      <c r="CJ16" s="1106" t="e">
        <f t="shared" ca="1" si="15"/>
        <v>#REF!</v>
      </c>
      <c r="CK16" s="488" t="e">
        <f t="shared" ca="1" si="16"/>
        <v>#REF!</v>
      </c>
      <c r="CL16" s="1106" t="e">
        <f t="shared" ca="1" si="17"/>
        <v>#REF!</v>
      </c>
      <c r="CM16" s="488" t="e">
        <f t="shared" ca="1" si="18"/>
        <v>#REF!</v>
      </c>
      <c r="CN16" s="1106" t="e">
        <f t="shared" ca="1" si="19"/>
        <v>#REF!</v>
      </c>
      <c r="CO16" s="488" t="e">
        <f t="shared" ca="1" si="20"/>
        <v>#REF!</v>
      </c>
      <c r="CP16" s="1106" t="e">
        <f t="shared" ca="1" si="21"/>
        <v>#REF!</v>
      </c>
      <c r="CQ16" s="488" t="e">
        <f t="shared" ca="1" si="22"/>
        <v>#REF!</v>
      </c>
      <c r="CR16" s="1106" t="e">
        <f t="shared" ca="1" si="23"/>
        <v>#REF!</v>
      </c>
      <c r="CS16" s="488" t="e">
        <f t="shared" ca="1" si="24"/>
        <v>#REF!</v>
      </c>
      <c r="CT16" s="488"/>
      <c r="CU16" s="488"/>
      <c r="CV16" s="84"/>
      <c r="CW16" s="1055"/>
      <c r="CX16" s="1150"/>
      <c r="CY16" s="1150"/>
      <c r="CZ16" s="1150"/>
      <c r="DA16" s="1150"/>
      <c r="DB16" s="1150"/>
      <c r="DC16" s="1150"/>
      <c r="DD16" s="1150"/>
      <c r="DE16" s="1150"/>
      <c r="DF16" s="1150"/>
      <c r="DG16" s="1150"/>
      <c r="DM16" s="552"/>
      <c r="DN16" s="290"/>
      <c r="DS16" s="290"/>
      <c r="DT16" s="290"/>
      <c r="DU16" s="290"/>
      <c r="DV16" s="290"/>
      <c r="DW16" s="290"/>
      <c r="DX16" s="870"/>
      <c r="DY16" s="870"/>
      <c r="DZ16" s="870"/>
      <c r="EJ16" s="857">
        <v>12</v>
      </c>
      <c r="EK16" s="859">
        <v>0.80086580086580084</v>
      </c>
      <c r="EL16" s="859">
        <v>9.8033333333333347E-2</v>
      </c>
      <c r="EM16" s="859">
        <v>0.79704496232735966</v>
      </c>
      <c r="EN16" s="859">
        <v>0.12433333333333334</v>
      </c>
      <c r="EO16" s="859">
        <v>0.78833611857591424</v>
      </c>
      <c r="EP16" s="859">
        <v>0.14000000000000001</v>
      </c>
      <c r="EQ16" s="859">
        <v>0.71627028728139197</v>
      </c>
      <c r="ER16" s="859">
        <v>0.17349999999999999</v>
      </c>
      <c r="ES16" s="859">
        <v>0.6825466157389698</v>
      </c>
      <c r="ET16" s="859">
        <v>0.20443861631702701</v>
      </c>
      <c r="EU16" s="859">
        <v>0.68834422657952066</v>
      </c>
      <c r="EV16" s="859">
        <v>0.23</v>
      </c>
      <c r="EY16" s="534">
        <v>12</v>
      </c>
      <c r="EZ16" s="862">
        <v>0.79730529215090895</v>
      </c>
      <c r="FA16" s="862">
        <v>9.5299999999999996E-2</v>
      </c>
      <c r="FB16" s="862">
        <v>0.78082191780821919</v>
      </c>
      <c r="FC16" s="862">
        <v>0.12166666666666666</v>
      </c>
      <c r="FD16" s="862">
        <v>0.76862321505178643</v>
      </c>
      <c r="FE16" s="534">
        <v>0.14458333333333334</v>
      </c>
      <c r="FF16" s="862">
        <v>0.70137069955861908</v>
      </c>
      <c r="FG16" s="862">
        <v>0.17333333333333337</v>
      </c>
      <c r="FH16" s="862">
        <v>0.66623107703278239</v>
      </c>
      <c r="FI16" s="862">
        <v>0.20500318182372659</v>
      </c>
      <c r="FJ16" s="862">
        <v>0.65580717488789242</v>
      </c>
      <c r="FK16" s="862">
        <v>0.23300000000000001</v>
      </c>
      <c r="FN16" s="532">
        <v>12</v>
      </c>
      <c r="FO16" s="532">
        <v>0.83991242546262668</v>
      </c>
      <c r="FP16" s="532">
        <v>9.5150000000000012E-2</v>
      </c>
      <c r="FQ16" s="532">
        <v>0.80873062714494937</v>
      </c>
      <c r="FR16" s="532">
        <v>0.11599999999999999</v>
      </c>
      <c r="FS16" s="532">
        <v>0.7781456953642385</v>
      </c>
      <c r="FT16" s="532">
        <v>0.15</v>
      </c>
      <c r="FU16" s="532">
        <v>0.74503311258278149</v>
      </c>
      <c r="FV16" s="532">
        <v>0.17199999999999999</v>
      </c>
      <c r="FW16" s="458">
        <v>0.68006644518272419</v>
      </c>
      <c r="FX16" s="458">
        <v>0.217</v>
      </c>
      <c r="FY16" s="532">
        <v>0.68006644518272419</v>
      </c>
      <c r="FZ16" s="532">
        <v>0.217</v>
      </c>
      <c r="GG16">
        <v>16</v>
      </c>
      <c r="GH16" s="1066">
        <v>12</v>
      </c>
      <c r="GI16" s="1066">
        <v>0.83503273525215926</v>
      </c>
      <c r="GJ16" s="1066">
        <v>9.7500000000000003E-2</v>
      </c>
      <c r="GK16" s="1066">
        <v>0.77770460592592938</v>
      </c>
      <c r="GL16" s="1066">
        <v>0.11433333333333331</v>
      </c>
      <c r="GM16" s="1066">
        <v>0.75752711499003211</v>
      </c>
      <c r="GN16" s="1066">
        <v>0.14499999999999999</v>
      </c>
      <c r="GO16" s="1066">
        <v>0.70842032503226626</v>
      </c>
      <c r="GP16" s="1066">
        <v>0.17716666666666664</v>
      </c>
      <c r="GQ16" s="1066">
        <v>0.66438680823024565</v>
      </c>
      <c r="GR16" s="1066">
        <v>0.20933333333333334</v>
      </c>
      <c r="GS16" s="1066">
        <v>0.62917289322296766</v>
      </c>
      <c r="GT16" s="1066">
        <v>0.233625</v>
      </c>
      <c r="HC16" s="1086">
        <v>12</v>
      </c>
      <c r="HD16" s="1086">
        <v>0.85636608461294417</v>
      </c>
      <c r="HE16" s="1086">
        <v>9.5399999999999985E-2</v>
      </c>
      <c r="HF16" s="1086">
        <v>0.79986710036295472</v>
      </c>
      <c r="HG16" s="1086">
        <v>0.1195</v>
      </c>
      <c r="HH16" s="1086">
        <v>0.74701504165463628</v>
      </c>
      <c r="HI16" s="1086">
        <v>0.15200000000000002</v>
      </c>
      <c r="HJ16" s="1086">
        <v>0.68418009492558296</v>
      </c>
      <c r="HK16" s="1086">
        <v>0.17988888888888888</v>
      </c>
      <c r="HL16" s="1086">
        <v>0.66368412123039711</v>
      </c>
      <c r="HM16" s="1086">
        <v>0.20624999999999999</v>
      </c>
      <c r="HN16" s="1086">
        <v>0.63429355281207134</v>
      </c>
      <c r="HO16" s="1086">
        <v>0.22699999999999998</v>
      </c>
      <c r="HY16" s="1084">
        <v>12</v>
      </c>
      <c r="HZ16" s="458">
        <v>0.79325070982792178</v>
      </c>
      <c r="IA16" s="458">
        <v>0.11733333333333333</v>
      </c>
      <c r="IB16" s="1084">
        <v>0.81647389651069469</v>
      </c>
      <c r="IC16" s="1084">
        <v>0.1231111111111111</v>
      </c>
      <c r="ID16" s="458">
        <v>0.71816158037500699</v>
      </c>
      <c r="IE16" s="458">
        <v>0.18760416666666668</v>
      </c>
      <c r="IF16" s="1084">
        <v>0.71816158037500699</v>
      </c>
      <c r="IG16" s="1084">
        <v>0.18760416666666668</v>
      </c>
      <c r="IH16" s="1084">
        <v>0.62989280657992319</v>
      </c>
      <c r="II16" s="1084">
        <v>0.26033333333333336</v>
      </c>
      <c r="IU16" s="1171">
        <v>12</v>
      </c>
      <c r="IV16" s="1171">
        <v>0.83103235103762696</v>
      </c>
      <c r="IW16" s="1171">
        <v>0.10060000000000001</v>
      </c>
      <c r="IX16" s="1171">
        <v>0.77479793348466397</v>
      </c>
      <c r="IY16" s="1171">
        <v>0.115</v>
      </c>
      <c r="IZ16" s="1171">
        <v>0.75855074369255526</v>
      </c>
      <c r="JA16" s="1171">
        <v>0.1535</v>
      </c>
      <c r="JB16" s="1171">
        <v>0.70734126984126999</v>
      </c>
      <c r="JC16" s="1171">
        <v>0.18350000000000002</v>
      </c>
      <c r="JD16" s="1171">
        <v>0.65990215142537523</v>
      </c>
      <c r="JE16" s="1171">
        <v>0.21299999999999999</v>
      </c>
      <c r="JF16" s="1171">
        <v>0.59657170033389961</v>
      </c>
      <c r="JG16" s="1171">
        <v>0.23770370370370369</v>
      </c>
    </row>
    <row r="17" spans="2:273" ht="15.75" x14ac:dyDescent="0.25">
      <c r="B17" s="289">
        <v>14</v>
      </c>
      <c r="C17" s="330"/>
      <c r="D17" s="331"/>
      <c r="E17" s="331"/>
      <c r="F17" s="332"/>
      <c r="G17" s="330"/>
      <c r="H17" s="331"/>
      <c r="I17" s="331"/>
      <c r="J17" s="331"/>
      <c r="K17" s="339"/>
      <c r="L17" s="340"/>
      <c r="M17" s="340"/>
      <c r="N17" s="341"/>
      <c r="O17" s="339"/>
      <c r="P17" s="340"/>
      <c r="Q17" s="340"/>
      <c r="R17" s="341"/>
      <c r="S17">
        <f>V17/12/3.281*RWDI_FACTORS!$D$7</f>
        <v>142.2330590267195</v>
      </c>
      <c r="T17" s="358"/>
      <c r="U17" s="360"/>
      <c r="V17" s="360">
        <v>14</v>
      </c>
      <c r="W17" s="355">
        <f t="shared" ca="1" si="25"/>
        <v>0.87318341265228838</v>
      </c>
      <c r="X17" s="363">
        <f t="shared" ca="1" si="26"/>
        <v>8.989999999999998E-2</v>
      </c>
      <c r="Y17" s="355">
        <f t="shared" ca="1" si="27"/>
        <v>0.8165076625682306</v>
      </c>
      <c r="Z17" s="363">
        <f t="shared" ca="1" si="28"/>
        <v>0.115</v>
      </c>
      <c r="AA17" s="355">
        <f t="shared" ca="1" si="29"/>
        <v>0.76009549299184276</v>
      </c>
      <c r="AB17" s="363">
        <f t="shared" ca="1" si="30"/>
        <v>0.14585666666666666</v>
      </c>
      <c r="AC17" s="355">
        <f t="shared" ca="1" si="31"/>
        <v>0.70549586897925698</v>
      </c>
      <c r="AD17" s="363">
        <f t="shared" ca="1" si="32"/>
        <v>0.17311111111111113</v>
      </c>
      <c r="AE17" s="355">
        <f t="shared" ca="1" si="33"/>
        <v>0.68947400202618181</v>
      </c>
      <c r="AF17" s="363">
        <f t="shared" ca="1" si="34"/>
        <v>0.19975000000000001</v>
      </c>
      <c r="AG17" s="355">
        <f t="shared" ca="1" si="35"/>
        <v>0.65768175582990396</v>
      </c>
      <c r="AH17" s="363">
        <f t="shared" ca="1" si="36"/>
        <v>0.222</v>
      </c>
      <c r="AI17" s="1108" t="e">
        <f t="shared" ca="1" si="37"/>
        <v>#REF!</v>
      </c>
      <c r="AJ17" s="363" t="e">
        <f t="shared" ca="1" si="38"/>
        <v>#REF!</v>
      </c>
      <c r="AK17" s="1108" t="e">
        <f t="shared" ca="1" si="39"/>
        <v>#REF!</v>
      </c>
      <c r="AL17" s="363" t="e">
        <f t="shared" ca="1" si="40"/>
        <v>#REF!</v>
      </c>
      <c r="AM17" s="1108" t="e">
        <f t="shared" ca="1" si="41"/>
        <v>#REF!</v>
      </c>
      <c r="AN17" s="363" t="e">
        <f t="shared" ca="1" si="42"/>
        <v>#REF!</v>
      </c>
      <c r="AO17" s="1108" t="e">
        <f t="shared" ca="1" si="43"/>
        <v>#REF!</v>
      </c>
      <c r="AP17" s="363" t="e">
        <f t="shared" ca="1" si="44"/>
        <v>#REF!</v>
      </c>
      <c r="AQ17" s="1108" t="e">
        <f t="shared" ca="1" si="45"/>
        <v>#REF!</v>
      </c>
      <c r="AR17" s="363" t="e">
        <f t="shared" ca="1" si="46"/>
        <v>#REF!</v>
      </c>
      <c r="AS17" s="1108" t="e">
        <f t="shared" ca="1" si="47"/>
        <v>#REF!</v>
      </c>
      <c r="AT17" s="363" t="e">
        <f t="shared" ca="1" si="48"/>
        <v>#REF!</v>
      </c>
      <c r="AU17" s="1108" t="e">
        <f t="shared" ca="1" si="49"/>
        <v>#REF!</v>
      </c>
      <c r="AV17" s="363" t="e">
        <f t="shared" ca="1" si="50"/>
        <v>#REF!</v>
      </c>
      <c r="AW17" s="1108" t="e">
        <f t="shared" ca="1" si="51"/>
        <v>#REF!</v>
      </c>
      <c r="AX17" s="363" t="e">
        <f t="shared" ca="1" si="52"/>
        <v>#REF!</v>
      </c>
      <c r="AY17" s="1108" t="e">
        <f t="shared" ca="1" si="53"/>
        <v>#REF!</v>
      </c>
      <c r="AZ17" s="363" t="e">
        <f t="shared" ca="1" si="54"/>
        <v>#REF!</v>
      </c>
      <c r="BA17" s="499"/>
      <c r="BG17" s="520"/>
      <c r="BH17" s="520"/>
      <c r="BI17" s="520"/>
      <c r="BJ17" s="520"/>
      <c r="BK17" s="520"/>
      <c r="BL17" s="520"/>
      <c r="BM17">
        <f t="shared" si="5"/>
        <v>14</v>
      </c>
      <c r="BN17" s="531">
        <f t="shared" ca="1" si="55"/>
        <v>10</v>
      </c>
      <c r="BO17" s="493">
        <f t="shared" si="6"/>
        <v>14</v>
      </c>
      <c r="BP17" s="500">
        <f t="shared" ca="1" si="56"/>
        <v>0.87318341265228838</v>
      </c>
      <c r="BQ17" s="488">
        <f t="shared" ca="1" si="57"/>
        <v>8.989999999999998E-2</v>
      </c>
      <c r="BR17" s="500">
        <f t="shared" ca="1" si="56"/>
        <v>0.8165076625682306</v>
      </c>
      <c r="BS17" s="488">
        <f t="shared" ca="1" si="57"/>
        <v>0.115</v>
      </c>
      <c r="BT17" s="500">
        <f t="shared" ca="1" si="56"/>
        <v>0.76009549299184276</v>
      </c>
      <c r="BU17" s="488">
        <f t="shared" ca="1" si="57"/>
        <v>0.14585666666666666</v>
      </c>
      <c r="BV17" s="500">
        <f t="shared" ca="1" si="56"/>
        <v>0.70549586897925698</v>
      </c>
      <c r="BW17" s="488">
        <f t="shared" ca="1" si="57"/>
        <v>0.17311111111111113</v>
      </c>
      <c r="BX17" s="500">
        <f t="shared" ca="1" si="56"/>
        <v>0.68947400202618181</v>
      </c>
      <c r="BY17" s="488">
        <f t="shared" ca="1" si="57"/>
        <v>0.19975000000000001</v>
      </c>
      <c r="BZ17" s="500">
        <f t="shared" ca="1" si="56"/>
        <v>0.65768175582990396</v>
      </c>
      <c r="CA17" s="488">
        <f t="shared" ca="1" si="57"/>
        <v>0.222</v>
      </c>
      <c r="CB17" s="1106" t="e">
        <f t="shared" ca="1" si="7"/>
        <v>#REF!</v>
      </c>
      <c r="CC17" s="488" t="e">
        <f t="shared" ca="1" si="8"/>
        <v>#REF!</v>
      </c>
      <c r="CD17" s="1106" t="e">
        <f t="shared" ca="1" si="9"/>
        <v>#REF!</v>
      </c>
      <c r="CE17" s="488" t="e">
        <f t="shared" ca="1" si="10"/>
        <v>#REF!</v>
      </c>
      <c r="CF17" s="1106" t="e">
        <f t="shared" ca="1" si="11"/>
        <v>#REF!</v>
      </c>
      <c r="CG17" s="488" t="e">
        <f t="shared" ca="1" si="12"/>
        <v>#REF!</v>
      </c>
      <c r="CH17" s="1106" t="e">
        <f t="shared" ca="1" si="13"/>
        <v>#REF!</v>
      </c>
      <c r="CI17" s="488" t="e">
        <f t="shared" ca="1" si="14"/>
        <v>#REF!</v>
      </c>
      <c r="CJ17" s="1106" t="e">
        <f t="shared" ca="1" si="15"/>
        <v>#REF!</v>
      </c>
      <c r="CK17" s="488" t="e">
        <f t="shared" ca="1" si="16"/>
        <v>#REF!</v>
      </c>
      <c r="CL17" s="1106" t="e">
        <f t="shared" ca="1" si="17"/>
        <v>#REF!</v>
      </c>
      <c r="CM17" s="488" t="e">
        <f t="shared" ca="1" si="18"/>
        <v>#REF!</v>
      </c>
      <c r="CN17" s="1106" t="e">
        <f t="shared" ca="1" si="19"/>
        <v>#REF!</v>
      </c>
      <c r="CO17" s="488" t="e">
        <f t="shared" ca="1" si="20"/>
        <v>#REF!</v>
      </c>
      <c r="CP17" s="1106" t="e">
        <f t="shared" ca="1" si="21"/>
        <v>#REF!</v>
      </c>
      <c r="CQ17" s="488" t="e">
        <f t="shared" ca="1" si="22"/>
        <v>#REF!</v>
      </c>
      <c r="CR17" s="1106" t="e">
        <f t="shared" ca="1" si="23"/>
        <v>#REF!</v>
      </c>
      <c r="CS17" s="488" t="e">
        <f t="shared" ca="1" si="24"/>
        <v>#REF!</v>
      </c>
      <c r="CT17" s="488"/>
      <c r="CU17" s="488"/>
      <c r="CV17" s="84"/>
      <c r="CW17" s="1055"/>
      <c r="CX17" s="1150"/>
      <c r="CY17" s="1150"/>
      <c r="CZ17" s="1150"/>
      <c r="DA17" s="1150"/>
      <c r="DB17" s="1150"/>
      <c r="DC17" s="1150"/>
      <c r="DD17" s="1150"/>
      <c r="DE17" s="1150"/>
      <c r="DF17" s="1150"/>
      <c r="DG17" s="1150"/>
      <c r="DM17" s="552"/>
      <c r="DN17" s="290"/>
      <c r="DS17" s="290"/>
      <c r="DT17" s="290"/>
      <c r="DU17" s="290"/>
      <c r="DV17" s="290"/>
      <c r="DW17" s="290"/>
      <c r="DX17" s="870"/>
      <c r="DY17" s="870"/>
      <c r="DZ17" s="870"/>
      <c r="EJ17" s="857">
        <v>14</v>
      </c>
      <c r="EK17" s="859">
        <v>0.81601731601731597</v>
      </c>
      <c r="EL17" s="859">
        <v>9.5383333333333348E-2</v>
      </c>
      <c r="EM17" s="859">
        <v>0.81456243402686213</v>
      </c>
      <c r="EN17" s="859">
        <v>0.12</v>
      </c>
      <c r="EO17" s="859">
        <v>0.80183230590299437</v>
      </c>
      <c r="EP17" s="859">
        <v>0.13600000000000001</v>
      </c>
      <c r="EQ17" s="859">
        <v>0.73928876500472063</v>
      </c>
      <c r="ER17" s="859">
        <v>0.16825000000000001</v>
      </c>
      <c r="ES17" s="859">
        <v>0.70734827983742532</v>
      </c>
      <c r="ET17" s="859">
        <v>0.19712418054699141</v>
      </c>
      <c r="EU17" s="859">
        <v>0.71241830065359479</v>
      </c>
      <c r="EV17" s="859">
        <v>0.22333333333333333</v>
      </c>
      <c r="EY17" s="534">
        <v>14</v>
      </c>
      <c r="EZ17" s="862">
        <v>0.81070538109462165</v>
      </c>
      <c r="FA17" s="862">
        <v>9.2249999999999999E-2</v>
      </c>
      <c r="FB17" s="862">
        <v>0.79680365296803657</v>
      </c>
      <c r="FC17" s="862">
        <v>0.11749999999999999</v>
      </c>
      <c r="FD17" s="862">
        <v>0.78499800821229393</v>
      </c>
      <c r="FE17" s="534">
        <v>0.13683333333333333</v>
      </c>
      <c r="FF17" s="862">
        <v>0.72372795614406349</v>
      </c>
      <c r="FG17" s="862">
        <v>0.16833333333333333</v>
      </c>
      <c r="FH17" s="862">
        <v>0.69058626074037099</v>
      </c>
      <c r="FI17" s="862">
        <v>0.19737666864026104</v>
      </c>
      <c r="FJ17" s="862">
        <v>0.68161434977578472</v>
      </c>
      <c r="FK17" s="862">
        <v>0.22683333333333333</v>
      </c>
      <c r="FN17" s="532">
        <v>14</v>
      </c>
      <c r="FO17" s="532">
        <v>0.85477589279820443</v>
      </c>
      <c r="FP17" s="532">
        <v>9.1775000000000009E-2</v>
      </c>
      <c r="FQ17" s="532">
        <v>0.82519072288893258</v>
      </c>
      <c r="FR17" s="532">
        <v>0.112</v>
      </c>
      <c r="FS17" s="532">
        <v>0.79470198675496695</v>
      </c>
      <c r="FT17" s="532">
        <v>0.14749999999999999</v>
      </c>
      <c r="FU17" s="532">
        <v>0.76821192052980125</v>
      </c>
      <c r="FV17" s="532">
        <v>0.16450000000000001</v>
      </c>
      <c r="FW17" s="458">
        <v>0.70666666666666655</v>
      </c>
      <c r="FX17" s="458">
        <v>0.20899999999999999</v>
      </c>
      <c r="FY17" s="532">
        <v>0.70666666666666655</v>
      </c>
      <c r="FZ17" s="532">
        <v>0.20899999999999999</v>
      </c>
      <c r="GG17">
        <v>17</v>
      </c>
      <c r="GH17" s="1066">
        <v>14</v>
      </c>
      <c r="GI17" s="1066">
        <v>0.84654969988416395</v>
      </c>
      <c r="GJ17" s="1066">
        <v>9.3133333333333332E-2</v>
      </c>
      <c r="GK17" s="1066">
        <v>0.79252666491462032</v>
      </c>
      <c r="GL17" s="1066">
        <v>0.11083333333333333</v>
      </c>
      <c r="GM17" s="1066">
        <v>0.7773099505562423</v>
      </c>
      <c r="GN17" s="1066">
        <v>0.14000000000000001</v>
      </c>
      <c r="GO17" s="1066">
        <v>0.72490273717305276</v>
      </c>
      <c r="GP17" s="1066">
        <v>0.17177083333333334</v>
      </c>
      <c r="GQ17" s="1066">
        <v>0.6889385182792106</v>
      </c>
      <c r="GR17" s="1066">
        <v>0.19949999999999998</v>
      </c>
      <c r="GS17" s="1066">
        <v>0.65644408268661736</v>
      </c>
      <c r="GT17" s="1066">
        <v>0.22200000000000003</v>
      </c>
      <c r="HC17" s="1086">
        <v>14</v>
      </c>
      <c r="HD17" s="1086">
        <v>0.87318341265228838</v>
      </c>
      <c r="HE17" s="1086">
        <v>8.989999999999998E-2</v>
      </c>
      <c r="HF17" s="1086">
        <v>0.8165076625682306</v>
      </c>
      <c r="HG17" s="1086">
        <v>0.115</v>
      </c>
      <c r="HH17" s="1086">
        <v>0.76009549299184276</v>
      </c>
      <c r="HI17" s="1086">
        <v>0.14585666666666666</v>
      </c>
      <c r="HJ17" s="1086">
        <v>0.70549586897925698</v>
      </c>
      <c r="HK17" s="1086">
        <v>0.17311111111111113</v>
      </c>
      <c r="HL17" s="1086">
        <v>0.68947400202618181</v>
      </c>
      <c r="HM17" s="1086">
        <v>0.19975000000000001</v>
      </c>
      <c r="HN17" s="1086">
        <v>0.65768175582990396</v>
      </c>
      <c r="HO17" s="1086">
        <v>0.222</v>
      </c>
      <c r="HY17" s="1084">
        <v>14</v>
      </c>
      <c r="HZ17" s="458">
        <v>0.80907603871873146</v>
      </c>
      <c r="IA17" s="458">
        <v>0.11316666666666667</v>
      </c>
      <c r="IB17" s="1084">
        <v>0.83267571581144084</v>
      </c>
      <c r="IC17" s="1084">
        <v>0.11955555555555555</v>
      </c>
      <c r="ID17" s="458">
        <v>0.7423817657959737</v>
      </c>
      <c r="IE17" s="458">
        <v>0.17987500000000001</v>
      </c>
      <c r="IF17" s="1084">
        <v>0.7423817657959737</v>
      </c>
      <c r="IG17" s="1084">
        <v>0.17987500000000001</v>
      </c>
      <c r="IH17" s="1084">
        <v>0.65399851682060262</v>
      </c>
      <c r="II17" s="1084">
        <v>0.25162499999999999</v>
      </c>
      <c r="IU17" s="1171">
        <v>14</v>
      </c>
      <c r="IV17" s="1171">
        <v>0.85044740800702401</v>
      </c>
      <c r="IW17" s="1171">
        <v>9.530000000000001E-2</v>
      </c>
      <c r="IX17" s="1171">
        <v>0.78869162453293773</v>
      </c>
      <c r="IY17" s="1171">
        <v>0.10949999999999999</v>
      </c>
      <c r="IZ17" s="1171">
        <v>0.7788134538818845</v>
      </c>
      <c r="JA17" s="1171">
        <v>0.14749999999999999</v>
      </c>
      <c r="JB17" s="1171">
        <v>0.72817460317460325</v>
      </c>
      <c r="JC17" s="1171">
        <v>0.17574999999999999</v>
      </c>
      <c r="JD17" s="1171">
        <v>0.68672219508511434</v>
      </c>
      <c r="JE17" s="1171">
        <v>0.20100000000000001</v>
      </c>
      <c r="JF17" s="1171">
        <v>0.62740749094686454</v>
      </c>
      <c r="JG17" s="1171">
        <v>0.22688888888888886</v>
      </c>
    </row>
    <row r="18" spans="2:273" ht="15.75" x14ac:dyDescent="0.25">
      <c r="B18" s="289">
        <v>16</v>
      </c>
      <c r="C18" s="330"/>
      <c r="D18" s="331"/>
      <c r="E18" s="331"/>
      <c r="F18" s="332"/>
      <c r="G18" s="330"/>
      <c r="H18" s="331"/>
      <c r="I18" s="331"/>
      <c r="J18" s="331"/>
      <c r="K18" s="339"/>
      <c r="L18" s="340"/>
      <c r="M18" s="340"/>
      <c r="N18" s="341"/>
      <c r="O18" s="339"/>
      <c r="P18" s="340"/>
      <c r="Q18" s="340"/>
      <c r="R18" s="341"/>
      <c r="S18">
        <f>V18/12/3.281*RWDI_FACTORS!$D$7</f>
        <v>162.55206745910797</v>
      </c>
      <c r="T18" s="358"/>
      <c r="U18" s="360"/>
      <c r="V18" s="360">
        <v>16</v>
      </c>
      <c r="W18" s="355">
        <f t="shared" ca="1" si="25"/>
        <v>0.88494804221889867</v>
      </c>
      <c r="X18" s="363">
        <f t="shared" ca="1" si="26"/>
        <v>8.6333333333333331E-2</v>
      </c>
      <c r="Y18" s="355">
        <f t="shared" ca="1" si="27"/>
        <v>0.83314822477350647</v>
      </c>
      <c r="Z18" s="363">
        <f t="shared" ca="1" si="28"/>
        <v>0.11027500000000001</v>
      </c>
      <c r="AA18" s="355">
        <f t="shared" ca="1" si="29"/>
        <v>0.78387248024900114</v>
      </c>
      <c r="AB18" s="363">
        <f t="shared" ca="1" si="30"/>
        <v>0.14001166666666665</v>
      </c>
      <c r="AC18" s="355">
        <f t="shared" ca="1" si="31"/>
        <v>0.72681164303293089</v>
      </c>
      <c r="AD18" s="363">
        <f t="shared" ca="1" si="32"/>
        <v>0.16866666666666666</v>
      </c>
      <c r="AE18" s="355">
        <f t="shared" ca="1" si="33"/>
        <v>0.71938058545176764</v>
      </c>
      <c r="AF18" s="363">
        <f t="shared" ca="1" si="34"/>
        <v>0.19325000000000003</v>
      </c>
      <c r="AG18" s="355">
        <f t="shared" ca="1" si="35"/>
        <v>0.68106995884773669</v>
      </c>
      <c r="AH18" s="363">
        <f t="shared" ca="1" si="36"/>
        <v>0.217</v>
      </c>
      <c r="AI18" s="1108" t="e">
        <f t="shared" ca="1" si="37"/>
        <v>#REF!</v>
      </c>
      <c r="AJ18" s="363" t="e">
        <f t="shared" ca="1" si="38"/>
        <v>#REF!</v>
      </c>
      <c r="AK18" s="1108" t="e">
        <f t="shared" ca="1" si="39"/>
        <v>#REF!</v>
      </c>
      <c r="AL18" s="363" t="e">
        <f t="shared" ca="1" si="40"/>
        <v>#REF!</v>
      </c>
      <c r="AM18" s="1108" t="e">
        <f t="shared" ca="1" si="41"/>
        <v>#REF!</v>
      </c>
      <c r="AN18" s="363" t="e">
        <f t="shared" ca="1" si="42"/>
        <v>#REF!</v>
      </c>
      <c r="AO18" s="1108" t="e">
        <f t="shared" ca="1" si="43"/>
        <v>#REF!</v>
      </c>
      <c r="AP18" s="363" t="e">
        <f t="shared" ca="1" si="44"/>
        <v>#REF!</v>
      </c>
      <c r="AQ18" s="1108" t="e">
        <f t="shared" ca="1" si="45"/>
        <v>#REF!</v>
      </c>
      <c r="AR18" s="363" t="e">
        <f t="shared" ca="1" si="46"/>
        <v>#REF!</v>
      </c>
      <c r="AS18" s="1108" t="e">
        <f t="shared" ca="1" si="47"/>
        <v>#REF!</v>
      </c>
      <c r="AT18" s="363" t="e">
        <f t="shared" ca="1" si="48"/>
        <v>#REF!</v>
      </c>
      <c r="AU18" s="1108" t="e">
        <f t="shared" ca="1" si="49"/>
        <v>#REF!</v>
      </c>
      <c r="AV18" s="363" t="e">
        <f t="shared" ca="1" si="50"/>
        <v>#REF!</v>
      </c>
      <c r="AW18" s="1108" t="e">
        <f t="shared" ca="1" si="51"/>
        <v>#REF!</v>
      </c>
      <c r="AX18" s="363" t="e">
        <f t="shared" ca="1" si="52"/>
        <v>#REF!</v>
      </c>
      <c r="AY18" s="1108" t="e">
        <f t="shared" ca="1" si="53"/>
        <v>#REF!</v>
      </c>
      <c r="AZ18" s="363" t="e">
        <f t="shared" ca="1" si="54"/>
        <v>#REF!</v>
      </c>
      <c r="BA18" s="499"/>
      <c r="BG18" s="520"/>
      <c r="BH18" s="520"/>
      <c r="BI18" s="520"/>
      <c r="BJ18" s="520"/>
      <c r="BK18" s="520"/>
      <c r="BL18" s="520"/>
      <c r="BM18">
        <f t="shared" si="5"/>
        <v>16</v>
      </c>
      <c r="BN18" s="531">
        <f t="shared" ca="1" si="55"/>
        <v>11</v>
      </c>
      <c r="BO18" s="493">
        <f t="shared" si="6"/>
        <v>16</v>
      </c>
      <c r="BP18" s="500">
        <f t="shared" ca="1" si="56"/>
        <v>0.88494804221889867</v>
      </c>
      <c r="BQ18" s="488">
        <f t="shared" ca="1" si="57"/>
        <v>8.6333333333333331E-2</v>
      </c>
      <c r="BR18" s="500">
        <f t="shared" ca="1" si="56"/>
        <v>0.83314822477350647</v>
      </c>
      <c r="BS18" s="488">
        <f t="shared" ca="1" si="57"/>
        <v>0.11027500000000001</v>
      </c>
      <c r="BT18" s="500">
        <f t="shared" ca="1" si="56"/>
        <v>0.78387248024900114</v>
      </c>
      <c r="BU18" s="488">
        <f t="shared" ca="1" si="57"/>
        <v>0.14001166666666665</v>
      </c>
      <c r="BV18" s="500">
        <f t="shared" ca="1" si="56"/>
        <v>0.72681164303293089</v>
      </c>
      <c r="BW18" s="488">
        <f t="shared" ca="1" si="57"/>
        <v>0.16866666666666666</v>
      </c>
      <c r="BX18" s="500">
        <f t="shared" ca="1" si="56"/>
        <v>0.71938058545176764</v>
      </c>
      <c r="BY18" s="488">
        <f t="shared" ca="1" si="57"/>
        <v>0.19325000000000003</v>
      </c>
      <c r="BZ18" s="500">
        <f t="shared" ca="1" si="56"/>
        <v>0.68106995884773669</v>
      </c>
      <c r="CA18" s="488">
        <f t="shared" ca="1" si="57"/>
        <v>0.217</v>
      </c>
      <c r="CB18" s="1106" t="e">
        <f t="shared" ca="1" si="7"/>
        <v>#REF!</v>
      </c>
      <c r="CC18" s="488" t="e">
        <f t="shared" ca="1" si="8"/>
        <v>#REF!</v>
      </c>
      <c r="CD18" s="1106" t="e">
        <f t="shared" ca="1" si="9"/>
        <v>#REF!</v>
      </c>
      <c r="CE18" s="488" t="e">
        <f t="shared" ca="1" si="10"/>
        <v>#REF!</v>
      </c>
      <c r="CF18" s="1106" t="e">
        <f t="shared" ca="1" si="11"/>
        <v>#REF!</v>
      </c>
      <c r="CG18" s="488" t="e">
        <f t="shared" ca="1" si="12"/>
        <v>#REF!</v>
      </c>
      <c r="CH18" s="1106" t="e">
        <f t="shared" ca="1" si="13"/>
        <v>#REF!</v>
      </c>
      <c r="CI18" s="488" t="e">
        <f t="shared" ca="1" si="14"/>
        <v>#REF!</v>
      </c>
      <c r="CJ18" s="1106" t="e">
        <f t="shared" ca="1" si="15"/>
        <v>#REF!</v>
      </c>
      <c r="CK18" s="488" t="e">
        <f t="shared" ca="1" si="16"/>
        <v>#REF!</v>
      </c>
      <c r="CL18" s="1106" t="e">
        <f t="shared" ca="1" si="17"/>
        <v>#REF!</v>
      </c>
      <c r="CM18" s="488" t="e">
        <f t="shared" ca="1" si="18"/>
        <v>#REF!</v>
      </c>
      <c r="CN18" s="1106" t="e">
        <f t="shared" ca="1" si="19"/>
        <v>#REF!</v>
      </c>
      <c r="CO18" s="488" t="e">
        <f t="shared" ca="1" si="20"/>
        <v>#REF!</v>
      </c>
      <c r="CP18" s="1106" t="e">
        <f t="shared" ca="1" si="21"/>
        <v>#REF!</v>
      </c>
      <c r="CQ18" s="488" t="e">
        <f t="shared" ca="1" si="22"/>
        <v>#REF!</v>
      </c>
      <c r="CR18" s="1106" t="e">
        <f t="shared" ca="1" si="23"/>
        <v>#REF!</v>
      </c>
      <c r="CS18" s="488" t="e">
        <f t="shared" ca="1" si="24"/>
        <v>#REF!</v>
      </c>
      <c r="CT18" s="488"/>
      <c r="CU18" s="488"/>
      <c r="CV18" s="84"/>
      <c r="CW18" s="1055"/>
      <c r="CX18" s="1150"/>
      <c r="CY18" s="1150"/>
      <c r="CZ18" s="1150"/>
      <c r="DA18" s="1150"/>
      <c r="DB18" s="1150"/>
      <c r="DC18" s="1150"/>
      <c r="DD18" s="1150"/>
      <c r="DE18" s="1150"/>
      <c r="DF18" s="1150"/>
      <c r="DG18" s="1150"/>
      <c r="DM18" s="552"/>
      <c r="DN18" s="290"/>
      <c r="DS18" s="290"/>
      <c r="DT18" s="290"/>
      <c r="DU18" s="290"/>
      <c r="DV18" s="290"/>
      <c r="DW18" s="290"/>
      <c r="DX18" s="870"/>
      <c r="DY18" s="870"/>
      <c r="DZ18" s="870"/>
      <c r="EJ18" s="857">
        <v>16</v>
      </c>
      <c r="EK18" s="859">
        <v>0.83116883116883111</v>
      </c>
      <c r="EL18" s="859">
        <v>9.2733333333333334E-2</v>
      </c>
      <c r="EM18" s="859">
        <v>0.83207990572636448</v>
      </c>
      <c r="EN18" s="859">
        <v>0.11566666666666665</v>
      </c>
      <c r="EO18" s="859">
        <v>0.81790864668966323</v>
      </c>
      <c r="EP18" s="859">
        <v>0.13200000000000001</v>
      </c>
      <c r="EQ18" s="859">
        <v>0.75592321179696986</v>
      </c>
      <c r="ER18" s="859">
        <v>0.16300000000000001</v>
      </c>
      <c r="ES18" s="859">
        <v>0.72955974842767291</v>
      </c>
      <c r="ET18" s="859">
        <v>0.191</v>
      </c>
      <c r="EU18" s="859">
        <v>0.73856209150326801</v>
      </c>
      <c r="EV18" s="859">
        <v>0.21400000000000002</v>
      </c>
      <c r="EY18" s="534">
        <v>16</v>
      </c>
      <c r="EZ18" s="862">
        <v>0.82410547003833445</v>
      </c>
      <c r="FA18" s="862">
        <v>8.9200000000000002E-2</v>
      </c>
      <c r="FB18" s="862">
        <v>0.81050228310502292</v>
      </c>
      <c r="FC18" s="862">
        <v>0.11333333333333333</v>
      </c>
      <c r="FD18" s="862">
        <v>0.80137280137280142</v>
      </c>
      <c r="FE18" s="534">
        <v>0.13150000000000001</v>
      </c>
      <c r="FF18" s="862">
        <v>0.74388526110002617</v>
      </c>
      <c r="FG18" s="862">
        <v>0.16316666666666665</v>
      </c>
      <c r="FH18" s="862">
        <v>0.71240218915373854</v>
      </c>
      <c r="FI18" s="862">
        <v>0.191</v>
      </c>
      <c r="FJ18" s="862">
        <v>0.70852017937219725</v>
      </c>
      <c r="FK18" s="862">
        <v>0.22066666666666668</v>
      </c>
      <c r="FN18" s="532">
        <v>16</v>
      </c>
      <c r="FO18" s="532">
        <v>0.87130063590556028</v>
      </c>
      <c r="FP18" s="532">
        <v>8.8400000000000006E-2</v>
      </c>
      <c r="FQ18" s="532">
        <v>0.84165081863291569</v>
      </c>
      <c r="FR18" s="532">
        <v>0.1095</v>
      </c>
      <c r="FS18" s="532">
        <v>0.82119205298013254</v>
      </c>
      <c r="FT18" s="532">
        <v>0.14499999999999999</v>
      </c>
      <c r="FU18" s="532">
        <v>0.78476821192052981</v>
      </c>
      <c r="FV18" s="532">
        <v>0.15975</v>
      </c>
      <c r="FW18" s="458">
        <v>0.72983388704318919</v>
      </c>
      <c r="FX18" s="458">
        <v>0.20550000000000002</v>
      </c>
      <c r="FY18" s="532">
        <v>0.72983388704318919</v>
      </c>
      <c r="FZ18" s="532">
        <v>0.20550000000000002</v>
      </c>
      <c r="GG18">
        <v>18</v>
      </c>
      <c r="GH18" s="1066">
        <v>16</v>
      </c>
      <c r="GI18" s="1066">
        <v>0.85806666451616864</v>
      </c>
      <c r="GJ18" s="1066">
        <v>8.8766666666666674E-2</v>
      </c>
      <c r="GK18" s="1066">
        <v>0.80734872390331147</v>
      </c>
      <c r="GL18" s="1066">
        <v>0.10733333333333334</v>
      </c>
      <c r="GM18" s="1066">
        <v>0.79709278612245249</v>
      </c>
      <c r="GN18" s="1066">
        <v>0.13600000000000001</v>
      </c>
      <c r="GO18" s="1066">
        <v>0.74912031865461248</v>
      </c>
      <c r="GP18" s="1066">
        <v>0.16637500000000002</v>
      </c>
      <c r="GQ18" s="1066">
        <v>0.71369115257973303</v>
      </c>
      <c r="GR18" s="1066">
        <v>0.19033333333333335</v>
      </c>
      <c r="GS18" s="1066">
        <v>0.68371527215026706</v>
      </c>
      <c r="GT18" s="1066">
        <v>0.21299999999999999</v>
      </c>
      <c r="HC18" s="1086">
        <v>16</v>
      </c>
      <c r="HD18" s="1086">
        <v>0.88494804221889867</v>
      </c>
      <c r="HE18" s="1086">
        <v>8.6333333333333331E-2</v>
      </c>
      <c r="HF18" s="1086">
        <v>0.83314822477350647</v>
      </c>
      <c r="HG18" s="1086">
        <v>0.11027500000000001</v>
      </c>
      <c r="HH18" s="1086">
        <v>0.78387248024900114</v>
      </c>
      <c r="HI18" s="1086">
        <v>0.14001166666666665</v>
      </c>
      <c r="HJ18" s="1086">
        <v>0.72681164303293089</v>
      </c>
      <c r="HK18" s="1086">
        <v>0.16866666666666666</v>
      </c>
      <c r="HL18" s="1086">
        <v>0.71938058545176764</v>
      </c>
      <c r="HM18" s="1086">
        <v>0.19325000000000003</v>
      </c>
      <c r="HN18" s="1086">
        <v>0.68106995884773669</v>
      </c>
      <c r="HO18" s="1086">
        <v>0.217</v>
      </c>
      <c r="HY18" s="1084">
        <v>16</v>
      </c>
      <c r="HZ18" s="458">
        <v>0.82490136760954114</v>
      </c>
      <c r="IA18" s="458">
        <v>0.109</v>
      </c>
      <c r="IB18" s="1084">
        <v>0.84887753511218711</v>
      </c>
      <c r="IC18" s="1084">
        <v>0.11627777777777777</v>
      </c>
      <c r="ID18" s="458">
        <v>0.76660195121694041</v>
      </c>
      <c r="IE18" s="458">
        <v>0.17452777777777775</v>
      </c>
      <c r="IF18" s="1084">
        <v>0.76660195121694041</v>
      </c>
      <c r="IG18" s="1084">
        <v>0.17452777777777775</v>
      </c>
      <c r="IH18" s="1084">
        <v>0.67810422706128215</v>
      </c>
      <c r="II18" s="1084">
        <v>0.23856249999999998</v>
      </c>
      <c r="IU18" s="1171">
        <v>16</v>
      </c>
      <c r="IV18" s="1171">
        <v>0.86334766109906413</v>
      </c>
      <c r="IW18" s="1171">
        <v>9.1966666666666669E-2</v>
      </c>
      <c r="IX18" s="1171">
        <v>0.80032391608998987</v>
      </c>
      <c r="IY18" s="1171">
        <v>0.105</v>
      </c>
      <c r="IZ18" s="1171">
        <v>0.7974099591975039</v>
      </c>
      <c r="JA18" s="1171">
        <v>0.14000000000000001</v>
      </c>
      <c r="JB18" s="1171">
        <v>0.75066137566137581</v>
      </c>
      <c r="JC18" s="1171">
        <v>0.16799999999999998</v>
      </c>
      <c r="JD18" s="1171">
        <v>0.71436730640635593</v>
      </c>
      <c r="JE18" s="1171">
        <v>0.18900000000000003</v>
      </c>
      <c r="JF18" s="1171">
        <v>0.65242196595699875</v>
      </c>
      <c r="JG18" s="1171">
        <v>0.21974074074074071</v>
      </c>
    </row>
    <row r="19" spans="2:273" ht="15.75" x14ac:dyDescent="0.25">
      <c r="B19" s="289">
        <v>18</v>
      </c>
      <c r="C19" s="330"/>
      <c r="D19" s="331"/>
      <c r="E19" s="331"/>
      <c r="F19" s="332"/>
      <c r="G19" s="330"/>
      <c r="H19" s="331"/>
      <c r="I19" s="331"/>
      <c r="J19" s="331"/>
      <c r="K19" s="339"/>
      <c r="L19" s="340"/>
      <c r="M19" s="340"/>
      <c r="N19" s="341"/>
      <c r="O19" s="339"/>
      <c r="P19" s="340"/>
      <c r="Q19" s="340"/>
      <c r="R19" s="341"/>
      <c r="S19">
        <f>V19/12/3.281*RWDI_FACTORS!$D$7</f>
        <v>203.190084323885</v>
      </c>
      <c r="T19" s="358"/>
      <c r="U19" s="360"/>
      <c r="V19" s="360">
        <v>20</v>
      </c>
      <c r="W19" s="355">
        <f t="shared" ca="1" si="25"/>
        <v>0.90075869521988872</v>
      </c>
      <c r="X19" s="363">
        <f t="shared" ca="1" si="26"/>
        <v>8.111666666666667E-2</v>
      </c>
      <c r="Y19" s="355">
        <f t="shared" ca="1" si="27"/>
        <v>0.85513411932483108</v>
      </c>
      <c r="Z19" s="363">
        <f t="shared" ca="1" si="28"/>
        <v>0.10555</v>
      </c>
      <c r="AA19" s="355">
        <f t="shared" ca="1" si="29"/>
        <v>0.8076494675061594</v>
      </c>
      <c r="AB19" s="363">
        <f t="shared" ca="1" si="30"/>
        <v>0.13416666666666666</v>
      </c>
      <c r="AC19" s="355">
        <f t="shared" ca="1" si="31"/>
        <v>0.76128545060353914</v>
      </c>
      <c r="AD19" s="363">
        <f t="shared" ca="1" si="32"/>
        <v>0.1575</v>
      </c>
      <c r="AE19" s="355">
        <f t="shared" ca="1" si="33"/>
        <v>0.75952242124221381</v>
      </c>
      <c r="AF19" s="363">
        <f t="shared" ca="1" si="34"/>
        <v>0.17774999999999999</v>
      </c>
      <c r="AG19" s="355">
        <f t="shared" ca="1" si="35"/>
        <v>0.72633744855967064</v>
      </c>
      <c r="AH19" s="363">
        <f t="shared" ca="1" si="36"/>
        <v>0.20499999999999999</v>
      </c>
      <c r="AI19" s="1108" t="e">
        <f t="shared" ca="1" si="37"/>
        <v>#REF!</v>
      </c>
      <c r="AJ19" s="363" t="e">
        <f t="shared" ca="1" si="38"/>
        <v>#REF!</v>
      </c>
      <c r="AK19" s="1108" t="e">
        <f t="shared" ca="1" si="39"/>
        <v>#REF!</v>
      </c>
      <c r="AL19" s="363" t="e">
        <f t="shared" ca="1" si="40"/>
        <v>#REF!</v>
      </c>
      <c r="AM19" s="1108" t="e">
        <f t="shared" ca="1" si="41"/>
        <v>#REF!</v>
      </c>
      <c r="AN19" s="363" t="e">
        <f t="shared" ca="1" si="42"/>
        <v>#REF!</v>
      </c>
      <c r="AO19" s="1108" t="e">
        <f t="shared" ca="1" si="43"/>
        <v>#REF!</v>
      </c>
      <c r="AP19" s="363" t="e">
        <f t="shared" ca="1" si="44"/>
        <v>#REF!</v>
      </c>
      <c r="AQ19" s="1108" t="e">
        <f t="shared" ca="1" si="45"/>
        <v>#REF!</v>
      </c>
      <c r="AR19" s="363" t="e">
        <f t="shared" ca="1" si="46"/>
        <v>#REF!</v>
      </c>
      <c r="AS19" s="1108" t="e">
        <f t="shared" ca="1" si="47"/>
        <v>#REF!</v>
      </c>
      <c r="AT19" s="363" t="e">
        <f t="shared" ca="1" si="48"/>
        <v>#REF!</v>
      </c>
      <c r="AU19" s="1108" t="e">
        <f t="shared" ca="1" si="49"/>
        <v>#REF!</v>
      </c>
      <c r="AV19" s="363" t="e">
        <f t="shared" ca="1" si="50"/>
        <v>#REF!</v>
      </c>
      <c r="AW19" s="1108" t="e">
        <f t="shared" ca="1" si="51"/>
        <v>#REF!</v>
      </c>
      <c r="AX19" s="363" t="e">
        <f t="shared" ca="1" si="52"/>
        <v>#REF!</v>
      </c>
      <c r="AY19" s="1108" t="e">
        <f t="shared" ca="1" si="53"/>
        <v>#REF!</v>
      </c>
      <c r="AZ19" s="363" t="e">
        <f t="shared" ca="1" si="54"/>
        <v>#REF!</v>
      </c>
      <c r="BA19" s="499"/>
      <c r="BG19" s="520"/>
      <c r="BH19" s="520"/>
      <c r="BI19" s="520"/>
      <c r="BJ19" s="520"/>
      <c r="BK19" s="520"/>
      <c r="BL19" s="520"/>
      <c r="BM19">
        <f t="shared" si="5"/>
        <v>20</v>
      </c>
      <c r="BN19" s="531">
        <f t="shared" ca="1" si="55"/>
        <v>12</v>
      </c>
      <c r="BO19" s="493">
        <f t="shared" si="6"/>
        <v>20</v>
      </c>
      <c r="BP19" s="500">
        <f t="shared" ca="1" si="56"/>
        <v>0.90075869521988872</v>
      </c>
      <c r="BQ19" s="488">
        <f t="shared" ca="1" si="57"/>
        <v>8.111666666666667E-2</v>
      </c>
      <c r="BR19" s="500">
        <f t="shared" ca="1" si="56"/>
        <v>0.85513411932483108</v>
      </c>
      <c r="BS19" s="488">
        <f t="shared" ca="1" si="57"/>
        <v>0.10555</v>
      </c>
      <c r="BT19" s="500">
        <f t="shared" ca="1" si="56"/>
        <v>0.8076494675061594</v>
      </c>
      <c r="BU19" s="488">
        <f t="shared" ca="1" si="57"/>
        <v>0.13416666666666666</v>
      </c>
      <c r="BV19" s="500">
        <f t="shared" ca="1" si="56"/>
        <v>0.76128545060353914</v>
      </c>
      <c r="BW19" s="488">
        <f t="shared" ca="1" si="57"/>
        <v>0.1575</v>
      </c>
      <c r="BX19" s="500">
        <f t="shared" ca="1" si="56"/>
        <v>0.75952242124221381</v>
      </c>
      <c r="BY19" s="488">
        <f t="shared" ca="1" si="57"/>
        <v>0.17774999999999999</v>
      </c>
      <c r="BZ19" s="500">
        <f t="shared" ca="1" si="56"/>
        <v>0.72633744855967064</v>
      </c>
      <c r="CA19" s="488">
        <f t="shared" ca="1" si="57"/>
        <v>0.20499999999999999</v>
      </c>
      <c r="CB19" s="1106" t="e">
        <f t="shared" ca="1" si="7"/>
        <v>#REF!</v>
      </c>
      <c r="CC19" s="488" t="e">
        <f t="shared" ca="1" si="8"/>
        <v>#REF!</v>
      </c>
      <c r="CD19" s="1106" t="e">
        <f t="shared" ca="1" si="9"/>
        <v>#REF!</v>
      </c>
      <c r="CE19" s="488" t="e">
        <f t="shared" ca="1" si="10"/>
        <v>#REF!</v>
      </c>
      <c r="CF19" s="1106" t="e">
        <f t="shared" ca="1" si="11"/>
        <v>#REF!</v>
      </c>
      <c r="CG19" s="488" t="e">
        <f t="shared" ca="1" si="12"/>
        <v>#REF!</v>
      </c>
      <c r="CH19" s="1106" t="e">
        <f t="shared" ca="1" si="13"/>
        <v>#REF!</v>
      </c>
      <c r="CI19" s="488" t="e">
        <f t="shared" ca="1" si="14"/>
        <v>#REF!</v>
      </c>
      <c r="CJ19" s="1106" t="e">
        <f t="shared" ca="1" si="15"/>
        <v>#REF!</v>
      </c>
      <c r="CK19" s="488" t="e">
        <f t="shared" ca="1" si="16"/>
        <v>#REF!</v>
      </c>
      <c r="CL19" s="1106" t="e">
        <f t="shared" ca="1" si="17"/>
        <v>#REF!</v>
      </c>
      <c r="CM19" s="488" t="e">
        <f t="shared" ca="1" si="18"/>
        <v>#REF!</v>
      </c>
      <c r="CN19" s="1106" t="e">
        <f t="shared" ca="1" si="19"/>
        <v>#REF!</v>
      </c>
      <c r="CO19" s="488" t="e">
        <f t="shared" ca="1" si="20"/>
        <v>#REF!</v>
      </c>
      <c r="CP19" s="1106" t="e">
        <f t="shared" ca="1" si="21"/>
        <v>#REF!</v>
      </c>
      <c r="CQ19" s="488" t="e">
        <f t="shared" ca="1" si="22"/>
        <v>#REF!</v>
      </c>
      <c r="CR19" s="1106" t="e">
        <f t="shared" ca="1" si="23"/>
        <v>#REF!</v>
      </c>
      <c r="CS19" s="488" t="e">
        <f t="shared" ca="1" si="24"/>
        <v>#REF!</v>
      </c>
      <c r="CT19" s="488"/>
      <c r="CU19" s="488"/>
      <c r="CV19" s="84"/>
      <c r="CW19" s="1055"/>
      <c r="CX19" s="1150"/>
      <c r="CY19" s="1150"/>
      <c r="CZ19" s="1150"/>
      <c r="DA19" s="1150"/>
      <c r="DB19" s="1150"/>
      <c r="DC19" s="1150"/>
      <c r="DD19" s="1150"/>
      <c r="DE19" s="1150"/>
      <c r="DF19" s="1150"/>
      <c r="DG19" s="1150"/>
      <c r="DM19" s="552"/>
      <c r="DN19" s="290"/>
      <c r="DS19" s="290"/>
      <c r="DT19" s="290"/>
      <c r="DU19" s="290"/>
      <c r="DV19" s="290"/>
      <c r="DW19" s="290"/>
      <c r="DX19" s="870"/>
      <c r="DY19" s="870"/>
      <c r="DZ19" s="870"/>
      <c r="EJ19" s="857">
        <v>20</v>
      </c>
      <c r="EK19" s="859">
        <v>0.8528138528138528</v>
      </c>
      <c r="EL19" s="859">
        <v>8.950000000000001E-2</v>
      </c>
      <c r="EM19" s="859">
        <v>0.8605457972380558</v>
      </c>
      <c r="EN19" s="859">
        <v>0.11</v>
      </c>
      <c r="EO19" s="859">
        <v>0.84410712797164222</v>
      </c>
      <c r="EP19" s="859">
        <v>0.121</v>
      </c>
      <c r="EQ19" s="859">
        <v>0.77894168952029841</v>
      </c>
      <c r="ER19" s="859">
        <v>0.15350000000000003</v>
      </c>
      <c r="ES19" s="859">
        <v>0.77672955974842772</v>
      </c>
      <c r="ET19" s="859">
        <v>0.18149999999999999</v>
      </c>
      <c r="EU19" s="859">
        <v>0.77124183006535951</v>
      </c>
      <c r="EV19" s="859">
        <v>0.20400000000000001</v>
      </c>
      <c r="EY19" s="534">
        <v>20</v>
      </c>
      <c r="EZ19" s="862">
        <v>0.8453222775325463</v>
      </c>
      <c r="FA19" s="862">
        <v>8.5199999999999998E-2</v>
      </c>
      <c r="FB19" s="862">
        <v>0.84246575342465757</v>
      </c>
      <c r="FC19" s="862">
        <v>0.10916666666666666</v>
      </c>
      <c r="FD19" s="862">
        <v>0.83409174480603054</v>
      </c>
      <c r="FE19" s="534">
        <v>0.12616666666666668</v>
      </c>
      <c r="FF19" s="862">
        <v>0.77627970252131329</v>
      </c>
      <c r="FG19" s="862">
        <v>0.158</v>
      </c>
      <c r="FH19" s="862">
        <v>0.75159437333212731</v>
      </c>
      <c r="FI19" s="862">
        <v>0.18049999999999999</v>
      </c>
      <c r="FJ19" s="862">
        <v>0.74663677130044837</v>
      </c>
      <c r="FK19" s="862">
        <v>0.21033333333333334</v>
      </c>
      <c r="FN19" s="532">
        <v>20</v>
      </c>
      <c r="FO19" s="532">
        <v>0.89105991594604705</v>
      </c>
      <c r="FP19" s="532">
        <v>8.3849999999999994E-2</v>
      </c>
      <c r="FQ19" s="532">
        <v>0.87131396594312194</v>
      </c>
      <c r="FR19" s="532">
        <v>0.10500000000000001</v>
      </c>
      <c r="FS19" s="532">
        <v>0.85430463576158944</v>
      </c>
      <c r="FT19" s="532">
        <v>0.14000000000000001</v>
      </c>
      <c r="FU19" s="532">
        <v>0.81456953642384111</v>
      </c>
      <c r="FV19" s="532">
        <v>0.155</v>
      </c>
      <c r="FW19" s="458">
        <v>0.76660022148394236</v>
      </c>
      <c r="FX19" s="458">
        <v>0.19700000000000001</v>
      </c>
      <c r="FY19" s="532">
        <v>0.76660022148394236</v>
      </c>
      <c r="FZ19" s="532">
        <v>0.19700000000000001</v>
      </c>
      <c r="GG19">
        <v>19</v>
      </c>
      <c r="GH19" s="1066">
        <v>20</v>
      </c>
      <c r="GI19" s="1066">
        <v>0.87506370719309601</v>
      </c>
      <c r="GJ19" s="1066">
        <v>8.4050000000000014E-2</v>
      </c>
      <c r="GK19" s="1066">
        <v>0.83231849499843702</v>
      </c>
      <c r="GL19" s="1066">
        <v>0.10051666666666666</v>
      </c>
      <c r="GM19" s="1066">
        <v>0.82034784391088478</v>
      </c>
      <c r="GN19" s="1066">
        <v>0.13200000000000001</v>
      </c>
      <c r="GO19" s="1066">
        <v>0.78288062412620019</v>
      </c>
      <c r="GP19" s="1066">
        <v>0.15937499999999999</v>
      </c>
      <c r="GQ19" s="1066">
        <v>0.74957032046054373</v>
      </c>
      <c r="GR19" s="1066">
        <v>0.17833333333333334</v>
      </c>
      <c r="GS19" s="1066">
        <v>0.72876812667129687</v>
      </c>
      <c r="GT19" s="1066">
        <v>0.19800000000000001</v>
      </c>
      <c r="HC19" s="1086">
        <v>20</v>
      </c>
      <c r="HD19" s="1086">
        <v>0.90075869521988872</v>
      </c>
      <c r="HE19" s="1086">
        <v>8.111666666666667E-2</v>
      </c>
      <c r="HF19" s="1086">
        <v>0.85513411932483108</v>
      </c>
      <c r="HG19" s="1086">
        <v>0.10555</v>
      </c>
      <c r="HH19" s="1086">
        <v>0.8076494675061594</v>
      </c>
      <c r="HI19" s="1086">
        <v>0.13416666666666666</v>
      </c>
      <c r="HJ19" s="1086">
        <v>0.76128545060353914</v>
      </c>
      <c r="HK19" s="1086">
        <v>0.1575</v>
      </c>
      <c r="HL19" s="1086">
        <v>0.75952242124221381</v>
      </c>
      <c r="HM19" s="1086">
        <v>0.17774999999999999</v>
      </c>
      <c r="HN19" s="1086">
        <v>0.72633744855967064</v>
      </c>
      <c r="HO19" s="1086">
        <v>0.20499999999999999</v>
      </c>
      <c r="HY19" s="1084">
        <v>20</v>
      </c>
      <c r="HZ19" s="458">
        <v>0.84599406114511155</v>
      </c>
      <c r="IA19" s="458">
        <v>0.10345</v>
      </c>
      <c r="IB19" s="1084">
        <v>0.86725119459769995</v>
      </c>
      <c r="IC19" s="1084">
        <v>0.11299999999999999</v>
      </c>
      <c r="ID19" s="458">
        <v>0.79437423718805433</v>
      </c>
      <c r="IE19" s="458">
        <v>0.16693055555555553</v>
      </c>
      <c r="IF19" s="1084">
        <v>0.79437423718805433</v>
      </c>
      <c r="IG19" s="1084">
        <v>0.16693055555555553</v>
      </c>
      <c r="IH19" s="1084">
        <v>0.71942021169015036</v>
      </c>
      <c r="II19" s="1084">
        <v>0.22549999999999998</v>
      </c>
      <c r="IU19" s="1171">
        <v>20</v>
      </c>
      <c r="IV19" s="1171">
        <v>0.8875776494434694</v>
      </c>
      <c r="IW19" s="1171">
        <v>8.6766666666666672E-2</v>
      </c>
      <c r="IX19" s="1171">
        <v>0.82811025423884521</v>
      </c>
      <c r="IY19" s="1171">
        <v>0.10099999999999999</v>
      </c>
      <c r="IZ19" s="1171">
        <v>0.83361158564994553</v>
      </c>
      <c r="JA19" s="1171">
        <v>0.1295</v>
      </c>
      <c r="JB19" s="1171">
        <v>0.78571428571428581</v>
      </c>
      <c r="JC19" s="1171">
        <v>0.1575</v>
      </c>
      <c r="JD19" s="1171">
        <v>0.76031521963394499</v>
      </c>
      <c r="JE19" s="1171">
        <v>0.17516666666666666</v>
      </c>
      <c r="JF19" s="1171">
        <v>0.70060609819707154</v>
      </c>
      <c r="JG19" s="1171">
        <v>0.20150000000000001</v>
      </c>
    </row>
    <row r="20" spans="2:273" ht="15.75" x14ac:dyDescent="0.25">
      <c r="B20" s="289">
        <v>20</v>
      </c>
      <c r="C20" s="330"/>
      <c r="D20" s="331"/>
      <c r="E20" s="331"/>
      <c r="F20" s="332"/>
      <c r="G20" s="330"/>
      <c r="H20" s="331"/>
      <c r="I20" s="331"/>
      <c r="J20" s="331"/>
      <c r="K20" s="339"/>
      <c r="L20" s="340"/>
      <c r="M20" s="340"/>
      <c r="N20" s="341"/>
      <c r="O20" s="339"/>
      <c r="P20" s="340"/>
      <c r="Q20" s="340"/>
      <c r="R20" s="341"/>
      <c r="S20">
        <f>V20/12/3.281*RWDI_FACTORS!$D$7</f>
        <v>243.82810118866195</v>
      </c>
      <c r="T20" s="358"/>
      <c r="U20" s="360"/>
      <c r="V20" s="360">
        <v>24</v>
      </c>
      <c r="W20" s="355">
        <f t="shared" ca="1" si="25"/>
        <v>0.91656934822087877</v>
      </c>
      <c r="X20" s="363">
        <f t="shared" ca="1" si="26"/>
        <v>7.5899999999999995E-2</v>
      </c>
      <c r="Y20" s="355">
        <f t="shared" ca="1" si="27"/>
        <v>0.87544216152716237</v>
      </c>
      <c r="Z20" s="363">
        <f t="shared" ca="1" si="28"/>
        <v>0.10017500000000001</v>
      </c>
      <c r="AA20" s="355">
        <f t="shared" ca="1" si="29"/>
        <v>0.8372675861336244</v>
      </c>
      <c r="AB20" s="363">
        <f t="shared" ca="1" si="30"/>
        <v>0.128</v>
      </c>
      <c r="AC20" s="355">
        <f t="shared" ca="1" si="31"/>
        <v>0.79575925817414739</v>
      </c>
      <c r="AD20" s="363">
        <f t="shared" ca="1" si="32"/>
        <v>0.14911111111111111</v>
      </c>
      <c r="AE20" s="355">
        <f t="shared" ca="1" si="33"/>
        <v>0.79966425703265998</v>
      </c>
      <c r="AF20" s="363">
        <f t="shared" ca="1" si="34"/>
        <v>0.16541666666666666</v>
      </c>
      <c r="AG20" s="355">
        <f t="shared" ca="1" si="35"/>
        <v>0.76954732510288071</v>
      </c>
      <c r="AH20" s="363">
        <f t="shared" ca="1" si="36"/>
        <v>0.19399999999999998</v>
      </c>
      <c r="AI20" s="1108" t="e">
        <f t="shared" ca="1" si="37"/>
        <v>#REF!</v>
      </c>
      <c r="AJ20" s="363" t="e">
        <f t="shared" ca="1" si="38"/>
        <v>#REF!</v>
      </c>
      <c r="AK20" s="1108" t="e">
        <f t="shared" ca="1" si="39"/>
        <v>#REF!</v>
      </c>
      <c r="AL20" s="363" t="e">
        <f t="shared" ca="1" si="40"/>
        <v>#REF!</v>
      </c>
      <c r="AM20" s="1108" t="e">
        <f t="shared" ca="1" si="41"/>
        <v>#REF!</v>
      </c>
      <c r="AN20" s="363" t="e">
        <f t="shared" ca="1" si="42"/>
        <v>#REF!</v>
      </c>
      <c r="AO20" s="1108" t="e">
        <f t="shared" ca="1" si="43"/>
        <v>#REF!</v>
      </c>
      <c r="AP20" s="363" t="e">
        <f t="shared" ca="1" si="44"/>
        <v>#REF!</v>
      </c>
      <c r="AQ20" s="1108" t="e">
        <f t="shared" ca="1" si="45"/>
        <v>#REF!</v>
      </c>
      <c r="AR20" s="363" t="e">
        <f t="shared" ca="1" si="46"/>
        <v>#REF!</v>
      </c>
      <c r="AS20" s="1108" t="e">
        <f t="shared" ca="1" si="47"/>
        <v>#REF!</v>
      </c>
      <c r="AT20" s="363" t="e">
        <f t="shared" ca="1" si="48"/>
        <v>#REF!</v>
      </c>
      <c r="AU20" s="1108" t="e">
        <f t="shared" ca="1" si="49"/>
        <v>#REF!</v>
      </c>
      <c r="AV20" s="363" t="e">
        <f t="shared" ca="1" si="50"/>
        <v>#REF!</v>
      </c>
      <c r="AW20" s="1108" t="e">
        <f t="shared" ca="1" si="51"/>
        <v>#REF!</v>
      </c>
      <c r="AX20" s="363" t="e">
        <f t="shared" ca="1" si="52"/>
        <v>#REF!</v>
      </c>
      <c r="AY20" s="1108" t="e">
        <f t="shared" ca="1" si="53"/>
        <v>#REF!</v>
      </c>
      <c r="AZ20" s="363" t="e">
        <f t="shared" ca="1" si="54"/>
        <v>#REF!</v>
      </c>
      <c r="BA20" s="499"/>
      <c r="BG20" s="520"/>
      <c r="BH20" s="520"/>
      <c r="BI20" s="520"/>
      <c r="BJ20" s="520"/>
      <c r="BK20" s="520"/>
      <c r="BL20" s="520"/>
      <c r="BM20">
        <f t="shared" si="5"/>
        <v>24</v>
      </c>
      <c r="BN20" s="531">
        <f t="shared" ca="1" si="55"/>
        <v>13</v>
      </c>
      <c r="BO20" s="493">
        <f t="shared" si="6"/>
        <v>24</v>
      </c>
      <c r="BP20" s="500">
        <f t="shared" ca="1" si="56"/>
        <v>0.91656934822087877</v>
      </c>
      <c r="BQ20" s="488">
        <f t="shared" ca="1" si="57"/>
        <v>7.5899999999999995E-2</v>
      </c>
      <c r="BR20" s="500">
        <f t="shared" ca="1" si="56"/>
        <v>0.87544216152716237</v>
      </c>
      <c r="BS20" s="488">
        <f t="shared" ca="1" si="57"/>
        <v>0.10017500000000001</v>
      </c>
      <c r="BT20" s="500">
        <f t="shared" ca="1" si="56"/>
        <v>0.8372675861336244</v>
      </c>
      <c r="BU20" s="488">
        <f t="shared" ca="1" si="57"/>
        <v>0.128</v>
      </c>
      <c r="BV20" s="500">
        <f t="shared" ca="1" si="56"/>
        <v>0.79575925817414739</v>
      </c>
      <c r="BW20" s="488">
        <f t="shared" ca="1" si="57"/>
        <v>0.14911111111111111</v>
      </c>
      <c r="BX20" s="500">
        <f t="shared" ca="1" si="56"/>
        <v>0.79966425703265998</v>
      </c>
      <c r="BY20" s="488">
        <f t="shared" ca="1" si="57"/>
        <v>0.16541666666666666</v>
      </c>
      <c r="BZ20" s="500">
        <f t="shared" ca="1" si="56"/>
        <v>0.76954732510288071</v>
      </c>
      <c r="CA20" s="488">
        <f t="shared" ca="1" si="57"/>
        <v>0.19399999999999998</v>
      </c>
      <c r="CB20" s="1106" t="e">
        <f t="shared" ca="1" si="7"/>
        <v>#REF!</v>
      </c>
      <c r="CC20" s="488" t="e">
        <f t="shared" ca="1" si="8"/>
        <v>#REF!</v>
      </c>
      <c r="CD20" s="1106" t="e">
        <f t="shared" ca="1" si="9"/>
        <v>#REF!</v>
      </c>
      <c r="CE20" s="488" t="e">
        <f t="shared" ca="1" si="10"/>
        <v>#REF!</v>
      </c>
      <c r="CF20" s="1106" t="e">
        <f t="shared" ca="1" si="11"/>
        <v>#REF!</v>
      </c>
      <c r="CG20" s="488" t="e">
        <f t="shared" ca="1" si="12"/>
        <v>#REF!</v>
      </c>
      <c r="CH20" s="1106" t="e">
        <f t="shared" ca="1" si="13"/>
        <v>#REF!</v>
      </c>
      <c r="CI20" s="488" t="e">
        <f t="shared" ca="1" si="14"/>
        <v>#REF!</v>
      </c>
      <c r="CJ20" s="1106" t="e">
        <f t="shared" ca="1" si="15"/>
        <v>#REF!</v>
      </c>
      <c r="CK20" s="488" t="e">
        <f t="shared" ca="1" si="16"/>
        <v>#REF!</v>
      </c>
      <c r="CL20" s="1106" t="e">
        <f t="shared" ca="1" si="17"/>
        <v>#REF!</v>
      </c>
      <c r="CM20" s="488" t="e">
        <f t="shared" ca="1" si="18"/>
        <v>#REF!</v>
      </c>
      <c r="CN20" s="1106" t="e">
        <f t="shared" ca="1" si="19"/>
        <v>#REF!</v>
      </c>
      <c r="CO20" s="488" t="e">
        <f t="shared" ca="1" si="20"/>
        <v>#REF!</v>
      </c>
      <c r="CP20" s="1106" t="e">
        <f t="shared" ca="1" si="21"/>
        <v>#REF!</v>
      </c>
      <c r="CQ20" s="488" t="e">
        <f t="shared" ca="1" si="22"/>
        <v>#REF!</v>
      </c>
      <c r="CR20" s="1106" t="e">
        <f t="shared" ca="1" si="23"/>
        <v>#REF!</v>
      </c>
      <c r="CS20" s="488" t="e">
        <f t="shared" ca="1" si="24"/>
        <v>#REF!</v>
      </c>
      <c r="CT20" s="488"/>
      <c r="CU20" s="488"/>
      <c r="CV20" s="84"/>
      <c r="CW20" s="1055"/>
      <c r="CX20" s="1150"/>
      <c r="CY20" s="1150"/>
      <c r="CZ20" s="1150"/>
      <c r="DA20" s="1150"/>
      <c r="DB20" s="1150"/>
      <c r="DC20" s="1150"/>
      <c r="DD20" s="1150"/>
      <c r="DE20" s="1150"/>
      <c r="DF20" s="1150"/>
      <c r="DG20" s="1150"/>
      <c r="DM20" s="552"/>
      <c r="DN20" s="290"/>
      <c r="DS20" s="290"/>
      <c r="DT20" s="290"/>
      <c r="DU20" s="290"/>
      <c r="DV20" s="290"/>
      <c r="DW20" s="290"/>
      <c r="DX20" s="870"/>
      <c r="DY20" s="870"/>
      <c r="DZ20" s="870"/>
      <c r="EJ20" s="857">
        <v>24</v>
      </c>
      <c r="EK20" s="859">
        <v>0.87662337662337675</v>
      </c>
      <c r="EL20" s="859">
        <v>8.48E-2</v>
      </c>
      <c r="EM20" s="859">
        <v>0.88244263686243396</v>
      </c>
      <c r="EN20" s="859">
        <v>0.10433333333333335</v>
      </c>
      <c r="EO20" s="859">
        <v>0.87367965608539122</v>
      </c>
      <c r="EP20" s="859">
        <v>0.1115</v>
      </c>
      <c r="EQ20" s="859">
        <v>0.81859461403587652</v>
      </c>
      <c r="ER20" s="859">
        <v>0.14400000000000002</v>
      </c>
      <c r="ES20" s="859">
        <v>0.80974842767295596</v>
      </c>
      <c r="ET20" s="859">
        <v>0.17075000000000001</v>
      </c>
      <c r="EU20" s="859">
        <v>0.80827886710239638</v>
      </c>
      <c r="EV20" s="859">
        <v>0.192</v>
      </c>
      <c r="EY20" s="534">
        <v>24</v>
      </c>
      <c r="EZ20" s="862">
        <v>0.86653908502675814</v>
      </c>
      <c r="FA20" s="862">
        <v>8.1949999999999995E-2</v>
      </c>
      <c r="FB20" s="862">
        <v>0.86757990867579904</v>
      </c>
      <c r="FC20" s="862">
        <v>0.105</v>
      </c>
      <c r="FD20" s="862">
        <v>0.86118771833057539</v>
      </c>
      <c r="FE20" s="534">
        <v>0.11883333333333333</v>
      </c>
      <c r="FF20" s="862">
        <v>0.81097879758953573</v>
      </c>
      <c r="FG20" s="862">
        <v>0.15049999999999999</v>
      </c>
      <c r="FH20" s="862">
        <v>0.78755258039712339</v>
      </c>
      <c r="FI20" s="862">
        <v>0.17299999999999999</v>
      </c>
      <c r="FJ20" s="862">
        <v>0.78475336322869949</v>
      </c>
      <c r="FK20" s="862">
        <v>0.2</v>
      </c>
      <c r="FN20" s="532">
        <v>24</v>
      </c>
      <c r="FO20" s="532">
        <v>0.91418575483530262</v>
      </c>
      <c r="FP20" s="532">
        <v>8.1699999999999995E-2</v>
      </c>
      <c r="FQ20" s="532">
        <v>0.8943755874702165</v>
      </c>
      <c r="FR20" s="532">
        <v>0.10005</v>
      </c>
      <c r="FS20" s="532">
        <v>0.88079470198675502</v>
      </c>
      <c r="FT20" s="532">
        <v>0.13400000000000001</v>
      </c>
      <c r="FU20" s="532">
        <v>0.85099337748344372</v>
      </c>
      <c r="FV20" s="532">
        <v>0.14899999999999999</v>
      </c>
      <c r="FW20" s="458">
        <v>0.80660022148394228</v>
      </c>
      <c r="FX20" s="458">
        <v>0.189</v>
      </c>
      <c r="FY20" s="532">
        <v>0.80660022148394228</v>
      </c>
      <c r="FZ20" s="532">
        <v>0.189</v>
      </c>
      <c r="GG20">
        <v>20</v>
      </c>
      <c r="GH20" s="1066">
        <v>24</v>
      </c>
      <c r="GI20" s="1066">
        <v>0.89206074987002337</v>
      </c>
      <c r="GJ20" s="1066">
        <v>8.0613888888888888E-2</v>
      </c>
      <c r="GK20" s="1066">
        <v>0.85894396882269386</v>
      </c>
      <c r="GL20" s="1066">
        <v>9.3699999999999992E-2</v>
      </c>
      <c r="GM20" s="1066">
        <v>0.84360290169931706</v>
      </c>
      <c r="GN20" s="1066">
        <v>0.129</v>
      </c>
      <c r="GO20" s="1066">
        <v>0.81492255136230995</v>
      </c>
      <c r="GP20" s="1066">
        <v>0.15162500000000001</v>
      </c>
      <c r="GQ20" s="1066">
        <v>0.78685595810225462</v>
      </c>
      <c r="GR20" s="1066">
        <v>0.16633333333333336</v>
      </c>
      <c r="GS20" s="1066">
        <v>0.77046527649434005</v>
      </c>
      <c r="GT20" s="1066">
        <v>0.18383333333333332</v>
      </c>
      <c r="HC20" s="1086">
        <v>24</v>
      </c>
      <c r="HD20" s="1086">
        <v>0.91656934822087877</v>
      </c>
      <c r="HE20" s="1086">
        <v>7.5899999999999995E-2</v>
      </c>
      <c r="HF20" s="1086">
        <v>0.87544216152716237</v>
      </c>
      <c r="HG20" s="1086">
        <v>0.10017500000000001</v>
      </c>
      <c r="HH20" s="1086">
        <v>0.8372675861336244</v>
      </c>
      <c r="HI20" s="1086">
        <v>0.128</v>
      </c>
      <c r="HJ20" s="1086">
        <v>0.79575925817414739</v>
      </c>
      <c r="HK20" s="1086">
        <v>0.14911111111111111</v>
      </c>
      <c r="HL20" s="1086">
        <v>0.79966425703265998</v>
      </c>
      <c r="HM20" s="1086">
        <v>0.16541666666666666</v>
      </c>
      <c r="HN20" s="1086">
        <v>0.76954732510288071</v>
      </c>
      <c r="HO20" s="1086">
        <v>0.19399999999999998</v>
      </c>
      <c r="HY20" s="1084">
        <v>24</v>
      </c>
      <c r="HZ20" s="458">
        <v>0.86287658055791761</v>
      </c>
      <c r="IA20" s="458">
        <v>0.1</v>
      </c>
      <c r="IB20" s="1084">
        <v>0.89206151237374365</v>
      </c>
      <c r="IC20" s="1084">
        <v>0.10799999999999998</v>
      </c>
      <c r="ID20" s="458">
        <v>0.82871428458454266</v>
      </c>
      <c r="IE20" s="458">
        <v>0.15933333333333333</v>
      </c>
      <c r="IF20" s="1084">
        <v>0.82871428458454266</v>
      </c>
      <c r="IG20" s="1084">
        <v>0.15933333333333333</v>
      </c>
      <c r="IH20" s="1084">
        <v>0.7648621317332972</v>
      </c>
      <c r="II20" s="1084">
        <v>0.21108333333333332</v>
      </c>
      <c r="IU20" s="1171">
        <v>24</v>
      </c>
      <c r="IV20" s="1171">
        <v>0.90547954113189266</v>
      </c>
      <c r="IW20" s="1171">
        <v>8.1833333333333341E-2</v>
      </c>
      <c r="IX20" s="1171">
        <v>0.85589659238770044</v>
      </c>
      <c r="IY20" s="1171">
        <v>9.6000000000000002E-2</v>
      </c>
      <c r="IZ20" s="1171">
        <v>0.85985172034053847</v>
      </c>
      <c r="JA20" s="1171">
        <v>0.12149999999999998</v>
      </c>
      <c r="JB20" s="1171">
        <v>0.82242063492063511</v>
      </c>
      <c r="JC20" s="1171">
        <v>0.14724999999999999</v>
      </c>
      <c r="JD20" s="1171">
        <v>0.79590534756155662</v>
      </c>
      <c r="JE20" s="1171">
        <v>0.16133333333333333</v>
      </c>
      <c r="JF20" s="1171">
        <v>0.74270655868088908</v>
      </c>
      <c r="JG20" s="1171">
        <v>0.18699074074074076</v>
      </c>
    </row>
    <row r="21" spans="2:273" ht="15.75" x14ac:dyDescent="0.25">
      <c r="B21" s="289">
        <v>24</v>
      </c>
      <c r="C21" s="330"/>
      <c r="D21" s="331"/>
      <c r="E21" s="331"/>
      <c r="F21" s="332"/>
      <c r="G21" s="330"/>
      <c r="H21" s="331"/>
      <c r="I21" s="331"/>
      <c r="J21" s="331"/>
      <c r="K21" s="339"/>
      <c r="L21" s="340"/>
      <c r="M21" s="340"/>
      <c r="N21" s="341"/>
      <c r="O21" s="339"/>
      <c r="P21" s="340"/>
      <c r="Q21" s="340"/>
      <c r="R21" s="341"/>
      <c r="S21">
        <f>V21/12/3.281*RWDI_FACTORS!$D$7</f>
        <v>284.466118053439</v>
      </c>
      <c r="T21" s="358"/>
      <c r="U21" s="360"/>
      <c r="V21" s="360">
        <v>28</v>
      </c>
      <c r="W21" s="355">
        <f t="shared" ca="1" si="25"/>
        <v>0.92600140269869036</v>
      </c>
      <c r="X21" s="363">
        <f t="shared" ca="1" si="26"/>
        <v>7.4266666666666661E-2</v>
      </c>
      <c r="Y21" s="355">
        <f t="shared" ca="1" si="27"/>
        <v>0.89232352661585868</v>
      </c>
      <c r="Z21" s="363">
        <f t="shared" ca="1" si="28"/>
        <v>9.4800000000000009E-2</v>
      </c>
      <c r="AA21" s="355">
        <f t="shared" ca="1" si="29"/>
        <v>0.85885829652422307</v>
      </c>
      <c r="AB21" s="363">
        <f t="shared" ca="1" si="30"/>
        <v>0.12322222222222223</v>
      </c>
      <c r="AC21" s="355">
        <f t="shared" ca="1" si="31"/>
        <v>0.82332781553966949</v>
      </c>
      <c r="AD21" s="363">
        <f t="shared" ca="1" si="32"/>
        <v>0.14233333333333334</v>
      </c>
      <c r="AE21" s="355">
        <f t="shared" ca="1" si="33"/>
        <v>0.83953045341158572</v>
      </c>
      <c r="AF21" s="363">
        <f t="shared" ca="1" si="34"/>
        <v>0.15308333333333335</v>
      </c>
      <c r="AG21" s="355">
        <f t="shared" ca="1" si="35"/>
        <v>0.8065843621399178</v>
      </c>
      <c r="AH21" s="363">
        <f t="shared" ca="1" si="36"/>
        <v>0.18066666666666667</v>
      </c>
      <c r="AI21" s="1108" t="e">
        <f t="shared" ca="1" si="37"/>
        <v>#REF!</v>
      </c>
      <c r="AJ21" s="363" t="e">
        <f t="shared" ca="1" si="38"/>
        <v>#REF!</v>
      </c>
      <c r="AK21" s="1108" t="e">
        <f t="shared" ca="1" si="39"/>
        <v>#REF!</v>
      </c>
      <c r="AL21" s="363" t="e">
        <f t="shared" ca="1" si="40"/>
        <v>#REF!</v>
      </c>
      <c r="AM21" s="1108" t="e">
        <f t="shared" ca="1" si="41"/>
        <v>#REF!</v>
      </c>
      <c r="AN21" s="363" t="e">
        <f t="shared" ca="1" si="42"/>
        <v>#REF!</v>
      </c>
      <c r="AO21" s="1108" t="e">
        <f t="shared" ca="1" si="43"/>
        <v>#REF!</v>
      </c>
      <c r="AP21" s="363" t="e">
        <f t="shared" ca="1" si="44"/>
        <v>#REF!</v>
      </c>
      <c r="AQ21" s="1108" t="e">
        <f t="shared" ca="1" si="45"/>
        <v>#REF!</v>
      </c>
      <c r="AR21" s="363" t="e">
        <f t="shared" ca="1" si="46"/>
        <v>#REF!</v>
      </c>
      <c r="AS21" s="1108" t="e">
        <f t="shared" ca="1" si="47"/>
        <v>#REF!</v>
      </c>
      <c r="AT21" s="363" t="e">
        <f t="shared" ca="1" si="48"/>
        <v>#REF!</v>
      </c>
      <c r="AU21" s="1108" t="e">
        <f t="shared" ca="1" si="49"/>
        <v>#REF!</v>
      </c>
      <c r="AV21" s="363" t="e">
        <f t="shared" ca="1" si="50"/>
        <v>#REF!</v>
      </c>
      <c r="AW21" s="1108" t="e">
        <f t="shared" ca="1" si="51"/>
        <v>#REF!</v>
      </c>
      <c r="AX21" s="363" t="e">
        <f t="shared" ca="1" si="52"/>
        <v>#REF!</v>
      </c>
      <c r="AY21" s="1108" t="e">
        <f t="shared" ca="1" si="53"/>
        <v>#REF!</v>
      </c>
      <c r="AZ21" s="363" t="e">
        <f t="shared" ca="1" si="54"/>
        <v>#REF!</v>
      </c>
      <c r="BA21" s="499"/>
      <c r="BG21" s="520"/>
      <c r="BH21" s="520"/>
      <c r="BI21" s="520"/>
      <c r="BJ21" s="520"/>
      <c r="BK21" s="520"/>
      <c r="BL21" s="520"/>
      <c r="BM21">
        <f t="shared" si="5"/>
        <v>28</v>
      </c>
      <c r="BN21" s="531">
        <f t="shared" ca="1" si="55"/>
        <v>14</v>
      </c>
      <c r="BO21" s="493">
        <f t="shared" si="6"/>
        <v>28</v>
      </c>
      <c r="BP21" s="500">
        <f t="shared" ca="1" si="56"/>
        <v>0.92600140269869036</v>
      </c>
      <c r="BQ21" s="488">
        <f t="shared" ca="1" si="57"/>
        <v>7.4266666666666661E-2</v>
      </c>
      <c r="BR21" s="500">
        <f t="shared" ca="1" si="56"/>
        <v>0.89232352661585868</v>
      </c>
      <c r="BS21" s="488">
        <f t="shared" ca="1" si="57"/>
        <v>9.4800000000000009E-2</v>
      </c>
      <c r="BT21" s="500">
        <f t="shared" ca="1" si="56"/>
        <v>0.85885829652422307</v>
      </c>
      <c r="BU21" s="488">
        <f t="shared" ca="1" si="57"/>
        <v>0.12322222222222223</v>
      </c>
      <c r="BV21" s="500">
        <f t="shared" ca="1" si="56"/>
        <v>0.82332781553966949</v>
      </c>
      <c r="BW21" s="488">
        <f t="shared" ca="1" si="57"/>
        <v>0.14233333333333334</v>
      </c>
      <c r="BX21" s="500">
        <f t="shared" ca="1" si="56"/>
        <v>0.83953045341158572</v>
      </c>
      <c r="BY21" s="488">
        <f t="shared" ca="1" si="57"/>
        <v>0.15308333333333335</v>
      </c>
      <c r="BZ21" s="500">
        <f t="shared" ca="1" si="56"/>
        <v>0.8065843621399178</v>
      </c>
      <c r="CA21" s="488">
        <f t="shared" ca="1" si="57"/>
        <v>0.18066666666666667</v>
      </c>
      <c r="CB21" s="1106" t="e">
        <f t="shared" ca="1" si="7"/>
        <v>#REF!</v>
      </c>
      <c r="CC21" s="488" t="e">
        <f t="shared" ca="1" si="8"/>
        <v>#REF!</v>
      </c>
      <c r="CD21" s="1106" t="e">
        <f t="shared" ca="1" si="9"/>
        <v>#REF!</v>
      </c>
      <c r="CE21" s="488" t="e">
        <f t="shared" ca="1" si="10"/>
        <v>#REF!</v>
      </c>
      <c r="CF21" s="1106" t="e">
        <f t="shared" ca="1" si="11"/>
        <v>#REF!</v>
      </c>
      <c r="CG21" s="488" t="e">
        <f t="shared" ca="1" si="12"/>
        <v>#REF!</v>
      </c>
      <c r="CH21" s="1106" t="e">
        <f t="shared" ca="1" si="13"/>
        <v>#REF!</v>
      </c>
      <c r="CI21" s="488" t="e">
        <f t="shared" ca="1" si="14"/>
        <v>#REF!</v>
      </c>
      <c r="CJ21" s="1106" t="e">
        <f t="shared" ca="1" si="15"/>
        <v>#REF!</v>
      </c>
      <c r="CK21" s="488" t="e">
        <f t="shared" ca="1" si="16"/>
        <v>#REF!</v>
      </c>
      <c r="CL21" s="1106" t="e">
        <f t="shared" ca="1" si="17"/>
        <v>#REF!</v>
      </c>
      <c r="CM21" s="488" t="e">
        <f t="shared" ca="1" si="18"/>
        <v>#REF!</v>
      </c>
      <c r="CN21" s="1106" t="e">
        <f t="shared" ca="1" si="19"/>
        <v>#REF!</v>
      </c>
      <c r="CO21" s="488" t="e">
        <f t="shared" ca="1" si="20"/>
        <v>#REF!</v>
      </c>
      <c r="CP21" s="1106" t="e">
        <f t="shared" ca="1" si="21"/>
        <v>#REF!</v>
      </c>
      <c r="CQ21" s="488" t="e">
        <f t="shared" ca="1" si="22"/>
        <v>#REF!</v>
      </c>
      <c r="CR21" s="1106" t="e">
        <f t="shared" ca="1" si="23"/>
        <v>#REF!</v>
      </c>
      <c r="CS21" s="488" t="e">
        <f t="shared" ca="1" si="24"/>
        <v>#REF!</v>
      </c>
      <c r="CT21" s="488"/>
      <c r="CU21" s="488"/>
      <c r="CV21" s="84"/>
      <c r="CW21" s="1055"/>
      <c r="CX21" s="1150"/>
      <c r="CY21" s="1150"/>
      <c r="CZ21" s="1150"/>
      <c r="DA21" s="1150"/>
      <c r="DB21" s="1150"/>
      <c r="DC21" s="1150"/>
      <c r="DD21" s="1150"/>
      <c r="DE21" s="1150"/>
      <c r="DF21" s="1150"/>
      <c r="DG21" s="1150"/>
      <c r="DM21" s="552"/>
      <c r="DN21" s="290"/>
      <c r="DS21" s="290"/>
      <c r="DT21" s="290"/>
      <c r="DU21" s="290"/>
      <c r="DV21" s="290"/>
      <c r="DW21" s="290"/>
      <c r="DX21" s="870"/>
      <c r="DY21" s="870"/>
      <c r="DZ21" s="870"/>
      <c r="EJ21" s="857">
        <v>28</v>
      </c>
      <c r="EK21" s="859">
        <v>0.89826839826839822</v>
      </c>
      <c r="EL21" s="859">
        <v>8.1583333333333341E-2</v>
      </c>
      <c r="EM21" s="859">
        <v>0.90324463450559311</v>
      </c>
      <c r="EN21" s="859">
        <v>9.8750000000000004E-2</v>
      </c>
      <c r="EO21" s="859">
        <v>0.89332851704687555</v>
      </c>
      <c r="EP21" s="859">
        <v>0.10575000000000001</v>
      </c>
      <c r="EQ21" s="859">
        <v>0.84822191251180146</v>
      </c>
      <c r="ER21" s="859">
        <v>0.13750000000000001</v>
      </c>
      <c r="ES21" s="859">
        <v>0.8427672955974842</v>
      </c>
      <c r="ET21" s="859">
        <v>0.16</v>
      </c>
      <c r="EU21" s="859">
        <v>0.84967320261437895</v>
      </c>
      <c r="EV21" s="859">
        <v>0.18033333333333332</v>
      </c>
      <c r="EY21" s="534">
        <v>28</v>
      </c>
      <c r="EZ21" s="862">
        <v>0.88440587028504181</v>
      </c>
      <c r="FA21" s="862">
        <v>7.8700000000000006E-2</v>
      </c>
      <c r="FB21" s="862">
        <v>0.88584474885844744</v>
      </c>
      <c r="FC21" s="862">
        <v>0.1008</v>
      </c>
      <c r="FD21" s="862">
        <v>0.88488233131090266</v>
      </c>
      <c r="FE21" s="534">
        <v>0.11266666666666665</v>
      </c>
      <c r="FF21" s="862">
        <v>0.84227714291472677</v>
      </c>
      <c r="FG21" s="862">
        <v>0.14083333333333331</v>
      </c>
      <c r="FH21" s="862">
        <v>0.8202315798995885</v>
      </c>
      <c r="FI21" s="862">
        <v>0.16449999999999998</v>
      </c>
      <c r="FJ21" s="862">
        <v>0.82062780269058277</v>
      </c>
      <c r="FK21" s="862">
        <v>0.18966666666666665</v>
      </c>
      <c r="FN21" s="532">
        <v>28</v>
      </c>
      <c r="FO21" s="532">
        <v>0.92738794639910227</v>
      </c>
      <c r="FP21" s="532">
        <v>7.955000000000001E-2</v>
      </c>
      <c r="FQ21" s="532">
        <v>0.91743720899731129</v>
      </c>
      <c r="FR21" s="532">
        <v>9.509999999999999E-2</v>
      </c>
      <c r="FS21" s="532">
        <v>0.9072847682119205</v>
      </c>
      <c r="FT21" s="532">
        <v>0.128</v>
      </c>
      <c r="FU21" s="532">
        <v>0.88741721854304645</v>
      </c>
      <c r="FV21" s="532">
        <v>0.14250000000000002</v>
      </c>
      <c r="FW21" s="458">
        <v>0.8433001107419712</v>
      </c>
      <c r="FX21" s="458">
        <v>0.17899999999999999</v>
      </c>
      <c r="FY21" s="532">
        <v>0.8433001107419712</v>
      </c>
      <c r="FZ21" s="532">
        <v>0.17899999999999999</v>
      </c>
      <c r="GG21">
        <v>21</v>
      </c>
      <c r="GH21" s="1066">
        <v>28</v>
      </c>
      <c r="GI21" s="1066">
        <v>0.90485733892528653</v>
      </c>
      <c r="GJ21" s="1066">
        <v>7.7177777777777776E-2</v>
      </c>
      <c r="GK21" s="1066">
        <v>0.88115490024259535</v>
      </c>
      <c r="GL21" s="1066">
        <v>8.9111111111111099E-2</v>
      </c>
      <c r="GM21" s="1066">
        <v>0.86650870398810242</v>
      </c>
      <c r="GN21" s="1066">
        <v>0.12588888888888888</v>
      </c>
      <c r="GO21" s="1066">
        <v>0.84496106706644736</v>
      </c>
      <c r="GP21" s="1066">
        <v>0.14604166666666665</v>
      </c>
      <c r="GQ21" s="1066">
        <v>0.82185736637054008</v>
      </c>
      <c r="GR21" s="1066">
        <v>0.15688888888888888</v>
      </c>
      <c r="GS21" s="1066">
        <v>0.80957949799143425</v>
      </c>
      <c r="GT21" s="1066">
        <v>0.16966666666666669</v>
      </c>
      <c r="HC21" s="1086">
        <v>28</v>
      </c>
      <c r="HD21" s="1086">
        <v>0.92600140269869036</v>
      </c>
      <c r="HE21" s="1086">
        <v>7.4266666666666661E-2</v>
      </c>
      <c r="HF21" s="1086">
        <v>0.89232352661585868</v>
      </c>
      <c r="HG21" s="1086">
        <v>9.4800000000000009E-2</v>
      </c>
      <c r="HH21" s="1086">
        <v>0.85885829652422307</v>
      </c>
      <c r="HI21" s="1086">
        <v>0.12322222222222223</v>
      </c>
      <c r="HJ21" s="1086">
        <v>0.82332781553966949</v>
      </c>
      <c r="HK21" s="1086">
        <v>0.14233333333333334</v>
      </c>
      <c r="HL21" s="1086">
        <v>0.83953045341158572</v>
      </c>
      <c r="HM21" s="1086">
        <v>0.15308333333333335</v>
      </c>
      <c r="HN21" s="1086">
        <v>0.8065843621399178</v>
      </c>
      <c r="HO21" s="1086">
        <v>0.18066666666666667</v>
      </c>
      <c r="HY21" s="1084">
        <v>28</v>
      </c>
      <c r="HZ21" s="458">
        <v>0.88326293141505519</v>
      </c>
      <c r="IA21" s="458">
        <v>9.5466666666666672E-2</v>
      </c>
      <c r="IB21" s="1084">
        <v>0.90717135571543273</v>
      </c>
      <c r="IC21" s="1084">
        <v>0.10517222222222222</v>
      </c>
      <c r="ID21" s="458">
        <v>0.85288196833380336</v>
      </c>
      <c r="IE21" s="458">
        <v>0.15222222222222223</v>
      </c>
      <c r="IF21" s="1084">
        <v>0.85288196833380336</v>
      </c>
      <c r="IG21" s="1084">
        <v>0.15222222222222223</v>
      </c>
      <c r="IH21" s="1084">
        <v>0.79347401065192469</v>
      </c>
      <c r="II21" s="1084">
        <v>0.19666666666666666</v>
      </c>
      <c r="IU21" s="1171">
        <v>28</v>
      </c>
      <c r="IV21" s="1171">
        <v>0.92141776495093841</v>
      </c>
      <c r="IW21" s="1171">
        <v>7.5899999999999995E-2</v>
      </c>
      <c r="IX21" s="1171">
        <v>0.87399133773962778</v>
      </c>
      <c r="IY21" s="1171">
        <v>9.1000000000000011E-2</v>
      </c>
      <c r="IZ21" s="1171">
        <v>0.88375943293001447</v>
      </c>
      <c r="JA21" s="1171">
        <v>0.11749999999999999</v>
      </c>
      <c r="JB21" s="1171">
        <v>0.84656084656084662</v>
      </c>
      <c r="JC21" s="1171">
        <v>0.13699999999999998</v>
      </c>
      <c r="JD21" s="1171">
        <v>0.82838692802886083</v>
      </c>
      <c r="JE21" s="1171">
        <v>0.15133333333333332</v>
      </c>
      <c r="JF21" s="1171">
        <v>0.78480701916470663</v>
      </c>
      <c r="JG21" s="1171">
        <v>0.17248148148148151</v>
      </c>
    </row>
    <row r="22" spans="2:273" ht="15.75" x14ac:dyDescent="0.25">
      <c r="B22" s="289">
        <v>28</v>
      </c>
      <c r="C22" s="330"/>
      <c r="D22" s="331"/>
      <c r="E22" s="331"/>
      <c r="F22" s="332"/>
      <c r="G22" s="330"/>
      <c r="H22" s="331"/>
      <c r="I22" s="331"/>
      <c r="J22" s="331"/>
      <c r="K22" s="339"/>
      <c r="L22" s="340"/>
      <c r="M22" s="340"/>
      <c r="N22" s="341"/>
      <c r="O22" s="339"/>
      <c r="P22" s="340"/>
      <c r="Q22" s="340"/>
      <c r="R22" s="341"/>
      <c r="S22">
        <f>V22/12/3.281*RWDI_FACTORS!$D$7</f>
        <v>325.10413491821595</v>
      </c>
      <c r="T22" s="358"/>
      <c r="U22" s="360"/>
      <c r="V22" s="360">
        <v>32</v>
      </c>
      <c r="W22" s="355">
        <f t="shared" ca="1" si="25"/>
        <v>0.93543345717650195</v>
      </c>
      <c r="X22" s="363">
        <f t="shared" ca="1" si="26"/>
        <v>7.2633333333333341E-2</v>
      </c>
      <c r="Y22" s="355">
        <f t="shared" ca="1" si="27"/>
        <v>0.90864560758822388</v>
      </c>
      <c r="Z22" s="363">
        <f t="shared" ca="1" si="28"/>
        <v>9.1900000000000009E-2</v>
      </c>
      <c r="AA22" s="355">
        <f t="shared" ca="1" si="29"/>
        <v>0.88106556622271326</v>
      </c>
      <c r="AB22" s="363">
        <f t="shared" ca="1" si="30"/>
        <v>0.11726</v>
      </c>
      <c r="AC22" s="355">
        <f t="shared" ca="1" si="31"/>
        <v>0.85089637290519171</v>
      </c>
      <c r="AD22" s="363">
        <f t="shared" ca="1" si="32"/>
        <v>0.13522222222222222</v>
      </c>
      <c r="AE22" s="355">
        <f t="shared" ca="1" si="33"/>
        <v>0.861343771348691</v>
      </c>
      <c r="AF22" s="363">
        <f t="shared" ca="1" si="34"/>
        <v>0.14716666666666667</v>
      </c>
      <c r="AG22" s="355">
        <f t="shared" ca="1" si="35"/>
        <v>0.84224965706447186</v>
      </c>
      <c r="AH22" s="363">
        <f t="shared" ca="1" si="36"/>
        <v>0.17033333333333331</v>
      </c>
      <c r="AI22" s="1108" t="e">
        <f t="shared" ca="1" si="37"/>
        <v>#REF!</v>
      </c>
      <c r="AJ22" s="363" t="e">
        <f t="shared" ca="1" si="38"/>
        <v>#REF!</v>
      </c>
      <c r="AK22" s="1108" t="e">
        <f t="shared" ca="1" si="39"/>
        <v>#REF!</v>
      </c>
      <c r="AL22" s="363" t="e">
        <f t="shared" ca="1" si="40"/>
        <v>#REF!</v>
      </c>
      <c r="AM22" s="1108" t="e">
        <f t="shared" ca="1" si="41"/>
        <v>#REF!</v>
      </c>
      <c r="AN22" s="363" t="e">
        <f t="shared" ca="1" si="42"/>
        <v>#REF!</v>
      </c>
      <c r="AO22" s="1108" t="e">
        <f t="shared" ca="1" si="43"/>
        <v>#REF!</v>
      </c>
      <c r="AP22" s="363" t="e">
        <f t="shared" ca="1" si="44"/>
        <v>#REF!</v>
      </c>
      <c r="AQ22" s="1108" t="e">
        <f t="shared" ca="1" si="45"/>
        <v>#REF!</v>
      </c>
      <c r="AR22" s="363" t="e">
        <f t="shared" ca="1" si="46"/>
        <v>#REF!</v>
      </c>
      <c r="AS22" s="1108" t="e">
        <f t="shared" ca="1" si="47"/>
        <v>#REF!</v>
      </c>
      <c r="AT22" s="363" t="e">
        <f t="shared" ca="1" si="48"/>
        <v>#REF!</v>
      </c>
      <c r="AU22" s="1108" t="e">
        <f t="shared" ca="1" si="49"/>
        <v>#REF!</v>
      </c>
      <c r="AV22" s="363" t="e">
        <f t="shared" ca="1" si="50"/>
        <v>#REF!</v>
      </c>
      <c r="AW22" s="1108" t="e">
        <f t="shared" ca="1" si="51"/>
        <v>#REF!</v>
      </c>
      <c r="AX22" s="363" t="e">
        <f t="shared" ca="1" si="52"/>
        <v>#REF!</v>
      </c>
      <c r="AY22" s="1108" t="e">
        <f t="shared" ca="1" si="53"/>
        <v>#REF!</v>
      </c>
      <c r="AZ22" s="363" t="e">
        <f t="shared" ca="1" si="54"/>
        <v>#REF!</v>
      </c>
      <c r="BA22" s="499"/>
      <c r="BG22" s="520"/>
      <c r="BH22" s="520"/>
      <c r="BI22" s="520"/>
      <c r="BJ22" s="520"/>
      <c r="BK22" s="520"/>
      <c r="BL22" s="520"/>
      <c r="BM22">
        <f t="shared" si="5"/>
        <v>32</v>
      </c>
      <c r="BN22" s="531">
        <f t="shared" ca="1" si="55"/>
        <v>15</v>
      </c>
      <c r="BO22" s="493">
        <f t="shared" si="6"/>
        <v>32</v>
      </c>
      <c r="BP22" s="500">
        <f t="shared" ca="1" si="56"/>
        <v>0.93543345717650195</v>
      </c>
      <c r="BQ22" s="488">
        <f t="shared" ca="1" si="57"/>
        <v>7.2633333333333341E-2</v>
      </c>
      <c r="BR22" s="500">
        <f t="shared" ca="1" si="56"/>
        <v>0.90864560758822388</v>
      </c>
      <c r="BS22" s="488">
        <f t="shared" ca="1" si="57"/>
        <v>9.1900000000000009E-2</v>
      </c>
      <c r="BT22" s="500">
        <f t="shared" ca="1" si="56"/>
        <v>0.88106556622271326</v>
      </c>
      <c r="BU22" s="488">
        <f t="shared" ca="1" si="57"/>
        <v>0.11726</v>
      </c>
      <c r="BV22" s="500">
        <f t="shared" ca="1" si="56"/>
        <v>0.85089637290519171</v>
      </c>
      <c r="BW22" s="488">
        <f t="shared" ca="1" si="57"/>
        <v>0.13522222222222222</v>
      </c>
      <c r="BX22" s="500">
        <f t="shared" ca="1" si="56"/>
        <v>0.861343771348691</v>
      </c>
      <c r="BY22" s="488">
        <f t="shared" ca="1" si="57"/>
        <v>0.14716666666666667</v>
      </c>
      <c r="BZ22" s="500">
        <f t="shared" ca="1" si="56"/>
        <v>0.84224965706447186</v>
      </c>
      <c r="CA22" s="488">
        <f t="shared" ca="1" si="57"/>
        <v>0.17033333333333331</v>
      </c>
      <c r="CB22" s="1106" t="e">
        <f t="shared" ca="1" si="7"/>
        <v>#REF!</v>
      </c>
      <c r="CC22" s="488" t="e">
        <f t="shared" ca="1" si="8"/>
        <v>#REF!</v>
      </c>
      <c r="CD22" s="1106" t="e">
        <f t="shared" ca="1" si="9"/>
        <v>#REF!</v>
      </c>
      <c r="CE22" s="488" t="e">
        <f t="shared" ca="1" si="10"/>
        <v>#REF!</v>
      </c>
      <c r="CF22" s="1106" t="e">
        <f t="shared" ca="1" si="11"/>
        <v>#REF!</v>
      </c>
      <c r="CG22" s="488" t="e">
        <f t="shared" ca="1" si="12"/>
        <v>#REF!</v>
      </c>
      <c r="CH22" s="1106" t="e">
        <f t="shared" ca="1" si="13"/>
        <v>#REF!</v>
      </c>
      <c r="CI22" s="488" t="e">
        <f t="shared" ca="1" si="14"/>
        <v>#REF!</v>
      </c>
      <c r="CJ22" s="1106" t="e">
        <f t="shared" ca="1" si="15"/>
        <v>#REF!</v>
      </c>
      <c r="CK22" s="488" t="e">
        <f t="shared" ca="1" si="16"/>
        <v>#REF!</v>
      </c>
      <c r="CL22" s="1106" t="e">
        <f t="shared" ca="1" si="17"/>
        <v>#REF!</v>
      </c>
      <c r="CM22" s="488" t="e">
        <f t="shared" ca="1" si="18"/>
        <v>#REF!</v>
      </c>
      <c r="CN22" s="1106" t="e">
        <f t="shared" ca="1" si="19"/>
        <v>#REF!</v>
      </c>
      <c r="CO22" s="488" t="e">
        <f t="shared" ca="1" si="20"/>
        <v>#REF!</v>
      </c>
      <c r="CP22" s="1106" t="e">
        <f t="shared" ca="1" si="21"/>
        <v>#REF!</v>
      </c>
      <c r="CQ22" s="488" t="e">
        <f t="shared" ca="1" si="22"/>
        <v>#REF!</v>
      </c>
      <c r="CR22" s="1106" t="e">
        <f t="shared" ca="1" si="23"/>
        <v>#REF!</v>
      </c>
      <c r="CS22" s="488" t="e">
        <f t="shared" ca="1" si="24"/>
        <v>#REF!</v>
      </c>
      <c r="CT22" s="488"/>
      <c r="CU22" s="488"/>
      <c r="CV22" s="84"/>
      <c r="CW22" s="1055"/>
      <c r="CX22" s="1150"/>
      <c r="CY22" s="1150"/>
      <c r="CZ22" s="1150"/>
      <c r="DA22" s="1150"/>
      <c r="DB22" s="1150"/>
      <c r="DC22" s="1150"/>
      <c r="DD22" s="1150"/>
      <c r="DE22" s="1150"/>
      <c r="DF22" s="1150"/>
      <c r="DG22" s="1150"/>
      <c r="DM22" s="552"/>
      <c r="DN22" s="290"/>
      <c r="DS22" s="290"/>
      <c r="DT22" s="290"/>
      <c r="DU22" s="290"/>
      <c r="DV22" s="290"/>
      <c r="DW22" s="290"/>
      <c r="DX22" s="870"/>
      <c r="DY22" s="870"/>
      <c r="DZ22" s="870"/>
      <c r="EJ22" s="857">
        <v>32</v>
      </c>
      <c r="EK22" s="859">
        <v>0.91558441558441539</v>
      </c>
      <c r="EL22" s="859">
        <v>7.8675000000000009E-2</v>
      </c>
      <c r="EM22" s="859">
        <v>0.92404663214875216</v>
      </c>
      <c r="EN22" s="859">
        <v>9.3166666666666675E-2</v>
      </c>
      <c r="EO22" s="859">
        <v>0.91615295149708442</v>
      </c>
      <c r="EP22" s="859">
        <v>0.1</v>
      </c>
      <c r="EQ22" s="859">
        <v>0.88126601627478318</v>
      </c>
      <c r="ER22" s="859">
        <v>0.1275</v>
      </c>
      <c r="ES22" s="859">
        <v>0.87264150943396224</v>
      </c>
      <c r="ET22" s="859">
        <v>0.1515</v>
      </c>
      <c r="EU22" s="859">
        <v>0.88235294117647045</v>
      </c>
      <c r="EV22" s="859">
        <v>0.17099999999999999</v>
      </c>
      <c r="EY22" s="534">
        <v>32</v>
      </c>
      <c r="EZ22" s="862">
        <v>0.90227265554332547</v>
      </c>
      <c r="FA22" s="862">
        <v>7.7083333333333337E-2</v>
      </c>
      <c r="FB22" s="862">
        <v>0.90410958904109584</v>
      </c>
      <c r="FC22" s="862">
        <v>9.6600000000000005E-2</v>
      </c>
      <c r="FD22" s="862">
        <v>0.90858460501317651</v>
      </c>
      <c r="FE22" s="534">
        <v>0.10716666666666667</v>
      </c>
      <c r="FF22" s="862">
        <v>0.87134580889614444</v>
      </c>
      <c r="FG22" s="862">
        <v>0.13258333333333333</v>
      </c>
      <c r="FH22" s="862">
        <v>0.85291057940205373</v>
      </c>
      <c r="FI22" s="862">
        <v>0.156</v>
      </c>
      <c r="FJ22" s="862">
        <v>0.85426008968609846</v>
      </c>
      <c r="FK22" s="862">
        <v>0.17766666666666667</v>
      </c>
      <c r="FN22" s="532">
        <v>32</v>
      </c>
      <c r="FO22" s="532">
        <v>0.94391268950645812</v>
      </c>
      <c r="FP22" s="532">
        <v>7.5750000000000012E-2</v>
      </c>
      <c r="FQ22" s="532">
        <v>0.93724178634664568</v>
      </c>
      <c r="FR22" s="532">
        <v>8.9849999999999985E-2</v>
      </c>
      <c r="FS22" s="532">
        <v>0.92715231788079477</v>
      </c>
      <c r="FT22" s="532">
        <v>0.122</v>
      </c>
      <c r="FU22" s="532">
        <v>0.92384105960264906</v>
      </c>
      <c r="FV22" s="532">
        <v>0.13400000000000001</v>
      </c>
      <c r="FW22" s="458">
        <v>0.87663344407530441</v>
      </c>
      <c r="FX22" s="458">
        <v>0.17149999999999999</v>
      </c>
      <c r="FY22" s="532">
        <v>0.87663344407530441</v>
      </c>
      <c r="FZ22" s="532">
        <v>0.17149999999999999</v>
      </c>
      <c r="GG22">
        <v>22</v>
      </c>
      <c r="GH22" s="1066">
        <v>32</v>
      </c>
      <c r="GI22" s="1066">
        <v>0.91765392798054968</v>
      </c>
      <c r="GJ22" s="1066">
        <v>7.5022222222222212E-2</v>
      </c>
      <c r="GK22" s="1066">
        <v>0.90336583166249684</v>
      </c>
      <c r="GL22" s="1066">
        <v>8.4522222222222221E-2</v>
      </c>
      <c r="GM22" s="1066">
        <v>0.8894145062768879</v>
      </c>
      <c r="GN22" s="1066">
        <v>0.12277777777777779</v>
      </c>
      <c r="GO22" s="1066">
        <v>0.87384999173659372</v>
      </c>
      <c r="GP22" s="1066">
        <v>0.14050000000000001</v>
      </c>
      <c r="GQ22" s="1066">
        <v>0.85002735008588159</v>
      </c>
      <c r="GR22" s="1066">
        <v>0.14844444444444443</v>
      </c>
      <c r="GS22" s="1066">
        <v>0.84534188526885568</v>
      </c>
      <c r="GT22" s="1066">
        <v>0.15941666666666665</v>
      </c>
      <c r="HC22" s="1086">
        <v>32</v>
      </c>
      <c r="HD22" s="1086">
        <v>0.93543345717650195</v>
      </c>
      <c r="HE22" s="1086">
        <v>7.2633333333333341E-2</v>
      </c>
      <c r="HF22" s="1086">
        <v>0.90864560758822388</v>
      </c>
      <c r="HG22" s="1086">
        <v>9.1900000000000009E-2</v>
      </c>
      <c r="HH22" s="1086">
        <v>0.88106556622271326</v>
      </c>
      <c r="HI22" s="1086">
        <v>0.11726</v>
      </c>
      <c r="HJ22" s="1086">
        <v>0.85089637290519171</v>
      </c>
      <c r="HK22" s="1086">
        <v>0.13522222222222222</v>
      </c>
      <c r="HL22" s="1086">
        <v>0.861343771348691</v>
      </c>
      <c r="HM22" s="1086">
        <v>0.14716666666666667</v>
      </c>
      <c r="HN22" s="1086">
        <v>0.84224965706447186</v>
      </c>
      <c r="HO22" s="1086">
        <v>0.17033333333333331</v>
      </c>
      <c r="HY22" s="1084">
        <v>32</v>
      </c>
      <c r="HZ22" s="458">
        <v>0.90154419521081053</v>
      </c>
      <c r="IA22" s="458">
        <v>9.1266666666666676E-2</v>
      </c>
      <c r="IB22" s="1084">
        <v>0.9222811990571218</v>
      </c>
      <c r="IC22" s="1084">
        <v>0.10231666666666667</v>
      </c>
      <c r="ID22" s="458">
        <v>0.87777940335255022</v>
      </c>
      <c r="IE22" s="458">
        <v>0.14577777777777778</v>
      </c>
      <c r="IF22" s="1084">
        <v>0.87777940335255022</v>
      </c>
      <c r="IG22" s="1084">
        <v>0.14577777777777778</v>
      </c>
      <c r="IH22" s="1084">
        <v>0.82346120137531187</v>
      </c>
      <c r="II22" s="1084">
        <v>0.18833333333333332</v>
      </c>
      <c r="IU22" s="1171">
        <v>32</v>
      </c>
      <c r="IV22" s="1171">
        <v>0.93474237417137374</v>
      </c>
      <c r="IW22" s="1171">
        <v>7.1999999999999995E-2</v>
      </c>
      <c r="IX22" s="1171">
        <v>0.8956386370887055</v>
      </c>
      <c r="IY22" s="1171">
        <v>8.564999999999999E-2</v>
      </c>
      <c r="IZ22" s="1171">
        <v>0.89903941182284086</v>
      </c>
      <c r="JA22" s="1171">
        <v>0.11375</v>
      </c>
      <c r="JB22" s="1171">
        <v>0.88260582010582012</v>
      </c>
      <c r="JC22" s="1171">
        <v>0.13149999999999998</v>
      </c>
      <c r="JD22" s="1171">
        <v>0.85364626109026387</v>
      </c>
      <c r="JE22" s="1171">
        <v>0.14366666666666666</v>
      </c>
      <c r="JF22" s="1171">
        <v>0.82159557714033904</v>
      </c>
      <c r="JG22" s="1171">
        <v>0.16570370370370369</v>
      </c>
    </row>
    <row r="23" spans="2:273" ht="15.75" x14ac:dyDescent="0.25">
      <c r="B23" s="289">
        <v>32</v>
      </c>
      <c r="C23" s="330"/>
      <c r="D23" s="331"/>
      <c r="E23" s="331"/>
      <c r="F23" s="332"/>
      <c r="G23" s="330"/>
      <c r="H23" s="331"/>
      <c r="I23" s="331"/>
      <c r="J23" s="331"/>
      <c r="K23" s="339"/>
      <c r="L23" s="340"/>
      <c r="M23" s="340"/>
      <c r="N23" s="341"/>
      <c r="O23" s="339"/>
      <c r="P23" s="340"/>
      <c r="Q23" s="340"/>
      <c r="R23" s="341"/>
      <c r="S23">
        <f>V23/12/3.281*RWDI_FACTORS!$D$7</f>
        <v>365.74215178299301</v>
      </c>
      <c r="T23" s="358"/>
      <c r="U23" s="360"/>
      <c r="V23" s="360">
        <v>36</v>
      </c>
      <c r="W23" s="355">
        <f t="shared" ca="1" si="25"/>
        <v>0.94486551165431343</v>
      </c>
      <c r="X23" s="363">
        <f t="shared" ca="1" si="26"/>
        <v>7.1000000000000008E-2</v>
      </c>
      <c r="Y23" s="355">
        <f t="shared" ca="1" si="27"/>
        <v>0.92440840444425776</v>
      </c>
      <c r="Z23" s="363">
        <f t="shared" ca="1" si="28"/>
        <v>8.900000000000001E-2</v>
      </c>
      <c r="AA23" s="355">
        <f t="shared" ca="1" si="29"/>
        <v>0.89845088492623371</v>
      </c>
      <c r="AB23" s="363">
        <f t="shared" ca="1" si="30"/>
        <v>0.11366666666666667</v>
      </c>
      <c r="AC23" s="355">
        <f t="shared" ca="1" si="31"/>
        <v>0.87846493027071371</v>
      </c>
      <c r="AD23" s="363">
        <f t="shared" ca="1" si="32"/>
        <v>0.12866666666666668</v>
      </c>
      <c r="AE23" s="355">
        <f t="shared" ca="1" si="33"/>
        <v>0.89566037916957575</v>
      </c>
      <c r="AF23" s="363">
        <f t="shared" ca="1" si="34"/>
        <v>0.13705000000000001</v>
      </c>
      <c r="AG23" s="355">
        <f t="shared" ca="1" si="35"/>
        <v>0.87654320987654311</v>
      </c>
      <c r="AH23" s="363">
        <f t="shared" ca="1" si="36"/>
        <v>0.16300000000000001</v>
      </c>
      <c r="AI23" s="1108" t="e">
        <f t="shared" ca="1" si="37"/>
        <v>#REF!</v>
      </c>
      <c r="AJ23" s="363" t="e">
        <f t="shared" ca="1" si="38"/>
        <v>#REF!</v>
      </c>
      <c r="AK23" s="1108" t="e">
        <f t="shared" ca="1" si="39"/>
        <v>#REF!</v>
      </c>
      <c r="AL23" s="363" t="e">
        <f t="shared" ca="1" si="40"/>
        <v>#REF!</v>
      </c>
      <c r="AM23" s="1108" t="e">
        <f t="shared" ca="1" si="41"/>
        <v>#REF!</v>
      </c>
      <c r="AN23" s="363" t="e">
        <f t="shared" ca="1" si="42"/>
        <v>#REF!</v>
      </c>
      <c r="AO23" s="1108" t="e">
        <f t="shared" ca="1" si="43"/>
        <v>#REF!</v>
      </c>
      <c r="AP23" s="363" t="e">
        <f t="shared" ca="1" si="44"/>
        <v>#REF!</v>
      </c>
      <c r="AQ23" s="1108" t="e">
        <f t="shared" ca="1" si="45"/>
        <v>#REF!</v>
      </c>
      <c r="AR23" s="363" t="e">
        <f t="shared" ca="1" si="46"/>
        <v>#REF!</v>
      </c>
      <c r="AS23" s="1108" t="e">
        <f t="shared" ca="1" si="47"/>
        <v>#REF!</v>
      </c>
      <c r="AT23" s="363" t="e">
        <f t="shared" ca="1" si="48"/>
        <v>#REF!</v>
      </c>
      <c r="AU23" s="1108" t="e">
        <f t="shared" ca="1" si="49"/>
        <v>#REF!</v>
      </c>
      <c r="AV23" s="363" t="e">
        <f t="shared" ca="1" si="50"/>
        <v>#REF!</v>
      </c>
      <c r="AW23" s="1108" t="e">
        <f t="shared" ca="1" si="51"/>
        <v>#REF!</v>
      </c>
      <c r="AX23" s="363" t="e">
        <f t="shared" ca="1" si="52"/>
        <v>#REF!</v>
      </c>
      <c r="AY23" s="1108" t="e">
        <f t="shared" ca="1" si="53"/>
        <v>#REF!</v>
      </c>
      <c r="AZ23" s="363" t="e">
        <f t="shared" ca="1" si="54"/>
        <v>#REF!</v>
      </c>
      <c r="BA23" s="499"/>
      <c r="BG23" s="520"/>
      <c r="BH23" s="520"/>
      <c r="BI23" s="520"/>
      <c r="BJ23" s="520"/>
      <c r="BK23" s="520"/>
      <c r="BL23" s="520"/>
      <c r="BM23">
        <f t="shared" si="5"/>
        <v>36</v>
      </c>
      <c r="BN23" s="531">
        <f t="shared" ca="1" si="55"/>
        <v>16</v>
      </c>
      <c r="BO23" s="493">
        <f t="shared" si="6"/>
        <v>36</v>
      </c>
      <c r="BP23" s="500">
        <f t="shared" ca="1" si="56"/>
        <v>0.94486551165431343</v>
      </c>
      <c r="BQ23" s="488">
        <f t="shared" ca="1" si="57"/>
        <v>7.1000000000000008E-2</v>
      </c>
      <c r="BR23" s="500">
        <f t="shared" ca="1" si="56"/>
        <v>0.92440840444425776</v>
      </c>
      <c r="BS23" s="488">
        <f t="shared" ca="1" si="57"/>
        <v>8.900000000000001E-2</v>
      </c>
      <c r="BT23" s="500">
        <f t="shared" ca="1" si="56"/>
        <v>0.89845088492623371</v>
      </c>
      <c r="BU23" s="488">
        <f t="shared" ca="1" si="57"/>
        <v>0.11366666666666667</v>
      </c>
      <c r="BV23" s="500">
        <f t="shared" ca="1" si="56"/>
        <v>0.87846493027071371</v>
      </c>
      <c r="BW23" s="488">
        <f t="shared" ca="1" si="57"/>
        <v>0.12866666666666668</v>
      </c>
      <c r="BX23" s="500">
        <f t="shared" ca="1" si="56"/>
        <v>0.89566037916957575</v>
      </c>
      <c r="BY23" s="488">
        <f t="shared" ca="1" si="57"/>
        <v>0.13705000000000001</v>
      </c>
      <c r="BZ23" s="500">
        <f t="shared" ca="1" si="56"/>
        <v>0.87654320987654311</v>
      </c>
      <c r="CA23" s="488">
        <f t="shared" ca="1" si="57"/>
        <v>0.16300000000000001</v>
      </c>
      <c r="CB23" s="1106" t="e">
        <f t="shared" ca="1" si="7"/>
        <v>#REF!</v>
      </c>
      <c r="CC23" s="488" t="e">
        <f t="shared" ca="1" si="8"/>
        <v>#REF!</v>
      </c>
      <c r="CD23" s="1106" t="e">
        <f t="shared" ca="1" si="9"/>
        <v>#REF!</v>
      </c>
      <c r="CE23" s="488" t="e">
        <f t="shared" ca="1" si="10"/>
        <v>#REF!</v>
      </c>
      <c r="CF23" s="1106" t="e">
        <f t="shared" ca="1" si="11"/>
        <v>#REF!</v>
      </c>
      <c r="CG23" s="488" t="e">
        <f t="shared" ca="1" si="12"/>
        <v>#REF!</v>
      </c>
      <c r="CH23" s="1106" t="e">
        <f t="shared" ca="1" si="13"/>
        <v>#REF!</v>
      </c>
      <c r="CI23" s="488" t="e">
        <f t="shared" ca="1" si="14"/>
        <v>#REF!</v>
      </c>
      <c r="CJ23" s="1106" t="e">
        <f t="shared" ca="1" si="15"/>
        <v>#REF!</v>
      </c>
      <c r="CK23" s="488" t="e">
        <f t="shared" ca="1" si="16"/>
        <v>#REF!</v>
      </c>
      <c r="CL23" s="1106" t="e">
        <f t="shared" ca="1" si="17"/>
        <v>#REF!</v>
      </c>
      <c r="CM23" s="488" t="e">
        <f t="shared" ca="1" si="18"/>
        <v>#REF!</v>
      </c>
      <c r="CN23" s="1106" t="e">
        <f t="shared" ca="1" si="19"/>
        <v>#REF!</v>
      </c>
      <c r="CO23" s="488" t="e">
        <f t="shared" ca="1" si="20"/>
        <v>#REF!</v>
      </c>
      <c r="CP23" s="1106" t="e">
        <f t="shared" ca="1" si="21"/>
        <v>#REF!</v>
      </c>
      <c r="CQ23" s="488" t="e">
        <f t="shared" ca="1" si="22"/>
        <v>#REF!</v>
      </c>
      <c r="CR23" s="1106" t="e">
        <f t="shared" ca="1" si="23"/>
        <v>#REF!</v>
      </c>
      <c r="CS23" s="488" t="e">
        <f t="shared" ca="1" si="24"/>
        <v>#REF!</v>
      </c>
      <c r="CT23" s="488"/>
      <c r="CU23" s="488"/>
      <c r="CV23" s="84"/>
      <c r="CW23" s="1055"/>
      <c r="CX23" s="1150"/>
      <c r="CY23" s="1150"/>
      <c r="CZ23" s="1150"/>
      <c r="DA23" s="1150"/>
      <c r="DB23" s="1150"/>
      <c r="DC23" s="1150"/>
      <c r="DD23" s="1150"/>
      <c r="DE23" s="1150"/>
      <c r="DF23" s="1150"/>
      <c r="DG23" s="1150"/>
      <c r="DM23" s="552"/>
      <c r="DN23" s="290"/>
      <c r="DS23" s="290"/>
      <c r="DT23" s="290"/>
      <c r="DU23" s="290"/>
      <c r="DV23" s="290"/>
      <c r="DW23" s="290"/>
      <c r="DX23" s="870"/>
      <c r="DY23" s="870"/>
      <c r="DZ23" s="870"/>
      <c r="EJ23" s="857">
        <v>36</v>
      </c>
      <c r="EK23" s="859">
        <v>0.9329004329004329</v>
      </c>
      <c r="EL23" s="859">
        <v>7.5766666666666677E-2</v>
      </c>
      <c r="EM23" s="859">
        <v>0.93937441988581682</v>
      </c>
      <c r="EN23" s="859">
        <v>8.7883333333333341E-2</v>
      </c>
      <c r="EO23" s="859">
        <v>0.93580181245856875</v>
      </c>
      <c r="EP23" s="859">
        <v>9.4899999999999984E-2</v>
      </c>
      <c r="EQ23" s="859">
        <v>0.90428449399811173</v>
      </c>
      <c r="ER23" s="859">
        <v>0.11899999999999999</v>
      </c>
      <c r="ES23" s="859">
        <v>0.90251572327044016</v>
      </c>
      <c r="ET23" s="859">
        <v>0.14299999999999999</v>
      </c>
      <c r="EU23" s="859">
        <v>0.91285403050108915</v>
      </c>
      <c r="EV23" s="859">
        <v>0.159</v>
      </c>
      <c r="EY23" s="534">
        <v>36</v>
      </c>
      <c r="EZ23" s="862">
        <v>0.92237278895889452</v>
      </c>
      <c r="FA23" s="862">
        <v>7.5466666666666668E-2</v>
      </c>
      <c r="FB23" s="862">
        <v>0.92351598173515992</v>
      </c>
      <c r="FC23" s="862">
        <v>9.2200000000000004E-2</v>
      </c>
      <c r="FD23" s="862">
        <v>0.93003462646319779</v>
      </c>
      <c r="FE23" s="534">
        <v>0.10062500000000001</v>
      </c>
      <c r="FF23" s="862">
        <v>0.89484390430699157</v>
      </c>
      <c r="FG23" s="862">
        <v>0.12433333333333334</v>
      </c>
      <c r="FH23" s="862">
        <v>0.8790537790040257</v>
      </c>
      <c r="FI23" s="862">
        <v>0.14800000000000002</v>
      </c>
      <c r="FJ23" s="862">
        <v>0.8811659192825112</v>
      </c>
      <c r="FK23" s="862">
        <v>0.16900000000000001</v>
      </c>
      <c r="FN23" s="532">
        <v>36</v>
      </c>
      <c r="FO23" s="532">
        <v>0.95711488107025766</v>
      </c>
      <c r="FP23" s="532">
        <v>7.2950000000000001E-2</v>
      </c>
      <c r="FQ23" s="532">
        <v>0.95704636369597995</v>
      </c>
      <c r="FR23" s="532">
        <v>8.5449999999999998E-2</v>
      </c>
      <c r="FS23" s="532">
        <v>0.96026490066225167</v>
      </c>
      <c r="FT23" s="532">
        <v>0.115</v>
      </c>
      <c r="FU23" s="532">
        <v>0.94701986754966894</v>
      </c>
      <c r="FV23" s="532">
        <v>0.1275</v>
      </c>
      <c r="FW23" s="458">
        <v>0.91320044296788483</v>
      </c>
      <c r="FX23" s="458">
        <v>0.15875</v>
      </c>
      <c r="FY23" s="532">
        <v>0.91320044296788483</v>
      </c>
      <c r="FZ23" s="532">
        <v>0.15875</v>
      </c>
      <c r="GG23">
        <v>23</v>
      </c>
      <c r="GH23" s="1066">
        <v>36</v>
      </c>
      <c r="GI23" s="1066">
        <v>0.93045051703581283</v>
      </c>
      <c r="GJ23" s="1066">
        <v>7.2866666666666663E-2</v>
      </c>
      <c r="GK23" s="1066">
        <v>0.92557676308239822</v>
      </c>
      <c r="GL23" s="1066">
        <v>7.9933333333333328E-2</v>
      </c>
      <c r="GM23" s="1066">
        <v>0.91232030856567325</v>
      </c>
      <c r="GN23" s="1066">
        <v>0.11966666666666667</v>
      </c>
      <c r="GO23" s="1066">
        <v>0.90158932537274894</v>
      </c>
      <c r="GP23" s="1066">
        <v>0.13500000000000001</v>
      </c>
      <c r="GQ23" s="1066">
        <v>0.88241674308392393</v>
      </c>
      <c r="GR23" s="1066">
        <v>0.14272222222222219</v>
      </c>
      <c r="GS23" s="1066">
        <v>0.87775243832660421</v>
      </c>
      <c r="GT23" s="1066">
        <v>0.15025000000000002</v>
      </c>
      <c r="HC23" s="1086">
        <v>36</v>
      </c>
      <c r="HD23" s="1086">
        <v>0.94486551165431343</v>
      </c>
      <c r="HE23" s="1086">
        <v>7.1000000000000008E-2</v>
      </c>
      <c r="HF23" s="1086">
        <v>0.92440840444425776</v>
      </c>
      <c r="HG23" s="1086">
        <v>8.900000000000001E-2</v>
      </c>
      <c r="HH23" s="1086">
        <v>0.89845088492623371</v>
      </c>
      <c r="HI23" s="1086">
        <v>0.11366666666666667</v>
      </c>
      <c r="HJ23" s="1086">
        <v>0.87846493027071371</v>
      </c>
      <c r="HK23" s="1086">
        <v>0.12866666666666668</v>
      </c>
      <c r="HL23" s="1086">
        <v>0.89566037916957575</v>
      </c>
      <c r="HM23" s="1086">
        <v>0.13705000000000001</v>
      </c>
      <c r="HN23" s="1086">
        <v>0.87654320987654311</v>
      </c>
      <c r="HO23" s="1086">
        <v>0.16300000000000001</v>
      </c>
      <c r="HY23" s="1084">
        <v>36</v>
      </c>
      <c r="HZ23" s="458">
        <v>0.91772037194518374</v>
      </c>
      <c r="IA23" s="458">
        <v>8.7400000000000005E-2</v>
      </c>
      <c r="IB23" s="1084">
        <v>0.93739104239881066</v>
      </c>
      <c r="IC23" s="1084">
        <v>9.9433333333333332E-2</v>
      </c>
      <c r="ID23" s="458">
        <v>0.90340658964078313</v>
      </c>
      <c r="IE23" s="458">
        <v>0.14000000000000001</v>
      </c>
      <c r="IF23" s="1084">
        <v>0.90340658964078313</v>
      </c>
      <c r="IG23" s="1084">
        <v>0.14000000000000001</v>
      </c>
      <c r="IH23" s="1084">
        <v>0.85482370390345852</v>
      </c>
      <c r="II23" s="1084">
        <v>0.17699999999999999</v>
      </c>
      <c r="IU23" s="1171">
        <v>36</v>
      </c>
      <c r="IV23" s="1171">
        <v>0.94564353593107831</v>
      </c>
      <c r="IW23" s="1171">
        <v>6.8066666666666678E-2</v>
      </c>
      <c r="IX23" s="1171">
        <v>0.9137327560720172</v>
      </c>
      <c r="IY23" s="1171">
        <v>8.1625000000000003E-2</v>
      </c>
      <c r="IZ23" s="1171">
        <v>0.91913225867935444</v>
      </c>
      <c r="JA23" s="1171">
        <v>0.11</v>
      </c>
      <c r="JB23" s="1171">
        <v>0.90178571428571441</v>
      </c>
      <c r="JC23" s="1171">
        <v>0.126</v>
      </c>
      <c r="JD23" s="1171">
        <v>0.88575933505300364</v>
      </c>
      <c r="JE23" s="1171">
        <v>0.13866666666666666</v>
      </c>
      <c r="JF23" s="1171">
        <v>0.85838413511597145</v>
      </c>
      <c r="JG23" s="1171">
        <v>0.15631481481481482</v>
      </c>
    </row>
    <row r="24" spans="2:273" ht="15.75" x14ac:dyDescent="0.25">
      <c r="B24" s="289">
        <v>36</v>
      </c>
      <c r="C24" s="330"/>
      <c r="D24" s="331"/>
      <c r="E24" s="331"/>
      <c r="F24" s="332"/>
      <c r="G24" s="330"/>
      <c r="H24" s="331"/>
      <c r="I24" s="331"/>
      <c r="J24" s="331"/>
      <c r="K24" s="339"/>
      <c r="L24" s="340"/>
      <c r="M24" s="340"/>
      <c r="N24" s="341"/>
      <c r="O24" s="339"/>
      <c r="P24" s="340"/>
      <c r="Q24" s="340"/>
      <c r="R24" s="341"/>
      <c r="S24">
        <f>V24/12/3.281*RWDI_FACTORS!$D$7</f>
        <v>406.38016864777001</v>
      </c>
      <c r="T24" s="358"/>
      <c r="U24" s="360"/>
      <c r="V24" s="360">
        <v>40</v>
      </c>
      <c r="W24" s="355">
        <f t="shared" ca="1" si="25"/>
        <v>0.95341490484815894</v>
      </c>
      <c r="X24" s="363">
        <f t="shared" ca="1" si="26"/>
        <v>7.0444444444444448E-2</v>
      </c>
      <c r="Y24" s="355">
        <f t="shared" ca="1" si="27"/>
        <v>0.93852580294951582</v>
      </c>
      <c r="Z24" s="363">
        <f t="shared" ca="1" si="28"/>
        <v>8.6500000000000007E-2</v>
      </c>
      <c r="AA24" s="355">
        <f t="shared" ca="1" si="29"/>
        <v>0.91583620362975415</v>
      </c>
      <c r="AB24" s="363">
        <f t="shared" ca="1" si="30"/>
        <v>0.10833333333333334</v>
      </c>
      <c r="AC24" s="355">
        <f t="shared" ca="1" si="31"/>
        <v>0.90102294034923247</v>
      </c>
      <c r="AD24" s="363">
        <f t="shared" ca="1" si="32"/>
        <v>0.12222222222222222</v>
      </c>
      <c r="AE24" s="355">
        <f t="shared" ca="1" si="33"/>
        <v>0.9162291897183773</v>
      </c>
      <c r="AF24" s="363">
        <f t="shared" ca="1" si="34"/>
        <v>0.12984999999999999</v>
      </c>
      <c r="AG24" s="355">
        <f t="shared" ca="1" si="35"/>
        <v>0.89917695473251025</v>
      </c>
      <c r="AH24" s="363">
        <f t="shared" ca="1" si="36"/>
        <v>0.155</v>
      </c>
      <c r="AI24" s="1108" t="e">
        <f t="shared" ca="1" si="37"/>
        <v>#REF!</v>
      </c>
      <c r="AJ24" s="363" t="e">
        <f t="shared" ca="1" si="38"/>
        <v>#REF!</v>
      </c>
      <c r="AK24" s="1108" t="e">
        <f t="shared" ca="1" si="39"/>
        <v>#REF!</v>
      </c>
      <c r="AL24" s="363" t="e">
        <f t="shared" ca="1" si="40"/>
        <v>#REF!</v>
      </c>
      <c r="AM24" s="1108" t="e">
        <f t="shared" ca="1" si="41"/>
        <v>#REF!</v>
      </c>
      <c r="AN24" s="363" t="e">
        <f t="shared" ca="1" si="42"/>
        <v>#REF!</v>
      </c>
      <c r="AO24" s="1108" t="e">
        <f t="shared" ca="1" si="43"/>
        <v>#REF!</v>
      </c>
      <c r="AP24" s="363" t="e">
        <f t="shared" ca="1" si="44"/>
        <v>#REF!</v>
      </c>
      <c r="AQ24" s="1108" t="e">
        <f t="shared" ca="1" si="45"/>
        <v>#REF!</v>
      </c>
      <c r="AR24" s="363" t="e">
        <f t="shared" ca="1" si="46"/>
        <v>#REF!</v>
      </c>
      <c r="AS24" s="1108" t="e">
        <f t="shared" ca="1" si="47"/>
        <v>#REF!</v>
      </c>
      <c r="AT24" s="363" t="e">
        <f t="shared" ca="1" si="48"/>
        <v>#REF!</v>
      </c>
      <c r="AU24" s="1108" t="e">
        <f t="shared" ca="1" si="49"/>
        <v>#REF!</v>
      </c>
      <c r="AV24" s="363" t="e">
        <f t="shared" ca="1" si="50"/>
        <v>#REF!</v>
      </c>
      <c r="AW24" s="1108" t="e">
        <f t="shared" ca="1" si="51"/>
        <v>#REF!</v>
      </c>
      <c r="AX24" s="363" t="e">
        <f t="shared" ca="1" si="52"/>
        <v>#REF!</v>
      </c>
      <c r="AY24" s="1108" t="e">
        <f t="shared" ca="1" si="53"/>
        <v>#REF!</v>
      </c>
      <c r="AZ24" s="363" t="e">
        <f t="shared" ca="1" si="54"/>
        <v>#REF!</v>
      </c>
      <c r="BA24" s="499"/>
      <c r="BG24" s="520"/>
      <c r="BH24" s="520"/>
      <c r="BI24" s="520"/>
      <c r="BJ24" s="520"/>
      <c r="BK24" s="520"/>
      <c r="BL24" s="520"/>
      <c r="BM24">
        <f t="shared" si="5"/>
        <v>40</v>
      </c>
      <c r="BN24" s="531">
        <f t="shared" ca="1" si="55"/>
        <v>17</v>
      </c>
      <c r="BO24" s="493">
        <f t="shared" si="6"/>
        <v>40</v>
      </c>
      <c r="BP24" s="500">
        <f t="shared" ca="1" si="56"/>
        <v>0.95341490484815894</v>
      </c>
      <c r="BQ24" s="488">
        <f t="shared" ca="1" si="57"/>
        <v>7.0444444444444448E-2</v>
      </c>
      <c r="BR24" s="500">
        <f t="shared" ca="1" si="56"/>
        <v>0.93852580294951582</v>
      </c>
      <c r="BS24" s="488">
        <f t="shared" ca="1" si="57"/>
        <v>8.6500000000000007E-2</v>
      </c>
      <c r="BT24" s="500">
        <f t="shared" ca="1" si="56"/>
        <v>0.91583620362975415</v>
      </c>
      <c r="BU24" s="488">
        <f t="shared" ca="1" si="57"/>
        <v>0.10833333333333334</v>
      </c>
      <c r="BV24" s="500">
        <f t="shared" ca="1" si="56"/>
        <v>0.90102294034923247</v>
      </c>
      <c r="BW24" s="488">
        <f t="shared" ca="1" si="57"/>
        <v>0.12222222222222222</v>
      </c>
      <c r="BX24" s="500">
        <f t="shared" ca="1" si="56"/>
        <v>0.9162291897183773</v>
      </c>
      <c r="BY24" s="488">
        <f t="shared" ca="1" si="57"/>
        <v>0.12984999999999999</v>
      </c>
      <c r="BZ24" s="500">
        <f t="shared" ca="1" si="56"/>
        <v>0.89917695473251025</v>
      </c>
      <c r="CA24" s="488">
        <f t="shared" ca="1" si="57"/>
        <v>0.155</v>
      </c>
      <c r="CB24" s="1106" t="e">
        <f t="shared" ca="1" si="7"/>
        <v>#REF!</v>
      </c>
      <c r="CC24" s="488" t="e">
        <f t="shared" ca="1" si="8"/>
        <v>#REF!</v>
      </c>
      <c r="CD24" s="1106" t="e">
        <f t="shared" ca="1" si="9"/>
        <v>#REF!</v>
      </c>
      <c r="CE24" s="488" t="e">
        <f t="shared" ca="1" si="10"/>
        <v>#REF!</v>
      </c>
      <c r="CF24" s="1106" t="e">
        <f t="shared" ca="1" si="11"/>
        <v>#REF!</v>
      </c>
      <c r="CG24" s="488" t="e">
        <f t="shared" ca="1" si="12"/>
        <v>#REF!</v>
      </c>
      <c r="CH24" s="1106" t="e">
        <f t="shared" ca="1" si="13"/>
        <v>#REF!</v>
      </c>
      <c r="CI24" s="488" t="e">
        <f t="shared" ca="1" si="14"/>
        <v>#REF!</v>
      </c>
      <c r="CJ24" s="1106" t="e">
        <f t="shared" ca="1" si="15"/>
        <v>#REF!</v>
      </c>
      <c r="CK24" s="488" t="e">
        <f t="shared" ca="1" si="16"/>
        <v>#REF!</v>
      </c>
      <c r="CL24" s="1106" t="e">
        <f t="shared" ca="1" si="17"/>
        <v>#REF!</v>
      </c>
      <c r="CM24" s="488" t="e">
        <f t="shared" ca="1" si="18"/>
        <v>#REF!</v>
      </c>
      <c r="CN24" s="1106" t="e">
        <f t="shared" ca="1" si="19"/>
        <v>#REF!</v>
      </c>
      <c r="CO24" s="488" t="e">
        <f t="shared" ca="1" si="20"/>
        <v>#REF!</v>
      </c>
      <c r="CP24" s="1106" t="e">
        <f t="shared" ca="1" si="21"/>
        <v>#REF!</v>
      </c>
      <c r="CQ24" s="488" t="e">
        <f t="shared" ca="1" si="22"/>
        <v>#REF!</v>
      </c>
      <c r="CR24" s="1106" t="e">
        <f t="shared" ca="1" si="23"/>
        <v>#REF!</v>
      </c>
      <c r="CS24" s="488" t="e">
        <f t="shared" ca="1" si="24"/>
        <v>#REF!</v>
      </c>
      <c r="CT24" s="488"/>
      <c r="CU24" s="488"/>
      <c r="CV24" s="84"/>
      <c r="CW24" s="1055"/>
      <c r="CX24" s="1150"/>
      <c r="CY24" s="1150"/>
      <c r="CZ24" s="1150"/>
      <c r="DA24" s="1150"/>
      <c r="DB24" s="1150"/>
      <c r="DC24" s="1150"/>
      <c r="DD24" s="1150"/>
      <c r="DE24" s="1150"/>
      <c r="DF24" s="1150"/>
      <c r="DG24" s="1150"/>
      <c r="DM24" s="552"/>
      <c r="DN24" s="290"/>
      <c r="DS24" s="290"/>
      <c r="DT24" s="290"/>
      <c r="DU24" s="290"/>
      <c r="DV24" s="290"/>
      <c r="DW24" s="290"/>
      <c r="DX24" s="870"/>
      <c r="DY24" s="870"/>
      <c r="DZ24" s="870"/>
      <c r="EJ24" s="857">
        <v>40</v>
      </c>
      <c r="EK24" s="859">
        <v>0.94805194805194803</v>
      </c>
      <c r="EL24" s="859">
        <v>7.3166666666666672E-2</v>
      </c>
      <c r="EM24" s="859">
        <v>0.95689189158531918</v>
      </c>
      <c r="EN24" s="859">
        <v>8.2841666666666675E-2</v>
      </c>
      <c r="EO24" s="859">
        <v>0.94572547961083353</v>
      </c>
      <c r="EP24" s="859">
        <v>8.8600000000000012E-2</v>
      </c>
      <c r="EQ24" s="859">
        <v>0.93071977700849706</v>
      </c>
      <c r="ER24" s="859">
        <v>0.10900000000000001</v>
      </c>
      <c r="ES24" s="859">
        <v>0.92767295597484278</v>
      </c>
      <c r="ET24" s="859">
        <v>0.13400000000000001</v>
      </c>
      <c r="EU24" s="859">
        <v>0.94117647058823528</v>
      </c>
      <c r="EV24" s="859">
        <v>0.14833333333333334</v>
      </c>
      <c r="EY24" s="534">
        <v>40</v>
      </c>
      <c r="EZ24" s="862">
        <v>0.93800622605989281</v>
      </c>
      <c r="FA24" s="862">
        <v>7.2433333333333336E-2</v>
      </c>
      <c r="FB24" s="862">
        <v>0.94292237442922389</v>
      </c>
      <c r="FC24" s="862">
        <v>8.7799999999999989E-2</v>
      </c>
      <c r="FD24" s="862">
        <v>0.9469648219648219</v>
      </c>
      <c r="FE24" s="534">
        <v>9.4083333333333338E-2</v>
      </c>
      <c r="FF24" s="862">
        <v>0.92059425197009093</v>
      </c>
      <c r="FG24" s="862">
        <v>0.11550000000000001</v>
      </c>
      <c r="FH24" s="862">
        <v>0.89866117870550477</v>
      </c>
      <c r="FI24" s="862">
        <v>0.14099999999999999</v>
      </c>
      <c r="FJ24" s="862">
        <v>0.91</v>
      </c>
      <c r="FK24" s="862">
        <v>0.16033333333333336</v>
      </c>
      <c r="FN24" s="532">
        <v>40</v>
      </c>
      <c r="FO24" s="532">
        <v>0.9703170726340572</v>
      </c>
      <c r="FP24" s="532">
        <v>7.0400000000000004E-2</v>
      </c>
      <c r="FQ24" s="532">
        <v>0.97024941526220287</v>
      </c>
      <c r="FR24" s="532">
        <v>8.1050000000000011E-2</v>
      </c>
      <c r="FS24" s="532">
        <v>0.97350993377483441</v>
      </c>
      <c r="FT24" s="532">
        <v>0.10800000000000001</v>
      </c>
      <c r="FU24" s="532">
        <v>0.9668874172185431</v>
      </c>
      <c r="FV24" s="532">
        <v>0.12100000000000001</v>
      </c>
      <c r="FW24" s="458">
        <v>0.94660022148394241</v>
      </c>
      <c r="FX24" s="458">
        <v>0.14599999999999999</v>
      </c>
      <c r="FY24" s="532">
        <v>0.94660022148394241</v>
      </c>
      <c r="FZ24" s="532">
        <v>0.14599999999999999</v>
      </c>
      <c r="GG24">
        <v>24</v>
      </c>
      <c r="GH24" s="1066">
        <v>40</v>
      </c>
      <c r="GI24" s="1066">
        <v>0.94308987367594799</v>
      </c>
      <c r="GJ24" s="1066">
        <v>7.2083333333333333E-2</v>
      </c>
      <c r="GK24" s="1066">
        <v>0.9419830615077337</v>
      </c>
      <c r="GL24" s="1066">
        <v>7.7288888888888879E-2</v>
      </c>
      <c r="GM24" s="1066">
        <v>0.9334606711254837</v>
      </c>
      <c r="GN24" s="1066">
        <v>0.115</v>
      </c>
      <c r="GO24" s="1066">
        <v>0.9245877804069087</v>
      </c>
      <c r="GP24" s="1066">
        <v>0.12866666666666668</v>
      </c>
      <c r="GQ24" s="1066">
        <v>0.90385369984103558</v>
      </c>
      <c r="GR24" s="1066">
        <v>0.13699999999999998</v>
      </c>
      <c r="GS24" s="1066">
        <v>0.90834679280699315</v>
      </c>
      <c r="GT24" s="1066">
        <v>0.14308333333333334</v>
      </c>
      <c r="HC24" s="1086">
        <v>40</v>
      </c>
      <c r="HD24" s="1086">
        <v>0.95341490484815894</v>
      </c>
      <c r="HE24" s="1086">
        <v>7.0444444444444448E-2</v>
      </c>
      <c r="HF24" s="1086">
        <v>0.93852580294951582</v>
      </c>
      <c r="HG24" s="1086">
        <v>8.6500000000000007E-2</v>
      </c>
      <c r="HH24" s="1086">
        <v>0.91583620362975415</v>
      </c>
      <c r="HI24" s="1086">
        <v>0.10833333333333334</v>
      </c>
      <c r="HJ24" s="1086">
        <v>0.90102294034923247</v>
      </c>
      <c r="HK24" s="1086">
        <v>0.12222222222222222</v>
      </c>
      <c r="HL24" s="1086">
        <v>0.9162291897183773</v>
      </c>
      <c r="HM24" s="1086">
        <v>0.12984999999999999</v>
      </c>
      <c r="HN24" s="1086">
        <v>0.89917695473251025</v>
      </c>
      <c r="HO24" s="1086">
        <v>0.155</v>
      </c>
      <c r="HY24" s="1084">
        <v>40</v>
      </c>
      <c r="HZ24" s="458">
        <v>0.93248851031399704</v>
      </c>
      <c r="IA24" s="458">
        <v>8.533333333333333E-2</v>
      </c>
      <c r="IB24" s="1084">
        <v>0.95033619739827824</v>
      </c>
      <c r="IC24" s="1084">
        <v>9.6338888888888891E-2</v>
      </c>
      <c r="ID24" s="458">
        <v>0.92555087214283271</v>
      </c>
      <c r="IE24" s="458">
        <v>0.13500000000000001</v>
      </c>
      <c r="IF24" s="1084">
        <v>0.92555087214283271</v>
      </c>
      <c r="IG24" s="1084">
        <v>0.13500000000000001</v>
      </c>
      <c r="IH24" s="1084">
        <v>0.88207824894941456</v>
      </c>
      <c r="II24" s="1084">
        <v>0.17100000000000001</v>
      </c>
      <c r="IU24" s="1171">
        <v>40</v>
      </c>
      <c r="IV24" s="1171">
        <v>0.95655405952039096</v>
      </c>
      <c r="IW24" s="1171">
        <v>6.59E-2</v>
      </c>
      <c r="IX24" s="1171">
        <v>0.93344207092497111</v>
      </c>
      <c r="IY24" s="1171">
        <v>7.7600000000000002E-2</v>
      </c>
      <c r="IZ24" s="1171">
        <v>0.93922510553586802</v>
      </c>
      <c r="JA24" s="1171">
        <v>0.1065</v>
      </c>
      <c r="JB24" s="1171">
        <v>0.9209656084656086</v>
      </c>
      <c r="JC24" s="1171">
        <v>0.1225</v>
      </c>
      <c r="JD24" s="1171">
        <v>0.91123596986373823</v>
      </c>
      <c r="JE24" s="1171">
        <v>0.13366666666666668</v>
      </c>
      <c r="JF24" s="1171">
        <v>0.88735656584336875</v>
      </c>
      <c r="JG24" s="1171">
        <v>0.14692592592592596</v>
      </c>
    </row>
    <row r="25" spans="2:273" ht="15.75" x14ac:dyDescent="0.25">
      <c r="B25" s="289">
        <v>42</v>
      </c>
      <c r="C25" s="330"/>
      <c r="D25" s="331"/>
      <c r="E25" s="331"/>
      <c r="F25" s="332"/>
      <c r="G25" s="330"/>
      <c r="H25" s="331"/>
      <c r="I25" s="331"/>
      <c r="J25" s="331"/>
      <c r="K25" s="339"/>
      <c r="L25" s="340"/>
      <c r="M25" s="340"/>
      <c r="N25" s="341"/>
      <c r="O25" s="339"/>
      <c r="P25" s="340"/>
      <c r="Q25" s="340"/>
      <c r="R25" s="341"/>
      <c r="S25">
        <f>V25/12/3.281*RWDI_FACTORS!$D$7</f>
        <v>487.65620237732389</v>
      </c>
      <c r="T25" s="358"/>
      <c r="U25" s="360"/>
      <c r="V25" s="360">
        <v>48</v>
      </c>
      <c r="W25" s="355">
        <f t="shared" ca="1" si="25"/>
        <v>0.97169829807263675</v>
      </c>
      <c r="X25" s="363">
        <f t="shared" ca="1" si="26"/>
        <v>7.1099999999999997E-2</v>
      </c>
      <c r="Y25" s="355">
        <f t="shared" ca="1" si="27"/>
        <v>0.96843845230902503</v>
      </c>
      <c r="Z25" s="363">
        <f t="shared" ca="1" si="28"/>
        <v>8.4000000000000005E-2</v>
      </c>
      <c r="AA25" s="355">
        <f t="shared" ca="1" si="29"/>
        <v>0.94774369426077865</v>
      </c>
      <c r="AB25" s="363">
        <f t="shared" ca="1" si="30"/>
        <v>0.10129999999999999</v>
      </c>
      <c r="AC25" s="355">
        <f t="shared" ca="1" si="31"/>
        <v>0.94613896050626978</v>
      </c>
      <c r="AD25" s="363">
        <f t="shared" ca="1" si="32"/>
        <v>0.11333333333333333</v>
      </c>
      <c r="AE25" s="355">
        <f t="shared" ca="1" si="33"/>
        <v>0.95032404728694808</v>
      </c>
      <c r="AF25" s="363">
        <f t="shared" ca="1" si="34"/>
        <v>0.11499999999999999</v>
      </c>
      <c r="AG25" s="355">
        <f t="shared" ca="1" si="35"/>
        <v>0.93827160493827155</v>
      </c>
      <c r="AH25" s="363">
        <f t="shared" ca="1" si="36"/>
        <v>0.13800000000000001</v>
      </c>
      <c r="AI25" s="1108" t="e">
        <f t="shared" ca="1" si="37"/>
        <v>#REF!</v>
      </c>
      <c r="AJ25" s="363" t="e">
        <f t="shared" ca="1" si="38"/>
        <v>#REF!</v>
      </c>
      <c r="AK25" s="1108" t="e">
        <f t="shared" ca="1" si="39"/>
        <v>#REF!</v>
      </c>
      <c r="AL25" s="363" t="e">
        <f t="shared" ca="1" si="40"/>
        <v>#REF!</v>
      </c>
      <c r="AM25" s="1108" t="e">
        <f t="shared" ca="1" si="41"/>
        <v>#REF!</v>
      </c>
      <c r="AN25" s="363" t="e">
        <f t="shared" ca="1" si="42"/>
        <v>#REF!</v>
      </c>
      <c r="AO25" s="1108" t="e">
        <f t="shared" ca="1" si="43"/>
        <v>#REF!</v>
      </c>
      <c r="AP25" s="363" t="e">
        <f t="shared" ca="1" si="44"/>
        <v>#REF!</v>
      </c>
      <c r="AQ25" s="1108" t="e">
        <f t="shared" ca="1" si="45"/>
        <v>#REF!</v>
      </c>
      <c r="AR25" s="363" t="e">
        <f t="shared" ca="1" si="46"/>
        <v>#REF!</v>
      </c>
      <c r="AS25" s="1108" t="e">
        <f t="shared" ca="1" si="47"/>
        <v>#REF!</v>
      </c>
      <c r="AT25" s="363" t="e">
        <f t="shared" ca="1" si="48"/>
        <v>#REF!</v>
      </c>
      <c r="AU25" s="1108" t="e">
        <f t="shared" ca="1" si="49"/>
        <v>#REF!</v>
      </c>
      <c r="AV25" s="363" t="e">
        <f t="shared" ca="1" si="50"/>
        <v>#REF!</v>
      </c>
      <c r="AW25" s="1108" t="e">
        <f t="shared" ca="1" si="51"/>
        <v>#REF!</v>
      </c>
      <c r="AX25" s="363" t="e">
        <f t="shared" ca="1" si="52"/>
        <v>#REF!</v>
      </c>
      <c r="AY25" s="1108" t="e">
        <f t="shared" ca="1" si="53"/>
        <v>#REF!</v>
      </c>
      <c r="AZ25" s="363" t="e">
        <f t="shared" ca="1" si="54"/>
        <v>#REF!</v>
      </c>
      <c r="BA25" s="499"/>
      <c r="BG25" s="520"/>
      <c r="BH25" s="520"/>
      <c r="BI25" s="520"/>
      <c r="BJ25" s="520"/>
      <c r="BK25" s="520"/>
      <c r="BL25" s="520"/>
      <c r="BM25">
        <f t="shared" si="5"/>
        <v>48</v>
      </c>
      <c r="BN25" s="531">
        <f t="shared" ca="1" si="55"/>
        <v>18</v>
      </c>
      <c r="BO25" s="493">
        <f t="shared" si="6"/>
        <v>48</v>
      </c>
      <c r="BP25" s="500">
        <f t="shared" ca="1" si="56"/>
        <v>0.97169829807263675</v>
      </c>
      <c r="BQ25" s="488">
        <f t="shared" ca="1" si="57"/>
        <v>7.1099999999999997E-2</v>
      </c>
      <c r="BR25" s="500">
        <f t="shared" ca="1" si="56"/>
        <v>0.96843845230902503</v>
      </c>
      <c r="BS25" s="488">
        <f t="shared" ca="1" si="57"/>
        <v>8.4000000000000005E-2</v>
      </c>
      <c r="BT25" s="500">
        <f t="shared" ca="1" si="56"/>
        <v>0.94774369426077865</v>
      </c>
      <c r="BU25" s="488">
        <f t="shared" ca="1" si="57"/>
        <v>0.10129999999999999</v>
      </c>
      <c r="BV25" s="500">
        <f t="shared" ca="1" si="56"/>
        <v>0.94613896050626978</v>
      </c>
      <c r="BW25" s="488">
        <f t="shared" ca="1" si="57"/>
        <v>0.11333333333333333</v>
      </c>
      <c r="BX25" s="500">
        <f t="shared" ca="1" si="56"/>
        <v>0.95032404728694808</v>
      </c>
      <c r="BY25" s="488">
        <f t="shared" ca="1" si="57"/>
        <v>0.11499999999999999</v>
      </c>
      <c r="BZ25" s="500">
        <f t="shared" ca="1" si="56"/>
        <v>0.93827160493827155</v>
      </c>
      <c r="CA25" s="488">
        <f t="shared" ca="1" si="57"/>
        <v>0.13800000000000001</v>
      </c>
      <c r="CB25" s="1106" t="e">
        <f t="shared" ca="1" si="7"/>
        <v>#REF!</v>
      </c>
      <c r="CC25" s="488" t="e">
        <f t="shared" ca="1" si="8"/>
        <v>#REF!</v>
      </c>
      <c r="CD25" s="1106" t="e">
        <f t="shared" ca="1" si="9"/>
        <v>#REF!</v>
      </c>
      <c r="CE25" s="488" t="e">
        <f t="shared" ca="1" si="10"/>
        <v>#REF!</v>
      </c>
      <c r="CF25" s="1106" t="e">
        <f t="shared" ca="1" si="11"/>
        <v>#REF!</v>
      </c>
      <c r="CG25" s="488" t="e">
        <f t="shared" ca="1" si="12"/>
        <v>#REF!</v>
      </c>
      <c r="CH25" s="1106" t="e">
        <f t="shared" ca="1" si="13"/>
        <v>#REF!</v>
      </c>
      <c r="CI25" s="488" t="e">
        <f t="shared" ca="1" si="14"/>
        <v>#REF!</v>
      </c>
      <c r="CJ25" s="1106" t="e">
        <f t="shared" ca="1" si="15"/>
        <v>#REF!</v>
      </c>
      <c r="CK25" s="488" t="e">
        <f t="shared" ca="1" si="16"/>
        <v>#REF!</v>
      </c>
      <c r="CL25" s="1106" t="e">
        <f t="shared" ca="1" si="17"/>
        <v>#REF!</v>
      </c>
      <c r="CM25" s="488" t="e">
        <f t="shared" ca="1" si="18"/>
        <v>#REF!</v>
      </c>
      <c r="CN25" s="1106" t="e">
        <f t="shared" ca="1" si="19"/>
        <v>#REF!</v>
      </c>
      <c r="CO25" s="488" t="e">
        <f t="shared" ca="1" si="20"/>
        <v>#REF!</v>
      </c>
      <c r="CP25" s="1106" t="e">
        <f t="shared" ca="1" si="21"/>
        <v>#REF!</v>
      </c>
      <c r="CQ25" s="488" t="e">
        <f t="shared" ca="1" si="22"/>
        <v>#REF!</v>
      </c>
      <c r="CR25" s="1106" t="e">
        <f t="shared" ca="1" si="23"/>
        <v>#REF!</v>
      </c>
      <c r="CS25" s="488" t="e">
        <f t="shared" ca="1" si="24"/>
        <v>#REF!</v>
      </c>
      <c r="CT25" s="488"/>
      <c r="CU25" s="488"/>
      <c r="CV25" s="84"/>
      <c r="CW25" s="1055"/>
      <c r="CX25" s="1150"/>
      <c r="CY25" s="1150"/>
      <c r="CZ25" s="1150"/>
      <c r="DA25" s="1150"/>
      <c r="DB25" s="1150"/>
      <c r="DC25" s="1150"/>
      <c r="DD25" s="1150"/>
      <c r="DE25" s="1150"/>
      <c r="DF25" s="1150"/>
      <c r="DG25" s="1150"/>
      <c r="DM25" s="552"/>
      <c r="DN25" s="290"/>
      <c r="DS25" s="290"/>
      <c r="DT25" s="290"/>
      <c r="DU25" s="290"/>
      <c r="DV25" s="290"/>
      <c r="DW25" s="290"/>
      <c r="DX25" s="870"/>
      <c r="DY25" s="870"/>
      <c r="DZ25" s="870"/>
      <c r="EJ25" s="857">
        <v>48</v>
      </c>
      <c r="EK25" s="859">
        <v>0.97077922077922074</v>
      </c>
      <c r="EL25" s="859">
        <v>6.7358333333333339E-2</v>
      </c>
      <c r="EM25" s="859">
        <v>0.97440936328482175</v>
      </c>
      <c r="EN25" s="859">
        <v>7.7799999999999994E-2</v>
      </c>
      <c r="EO25" s="859">
        <v>0.97172548754976729</v>
      </c>
      <c r="EP25" s="859">
        <v>7.9350000000000004E-2</v>
      </c>
      <c r="EQ25" s="859">
        <v>0.97037270152407495</v>
      </c>
      <c r="ER25" s="859">
        <v>9.2700000000000005E-2</v>
      </c>
      <c r="ES25" s="859">
        <v>0.97484276729559738</v>
      </c>
      <c r="ET25" s="859">
        <v>0.11749999999999999</v>
      </c>
      <c r="EU25" s="859">
        <v>0.98257080610021774</v>
      </c>
      <c r="EV25" s="859">
        <v>0.13166666666666665</v>
      </c>
      <c r="EY25" s="534">
        <v>48</v>
      </c>
      <c r="EZ25" s="862">
        <v>0.97150644841917477</v>
      </c>
      <c r="FA25" s="862">
        <v>6.8775000000000003E-2</v>
      </c>
      <c r="FB25" s="862">
        <v>0.9726027397260274</v>
      </c>
      <c r="FC25" s="862">
        <v>8.1799999999999998E-2</v>
      </c>
      <c r="FD25" s="862">
        <v>0.97855763927192507</v>
      </c>
      <c r="FE25" s="534">
        <v>8.4166666666666681E-2</v>
      </c>
      <c r="FF25" s="862">
        <v>0.96199004373501018</v>
      </c>
      <c r="FG25" s="862">
        <v>0.10116666666666667</v>
      </c>
      <c r="FH25" s="862">
        <v>0.94441177800895582</v>
      </c>
      <c r="FI25" s="862">
        <v>0.1295</v>
      </c>
      <c r="FJ25" s="862">
        <v>0.95739910313901344</v>
      </c>
      <c r="FK25" s="862">
        <v>0.14533333333333334</v>
      </c>
      <c r="FN25" s="532">
        <v>48</v>
      </c>
      <c r="FO25" s="532">
        <v>0.99012035997975667</v>
      </c>
      <c r="FP25" s="532">
        <v>6.5850000000000006E-2</v>
      </c>
      <c r="FQ25" s="532">
        <v>0.99665551839464883</v>
      </c>
      <c r="FR25" s="532">
        <v>7.4550000000000005E-2</v>
      </c>
      <c r="FS25" s="532">
        <v>1</v>
      </c>
      <c r="FT25" s="532">
        <v>9.8000000000000004E-2</v>
      </c>
      <c r="FU25" s="532">
        <v>1</v>
      </c>
      <c r="FV25" s="532">
        <v>0.10400000000000001</v>
      </c>
      <c r="FW25" s="458">
        <v>1.0032336655592469</v>
      </c>
      <c r="FX25" s="458">
        <v>0.1275</v>
      </c>
      <c r="FY25" s="532">
        <v>1.0032336655592469</v>
      </c>
      <c r="FZ25" s="532">
        <v>0.1275</v>
      </c>
      <c r="GG25">
        <v>25</v>
      </c>
      <c r="GH25" s="1066">
        <v>48</v>
      </c>
      <c r="GI25" s="1066">
        <v>0.9711633665789593</v>
      </c>
      <c r="GJ25" s="1066">
        <v>7.1300000000000002E-2</v>
      </c>
      <c r="GK25" s="1066">
        <v>0.97292149943418704</v>
      </c>
      <c r="GL25" s="1066">
        <v>7.3533333333333326E-2</v>
      </c>
      <c r="GM25" s="1066">
        <v>0.96209129823159489</v>
      </c>
      <c r="GN25" s="1066">
        <v>0.106</v>
      </c>
      <c r="GO25" s="1066">
        <v>0.96565631997923984</v>
      </c>
      <c r="GP25" s="1066">
        <v>0.11737500000000001</v>
      </c>
      <c r="GQ25" s="1066">
        <v>0.95615475730893518</v>
      </c>
      <c r="GR25" s="1066">
        <v>0.12566666666666665</v>
      </c>
      <c r="GS25" s="1066">
        <v>0.95677953123698423</v>
      </c>
      <c r="GT25" s="1066">
        <v>0.12975</v>
      </c>
      <c r="HC25" s="1086">
        <v>48</v>
      </c>
      <c r="HD25" s="1086">
        <v>0.97169829807263675</v>
      </c>
      <c r="HE25" s="1086">
        <v>7.1099999999999997E-2</v>
      </c>
      <c r="HF25" s="1086">
        <v>0.96843845230902503</v>
      </c>
      <c r="HG25" s="1086">
        <v>8.4000000000000005E-2</v>
      </c>
      <c r="HH25" s="1086">
        <v>0.94774369426077865</v>
      </c>
      <c r="HI25" s="1086">
        <v>0.10129999999999999</v>
      </c>
      <c r="HJ25" s="1086">
        <v>0.94613896050626978</v>
      </c>
      <c r="HK25" s="1086">
        <v>0.11333333333333333</v>
      </c>
      <c r="HL25" s="1086">
        <v>0.95032404728694808</v>
      </c>
      <c r="HM25" s="1086">
        <v>0.11499999999999999</v>
      </c>
      <c r="HN25" s="1086">
        <v>0.93827160493827155</v>
      </c>
      <c r="HO25" s="1086">
        <v>0.13800000000000001</v>
      </c>
      <c r="HY25" s="1084">
        <v>48</v>
      </c>
      <c r="HZ25" s="458">
        <v>0.95991969999024107</v>
      </c>
      <c r="IA25" s="458">
        <v>8.1199999999999994E-2</v>
      </c>
      <c r="IB25" s="1084">
        <v>0.97193540187019256</v>
      </c>
      <c r="IC25" s="1084">
        <v>9.0266666666666662E-2</v>
      </c>
      <c r="ID25" s="458">
        <v>0.9654609295300155</v>
      </c>
      <c r="IE25" s="458">
        <v>0.12666666666666665</v>
      </c>
      <c r="IF25" s="1084">
        <v>0.9654609295300155</v>
      </c>
      <c r="IG25" s="1084">
        <v>0.12666666666666665</v>
      </c>
      <c r="IH25" s="1084">
        <v>0.9345243713341872</v>
      </c>
      <c r="II25" s="1084">
        <v>0.157</v>
      </c>
      <c r="IU25" s="1171">
        <v>48</v>
      </c>
      <c r="IV25" s="1171">
        <v>0.97161725496931972</v>
      </c>
      <c r="IW25" s="1171">
        <v>6.4733333333333337E-2</v>
      </c>
      <c r="IX25" s="1171">
        <v>0.96575225200396198</v>
      </c>
      <c r="IY25" s="1171">
        <v>7.1899999999999992E-2</v>
      </c>
      <c r="IZ25" s="1171">
        <v>0.96346857395981866</v>
      </c>
      <c r="JA25" s="1171">
        <v>9.8900000000000002E-2</v>
      </c>
      <c r="JB25" s="1171">
        <v>0.95188492063492069</v>
      </c>
      <c r="JC25" s="1171">
        <v>0.113</v>
      </c>
      <c r="JD25" s="1171">
        <v>0.95322351815964568</v>
      </c>
      <c r="JE25" s="1171">
        <v>0.12300000000000001</v>
      </c>
      <c r="JF25" s="1171">
        <v>0.94396376451095898</v>
      </c>
      <c r="JG25" s="1171">
        <v>0.13403703703703704</v>
      </c>
    </row>
    <row r="26" spans="2:273" ht="15.75" x14ac:dyDescent="0.25">
      <c r="B26" s="289">
        <v>48</v>
      </c>
      <c r="C26" s="330"/>
      <c r="D26" s="331"/>
      <c r="E26" s="331"/>
      <c r="F26" s="332"/>
      <c r="G26" s="330"/>
      <c r="H26" s="331"/>
      <c r="I26" s="331"/>
      <c r="J26" s="331"/>
      <c r="K26" s="339"/>
      <c r="L26" s="340"/>
      <c r="M26" s="340"/>
      <c r="N26" s="341"/>
      <c r="O26" s="339"/>
      <c r="P26" s="340"/>
      <c r="Q26" s="340"/>
      <c r="R26" s="341"/>
      <c r="S26">
        <f>V26/12/3.281*RWDI_FACTORS!$D$7</f>
        <v>548.61322767448951</v>
      </c>
      <c r="T26" s="358"/>
      <c r="U26" s="360"/>
      <c r="V26" s="360">
        <v>54</v>
      </c>
      <c r="W26" s="355">
        <f t="shared" ca="1" si="25"/>
        <v>0.98574053290270225</v>
      </c>
      <c r="X26" s="363">
        <f t="shared" ca="1" si="26"/>
        <v>7.2166666666666657E-2</v>
      </c>
      <c r="Y26" s="355">
        <f t="shared" ca="1" si="27"/>
        <v>0.98505815232900917</v>
      </c>
      <c r="Z26" s="363">
        <f t="shared" ca="1" si="28"/>
        <v>8.2599999999999993E-2</v>
      </c>
      <c r="AA26" s="355">
        <f t="shared" ca="1" si="29"/>
        <v>0.97965118489180314</v>
      </c>
      <c r="AB26" s="363">
        <f t="shared" ca="1" si="30"/>
        <v>9.6433333333333329E-2</v>
      </c>
      <c r="AC26" s="355">
        <f t="shared" ca="1" si="31"/>
        <v>0.973069480253135</v>
      </c>
      <c r="AD26" s="363">
        <f t="shared" ca="1" si="32"/>
        <v>0.10596666666666667</v>
      </c>
      <c r="AE26" s="355">
        <f t="shared" ca="1" si="33"/>
        <v>0.98441890485551897</v>
      </c>
      <c r="AF26" s="363">
        <f t="shared" ca="1" si="34"/>
        <v>0.10819999999999999</v>
      </c>
      <c r="AG26" s="355">
        <f t="shared" ca="1" si="35"/>
        <v>0.96913580246913578</v>
      </c>
      <c r="AH26" s="363">
        <f t="shared" ca="1" si="36"/>
        <v>0.126</v>
      </c>
      <c r="AI26" s="1108" t="e">
        <f t="shared" ca="1" si="37"/>
        <v>#REF!</v>
      </c>
      <c r="AJ26" s="363" t="e">
        <f t="shared" ca="1" si="38"/>
        <v>#REF!</v>
      </c>
      <c r="AK26" s="1108" t="e">
        <f t="shared" ca="1" si="39"/>
        <v>#REF!</v>
      </c>
      <c r="AL26" s="363" t="e">
        <f t="shared" ca="1" si="40"/>
        <v>#REF!</v>
      </c>
      <c r="AM26" s="1108" t="e">
        <f t="shared" ca="1" si="41"/>
        <v>#REF!</v>
      </c>
      <c r="AN26" s="363" t="e">
        <f t="shared" ca="1" si="42"/>
        <v>#REF!</v>
      </c>
      <c r="AO26" s="1108" t="e">
        <f t="shared" ca="1" si="43"/>
        <v>#REF!</v>
      </c>
      <c r="AP26" s="363" t="e">
        <f t="shared" ca="1" si="44"/>
        <v>#REF!</v>
      </c>
      <c r="AQ26" s="1108" t="e">
        <f t="shared" ca="1" si="45"/>
        <v>#REF!</v>
      </c>
      <c r="AR26" s="363" t="e">
        <f t="shared" ca="1" si="46"/>
        <v>#REF!</v>
      </c>
      <c r="AS26" s="1108" t="e">
        <f t="shared" ca="1" si="47"/>
        <v>#REF!</v>
      </c>
      <c r="AT26" s="363" t="e">
        <f t="shared" ca="1" si="48"/>
        <v>#REF!</v>
      </c>
      <c r="AU26" s="1108" t="e">
        <f t="shared" ca="1" si="49"/>
        <v>#REF!</v>
      </c>
      <c r="AV26" s="363" t="e">
        <f t="shared" ca="1" si="50"/>
        <v>#REF!</v>
      </c>
      <c r="AW26" s="1108" t="e">
        <f t="shared" ca="1" si="51"/>
        <v>#REF!</v>
      </c>
      <c r="AX26" s="363" t="e">
        <f t="shared" ca="1" si="52"/>
        <v>#REF!</v>
      </c>
      <c r="AY26" s="1108" t="e">
        <f t="shared" ca="1" si="53"/>
        <v>#REF!</v>
      </c>
      <c r="AZ26" s="363" t="e">
        <f t="shared" ca="1" si="54"/>
        <v>#REF!</v>
      </c>
      <c r="BA26" s="499"/>
      <c r="BG26" s="520"/>
      <c r="BH26" s="520"/>
      <c r="BI26" s="520"/>
      <c r="BJ26" s="520"/>
      <c r="BK26" s="520"/>
      <c r="BL26" s="520"/>
      <c r="BM26">
        <f t="shared" si="5"/>
        <v>54</v>
      </c>
      <c r="BN26" s="531">
        <f t="shared" ca="1" si="55"/>
        <v>19</v>
      </c>
      <c r="BO26" s="493">
        <f t="shared" si="6"/>
        <v>54</v>
      </c>
      <c r="BP26" s="500">
        <f t="shared" ca="1" si="56"/>
        <v>0.98574053290270225</v>
      </c>
      <c r="BQ26" s="488">
        <f t="shared" ca="1" si="57"/>
        <v>7.2166666666666657E-2</v>
      </c>
      <c r="BR26" s="500">
        <f t="shared" ca="1" si="56"/>
        <v>0.98505815232900917</v>
      </c>
      <c r="BS26" s="488">
        <f t="shared" ca="1" si="57"/>
        <v>8.2599999999999993E-2</v>
      </c>
      <c r="BT26" s="500">
        <f t="shared" ca="1" si="56"/>
        <v>0.97965118489180314</v>
      </c>
      <c r="BU26" s="488">
        <f t="shared" ca="1" si="57"/>
        <v>9.6433333333333329E-2</v>
      </c>
      <c r="BV26" s="500">
        <f t="shared" ca="1" si="56"/>
        <v>0.973069480253135</v>
      </c>
      <c r="BW26" s="488">
        <f t="shared" ca="1" si="57"/>
        <v>0.10596666666666667</v>
      </c>
      <c r="BX26" s="500">
        <f t="shared" ca="1" si="56"/>
        <v>0.98441890485551897</v>
      </c>
      <c r="BY26" s="488">
        <f t="shared" ca="1" si="57"/>
        <v>0.10819999999999999</v>
      </c>
      <c r="BZ26" s="500">
        <f t="shared" ca="1" si="56"/>
        <v>0.96913580246913578</v>
      </c>
      <c r="CA26" s="488">
        <f t="shared" ca="1" si="57"/>
        <v>0.126</v>
      </c>
      <c r="CB26" s="1106" t="e">
        <f t="shared" ca="1" si="7"/>
        <v>#REF!</v>
      </c>
      <c r="CC26" s="488" t="e">
        <f t="shared" ca="1" si="8"/>
        <v>#REF!</v>
      </c>
      <c r="CD26" s="1106" t="e">
        <f t="shared" ca="1" si="9"/>
        <v>#REF!</v>
      </c>
      <c r="CE26" s="488" t="e">
        <f t="shared" ca="1" si="10"/>
        <v>#REF!</v>
      </c>
      <c r="CF26" s="1106" t="e">
        <f t="shared" ca="1" si="11"/>
        <v>#REF!</v>
      </c>
      <c r="CG26" s="488" t="e">
        <f t="shared" ca="1" si="12"/>
        <v>#REF!</v>
      </c>
      <c r="CH26" s="1106" t="e">
        <f t="shared" ca="1" si="13"/>
        <v>#REF!</v>
      </c>
      <c r="CI26" s="488" t="e">
        <f t="shared" ca="1" si="14"/>
        <v>#REF!</v>
      </c>
      <c r="CJ26" s="1106" t="e">
        <f t="shared" ca="1" si="15"/>
        <v>#REF!</v>
      </c>
      <c r="CK26" s="488" t="e">
        <f t="shared" ca="1" si="16"/>
        <v>#REF!</v>
      </c>
      <c r="CL26" s="1106" t="e">
        <f t="shared" ca="1" si="17"/>
        <v>#REF!</v>
      </c>
      <c r="CM26" s="488" t="e">
        <f t="shared" ca="1" si="18"/>
        <v>#REF!</v>
      </c>
      <c r="CN26" s="1106" t="e">
        <f t="shared" ca="1" si="19"/>
        <v>#REF!</v>
      </c>
      <c r="CO26" s="488" t="e">
        <f t="shared" ca="1" si="20"/>
        <v>#REF!</v>
      </c>
      <c r="CP26" s="1106" t="e">
        <f t="shared" ca="1" si="21"/>
        <v>#REF!</v>
      </c>
      <c r="CQ26" s="488" t="e">
        <f t="shared" ca="1" si="22"/>
        <v>#REF!</v>
      </c>
      <c r="CR26" s="1106" t="e">
        <f t="shared" ca="1" si="23"/>
        <v>#REF!</v>
      </c>
      <c r="CS26" s="488" t="e">
        <f t="shared" ca="1" si="24"/>
        <v>#REF!</v>
      </c>
      <c r="CT26" s="488"/>
      <c r="CU26" s="488"/>
      <c r="CV26" s="84"/>
      <c r="CW26" s="1055"/>
      <c r="CX26" s="1150"/>
      <c r="CY26" s="1150"/>
      <c r="CZ26" s="1150"/>
      <c r="DA26" s="1150"/>
      <c r="DB26" s="1150"/>
      <c r="DC26" s="1150"/>
      <c r="DD26" s="1150"/>
      <c r="DE26" s="1150"/>
      <c r="DF26" s="1150"/>
      <c r="DG26" s="1150"/>
      <c r="DM26" s="552"/>
      <c r="DN26" s="290"/>
      <c r="DS26" s="290"/>
      <c r="DT26" s="290"/>
      <c r="DU26" s="290"/>
      <c r="DV26" s="290"/>
      <c r="DW26" s="290"/>
      <c r="DX26" s="870"/>
      <c r="DY26" s="870"/>
      <c r="DZ26" s="870"/>
      <c r="EJ26" s="857">
        <v>54</v>
      </c>
      <c r="EK26" s="859">
        <v>0.99350649350649356</v>
      </c>
      <c r="EL26" s="859">
        <v>6.1550000000000007E-2</v>
      </c>
      <c r="EM26" s="859">
        <v>0.9853577830970105</v>
      </c>
      <c r="EN26" s="859">
        <v>7.2999999999999995E-2</v>
      </c>
      <c r="EO26" s="859">
        <v>0.98164915470203207</v>
      </c>
      <c r="EP26" s="859">
        <v>7.5500000000000012E-2</v>
      </c>
      <c r="EQ26" s="859">
        <v>0.9901991637818639</v>
      </c>
      <c r="ER26" s="859">
        <v>8.0299999999999996E-2</v>
      </c>
      <c r="ES26" s="859">
        <v>0.99056603773584895</v>
      </c>
      <c r="ET26" s="859">
        <v>0.109</v>
      </c>
      <c r="EU26" s="859">
        <v>1.0021786492374727</v>
      </c>
      <c r="EV26" s="859">
        <v>0.12133333333333333</v>
      </c>
      <c r="EY26" s="534">
        <v>54</v>
      </c>
      <c r="EZ26" s="862">
        <v>0.99160658183474382</v>
      </c>
      <c r="FA26" s="862">
        <v>6.511666666666667E-2</v>
      </c>
      <c r="FB26" s="862">
        <v>0.98630136986301364</v>
      </c>
      <c r="FC26" s="862">
        <v>7.7600000000000002E-2</v>
      </c>
      <c r="FD26" s="862">
        <v>0.99210179567322432</v>
      </c>
      <c r="FE26" s="534">
        <v>7.9049999999999995E-2</v>
      </c>
      <c r="FF26" s="862">
        <v>0.98436211379164396</v>
      </c>
      <c r="FG26" s="862">
        <v>9.0833333333333335E-2</v>
      </c>
      <c r="FH26" s="862">
        <v>0.98364919263648321</v>
      </c>
      <c r="FI26" s="862">
        <v>0.12125</v>
      </c>
      <c r="FJ26" s="862">
        <v>0.98878923766816129</v>
      </c>
      <c r="FK26" s="862">
        <v>0.13266666666666665</v>
      </c>
      <c r="FN26" s="532">
        <v>54</v>
      </c>
      <c r="FO26" s="532">
        <v>1</v>
      </c>
      <c r="FP26" s="532">
        <v>6.4399999999999999E-2</v>
      </c>
      <c r="FQ26" s="532">
        <v>1.0032570441777604</v>
      </c>
      <c r="FR26" s="532">
        <v>7.3099999999999998E-2</v>
      </c>
      <c r="FS26" s="532">
        <v>1.0132450331125828</v>
      </c>
      <c r="FT26" s="532">
        <v>9.74E-2</v>
      </c>
      <c r="FU26" s="532">
        <v>1.0033112582781458</v>
      </c>
      <c r="FV26" s="532">
        <v>0.1011</v>
      </c>
      <c r="FW26" s="458">
        <v>0.99993355481727575</v>
      </c>
      <c r="FX26" s="458">
        <v>0.1265</v>
      </c>
      <c r="FY26" s="532">
        <v>0.99993355481727575</v>
      </c>
      <c r="FZ26" s="532">
        <v>0.1265</v>
      </c>
      <c r="GG26">
        <v>26</v>
      </c>
      <c r="GH26" s="1066">
        <v>54</v>
      </c>
      <c r="GI26" s="1066">
        <v>0.98530293392131518</v>
      </c>
      <c r="GJ26" s="1066">
        <v>7.0233333333333328E-2</v>
      </c>
      <c r="GK26" s="1066">
        <v>0.98646074971709352</v>
      </c>
      <c r="GL26" s="1066">
        <v>7.1349999999999997E-2</v>
      </c>
      <c r="GM26" s="1066">
        <v>0.98405277538466673</v>
      </c>
      <c r="GN26" s="1066">
        <v>9.7666666666666679E-2</v>
      </c>
      <c r="GO26" s="1066">
        <v>0.9866799804510169</v>
      </c>
      <c r="GP26" s="1066">
        <v>0.10873749999999999</v>
      </c>
      <c r="GQ26" s="1066">
        <v>0.9790031349295174</v>
      </c>
      <c r="GR26" s="1066">
        <v>0.11433333333333331</v>
      </c>
      <c r="GS26" s="1066">
        <v>0.98448907760970217</v>
      </c>
      <c r="GT26" s="1066">
        <v>0.11775000000000002</v>
      </c>
      <c r="HC26" s="1086">
        <v>54</v>
      </c>
      <c r="HD26" s="1086">
        <v>0.98574053290270225</v>
      </c>
      <c r="HE26" s="1086">
        <v>7.2166666666666657E-2</v>
      </c>
      <c r="HF26" s="1086">
        <v>0.98505815232900917</v>
      </c>
      <c r="HG26" s="1086">
        <v>8.2599999999999993E-2</v>
      </c>
      <c r="HH26" s="1086">
        <v>0.97965118489180314</v>
      </c>
      <c r="HI26" s="1086">
        <v>9.6433333333333329E-2</v>
      </c>
      <c r="HJ26" s="1086">
        <v>0.973069480253135</v>
      </c>
      <c r="HK26" s="1086">
        <v>0.10596666666666667</v>
      </c>
      <c r="HL26" s="1086">
        <v>0.98441890485551897</v>
      </c>
      <c r="HM26" s="1086">
        <v>0.10819999999999999</v>
      </c>
      <c r="HN26" s="1086">
        <v>0.96913580246913578</v>
      </c>
      <c r="HO26" s="1086">
        <v>0.126</v>
      </c>
      <c r="HY26" s="1084">
        <v>54</v>
      </c>
      <c r="HZ26" s="458">
        <v>0.97680221940304723</v>
      </c>
      <c r="IA26" s="458">
        <v>7.8599999999999989E-2</v>
      </c>
      <c r="IB26" s="1084">
        <v>0.98918603008036188</v>
      </c>
      <c r="IC26" s="1084">
        <v>8.7266666666666659E-2</v>
      </c>
      <c r="ID26" s="458">
        <v>0.98382509166923693</v>
      </c>
      <c r="IE26" s="458">
        <v>0.12116666666666667</v>
      </c>
      <c r="IF26" s="1084">
        <v>0.98382509166923693</v>
      </c>
      <c r="IG26" s="1084">
        <v>0.12116666666666667</v>
      </c>
      <c r="IH26" s="1084">
        <v>0.96313625025281457</v>
      </c>
      <c r="II26" s="1084">
        <v>0.14800000000000002</v>
      </c>
      <c r="IU26" s="1171">
        <v>54</v>
      </c>
      <c r="IV26" s="1171">
        <v>0.98667943849051187</v>
      </c>
      <c r="IW26" s="1171">
        <v>6.5066666666666662E-2</v>
      </c>
      <c r="IX26" s="1171">
        <v>0.98319954099707862</v>
      </c>
      <c r="IY26" s="1171">
        <v>6.93E-2</v>
      </c>
      <c r="IZ26" s="1171">
        <v>0.98771204238376931</v>
      </c>
      <c r="JA26" s="1171">
        <v>9.2399999999999996E-2</v>
      </c>
      <c r="JB26" s="1171">
        <v>0.9828042328042329</v>
      </c>
      <c r="JC26" s="1171">
        <v>0.10400000000000001</v>
      </c>
      <c r="JD26" s="1171">
        <v>0.97801846160442196</v>
      </c>
      <c r="JE26" s="1171">
        <v>0.11233333333333334</v>
      </c>
      <c r="JF26" s="1171">
        <v>0.97236414086120326</v>
      </c>
      <c r="JG26" s="1171">
        <v>0.12348148148148148</v>
      </c>
    </row>
    <row r="27" spans="2:273" ht="15.75" x14ac:dyDescent="0.25">
      <c r="B27" s="289">
        <v>54</v>
      </c>
      <c r="C27" s="330"/>
      <c r="D27" s="331"/>
      <c r="E27" s="331"/>
      <c r="F27" s="332"/>
      <c r="G27" s="330"/>
      <c r="H27" s="331"/>
      <c r="I27" s="331"/>
      <c r="J27" s="331"/>
      <c r="K27" s="339"/>
      <c r="L27" s="340"/>
      <c r="M27" s="340"/>
      <c r="N27" s="341"/>
      <c r="O27" s="339"/>
      <c r="P27" s="340"/>
      <c r="Q27" s="340"/>
      <c r="R27" s="341"/>
      <c r="S27">
        <f>V27/12/3.281*RWDI_FACTORS!$D$7</f>
        <v>609.57025297165501</v>
      </c>
      <c r="T27" s="358"/>
      <c r="U27" s="360"/>
      <c r="V27" s="360">
        <v>60</v>
      </c>
      <c r="W27" s="355">
        <f t="shared" ca="1" si="25"/>
        <v>1</v>
      </c>
      <c r="X27" s="363">
        <f t="shared" ca="1" si="26"/>
        <v>7.1499999999999994E-2</v>
      </c>
      <c r="Y27" s="355">
        <f t="shared" ca="1" si="27"/>
        <v>1</v>
      </c>
      <c r="Z27" s="363">
        <f t="shared" ca="1" si="28"/>
        <v>8.2100000000000006E-2</v>
      </c>
      <c r="AA27" s="355">
        <f t="shared" ca="1" si="29"/>
        <v>1</v>
      </c>
      <c r="AB27" s="363">
        <f t="shared" ca="1" si="30"/>
        <v>9.0200000000000016E-2</v>
      </c>
      <c r="AC27" s="355">
        <f t="shared" ca="1" si="31"/>
        <v>1</v>
      </c>
      <c r="AD27" s="363">
        <f t="shared" ca="1" si="32"/>
        <v>9.9266666666666656E-2</v>
      </c>
      <c r="AE27" s="355">
        <f t="shared" ca="1" si="33"/>
        <v>1</v>
      </c>
      <c r="AF27" s="363">
        <f t="shared" ca="1" si="34"/>
        <v>0.10139999999999999</v>
      </c>
      <c r="AG27" s="355">
        <f t="shared" ca="1" si="35"/>
        <v>1</v>
      </c>
      <c r="AH27" s="363">
        <f t="shared" ca="1" si="36"/>
        <v>0.11199999999999999</v>
      </c>
      <c r="AI27" s="1108" t="e">
        <f t="shared" ca="1" si="37"/>
        <v>#REF!</v>
      </c>
      <c r="AJ27" s="363" t="e">
        <f t="shared" ca="1" si="38"/>
        <v>#REF!</v>
      </c>
      <c r="AK27" s="1108" t="e">
        <f t="shared" ca="1" si="39"/>
        <v>#REF!</v>
      </c>
      <c r="AL27" s="363" t="e">
        <f t="shared" ca="1" si="40"/>
        <v>#REF!</v>
      </c>
      <c r="AM27" s="1108" t="e">
        <f t="shared" ca="1" si="41"/>
        <v>#REF!</v>
      </c>
      <c r="AN27" s="363" t="e">
        <f t="shared" ca="1" si="42"/>
        <v>#REF!</v>
      </c>
      <c r="AO27" s="1108" t="e">
        <f t="shared" ca="1" si="43"/>
        <v>#REF!</v>
      </c>
      <c r="AP27" s="363" t="e">
        <f t="shared" ca="1" si="44"/>
        <v>#REF!</v>
      </c>
      <c r="AQ27" s="1108" t="e">
        <f t="shared" ca="1" si="45"/>
        <v>#REF!</v>
      </c>
      <c r="AR27" s="363" t="e">
        <f t="shared" ca="1" si="46"/>
        <v>#REF!</v>
      </c>
      <c r="AS27" s="1108" t="e">
        <f t="shared" ca="1" si="47"/>
        <v>#REF!</v>
      </c>
      <c r="AT27" s="363" t="e">
        <f t="shared" ca="1" si="48"/>
        <v>#REF!</v>
      </c>
      <c r="AU27" s="1108" t="e">
        <f t="shared" ca="1" si="49"/>
        <v>#REF!</v>
      </c>
      <c r="AV27" s="363" t="e">
        <f t="shared" ca="1" si="50"/>
        <v>#REF!</v>
      </c>
      <c r="AW27" s="1108" t="e">
        <f t="shared" ca="1" si="51"/>
        <v>#REF!</v>
      </c>
      <c r="AX27" s="363" t="e">
        <f t="shared" ca="1" si="52"/>
        <v>#REF!</v>
      </c>
      <c r="AY27" s="1108" t="e">
        <f t="shared" ca="1" si="53"/>
        <v>#REF!</v>
      </c>
      <c r="AZ27" s="363" t="e">
        <f t="shared" ca="1" si="54"/>
        <v>#REF!</v>
      </c>
      <c r="BA27" s="499"/>
      <c r="BG27" s="520"/>
      <c r="BH27" s="520"/>
      <c r="BI27" s="520"/>
      <c r="BJ27" s="520"/>
      <c r="BK27" s="520"/>
      <c r="BL27" s="520"/>
      <c r="BM27">
        <f t="shared" si="5"/>
        <v>60</v>
      </c>
      <c r="BN27" s="531">
        <f t="shared" ca="1" si="55"/>
        <v>20</v>
      </c>
      <c r="BO27" s="493">
        <f t="shared" si="6"/>
        <v>60</v>
      </c>
      <c r="BP27" s="500">
        <f t="shared" ca="1" si="56"/>
        <v>1</v>
      </c>
      <c r="BQ27" s="488">
        <f t="shared" ca="1" si="57"/>
        <v>7.1499999999999994E-2</v>
      </c>
      <c r="BR27" s="500">
        <f t="shared" ca="1" si="56"/>
        <v>1</v>
      </c>
      <c r="BS27" s="488">
        <f t="shared" ca="1" si="57"/>
        <v>8.2100000000000006E-2</v>
      </c>
      <c r="BT27" s="500">
        <f t="shared" ca="1" si="56"/>
        <v>1</v>
      </c>
      <c r="BU27" s="488">
        <f t="shared" ca="1" si="57"/>
        <v>9.0200000000000016E-2</v>
      </c>
      <c r="BV27" s="500">
        <f t="shared" ca="1" si="56"/>
        <v>1</v>
      </c>
      <c r="BW27" s="488">
        <f t="shared" ca="1" si="57"/>
        <v>9.9266666666666656E-2</v>
      </c>
      <c r="BX27" s="500">
        <f t="shared" ca="1" si="56"/>
        <v>1</v>
      </c>
      <c r="BY27" s="488">
        <f t="shared" ca="1" si="57"/>
        <v>0.10139999999999999</v>
      </c>
      <c r="BZ27" s="500">
        <f t="shared" ca="1" si="56"/>
        <v>1</v>
      </c>
      <c r="CA27" s="488">
        <f t="shared" ca="1" si="57"/>
        <v>0.11199999999999999</v>
      </c>
      <c r="CB27" s="1106" t="e">
        <f t="shared" ca="1" si="7"/>
        <v>#REF!</v>
      </c>
      <c r="CC27" s="488" t="e">
        <f t="shared" ca="1" si="8"/>
        <v>#REF!</v>
      </c>
      <c r="CD27" s="1106" t="e">
        <f t="shared" ca="1" si="9"/>
        <v>#REF!</v>
      </c>
      <c r="CE27" s="488" t="e">
        <f t="shared" ca="1" si="10"/>
        <v>#REF!</v>
      </c>
      <c r="CF27" s="1106" t="e">
        <f t="shared" ca="1" si="11"/>
        <v>#REF!</v>
      </c>
      <c r="CG27" s="488" t="e">
        <f t="shared" ca="1" si="12"/>
        <v>#REF!</v>
      </c>
      <c r="CH27" s="1106" t="e">
        <f t="shared" ca="1" si="13"/>
        <v>#REF!</v>
      </c>
      <c r="CI27" s="488" t="e">
        <f t="shared" ca="1" si="14"/>
        <v>#REF!</v>
      </c>
      <c r="CJ27" s="1106" t="e">
        <f t="shared" ca="1" si="15"/>
        <v>#REF!</v>
      </c>
      <c r="CK27" s="488" t="e">
        <f t="shared" ca="1" si="16"/>
        <v>#REF!</v>
      </c>
      <c r="CL27" s="1106" t="e">
        <f t="shared" ca="1" si="17"/>
        <v>#REF!</v>
      </c>
      <c r="CM27" s="488" t="e">
        <f t="shared" ca="1" si="18"/>
        <v>#REF!</v>
      </c>
      <c r="CN27" s="1106" t="e">
        <f t="shared" ca="1" si="19"/>
        <v>#REF!</v>
      </c>
      <c r="CO27" s="488" t="e">
        <f t="shared" ca="1" si="20"/>
        <v>#REF!</v>
      </c>
      <c r="CP27" s="1106" t="e">
        <f t="shared" ca="1" si="21"/>
        <v>#REF!</v>
      </c>
      <c r="CQ27" s="488" t="e">
        <f t="shared" ca="1" si="22"/>
        <v>#REF!</v>
      </c>
      <c r="CR27" s="1106" t="e">
        <f t="shared" ca="1" si="23"/>
        <v>#REF!</v>
      </c>
      <c r="CS27" s="488" t="e">
        <f t="shared" ca="1" si="24"/>
        <v>#REF!</v>
      </c>
      <c r="CT27" s="488"/>
      <c r="CU27" s="488"/>
      <c r="CV27" s="84"/>
      <c r="CW27" s="1055"/>
      <c r="CX27" s="1150"/>
      <c r="CY27" s="1150"/>
      <c r="CZ27" s="1150"/>
      <c r="DA27" s="1150"/>
      <c r="DB27" s="1150"/>
      <c r="DC27" s="1150"/>
      <c r="DD27" s="1150"/>
      <c r="DE27" s="1150"/>
      <c r="DF27" s="1150"/>
      <c r="DG27" s="1150"/>
      <c r="DM27" s="552"/>
      <c r="DN27" s="290"/>
      <c r="DS27" s="290"/>
      <c r="DT27" s="290"/>
      <c r="DU27" s="290"/>
      <c r="DV27" s="290"/>
      <c r="DW27" s="290"/>
      <c r="DX27" s="870"/>
      <c r="DY27" s="870"/>
      <c r="DZ27" s="870"/>
      <c r="EJ27" s="857">
        <v>60</v>
      </c>
      <c r="EK27" s="859">
        <v>1</v>
      </c>
      <c r="EL27" s="859">
        <v>5.7233333333333337E-2</v>
      </c>
      <c r="EM27" s="859">
        <v>1</v>
      </c>
      <c r="EN27" s="859">
        <v>7.0400000000000004E-2</v>
      </c>
      <c r="EO27" s="859">
        <v>1</v>
      </c>
      <c r="EP27" s="859">
        <v>7.3649999999999993E-2</v>
      </c>
      <c r="EQ27" s="859">
        <v>1</v>
      </c>
      <c r="ER27" s="859">
        <v>7.8850000000000003E-2</v>
      </c>
      <c r="ES27" s="859">
        <v>1</v>
      </c>
      <c r="ET27" s="859">
        <v>0.10500000000000001</v>
      </c>
      <c r="EU27" s="859">
        <v>1</v>
      </c>
      <c r="EV27" s="859">
        <v>0.12033333333333333</v>
      </c>
      <c r="EY27" s="534">
        <v>60</v>
      </c>
      <c r="EZ27" s="862">
        <v>1</v>
      </c>
      <c r="FA27" s="862">
        <v>6.083333333333333E-2</v>
      </c>
      <c r="FB27" s="862">
        <v>1</v>
      </c>
      <c r="FC27" s="862">
        <v>7.3833333333333334E-2</v>
      </c>
      <c r="FD27" s="862">
        <v>1</v>
      </c>
      <c r="FE27" s="534">
        <v>7.5433333333333324E-2</v>
      </c>
      <c r="FF27" s="862">
        <v>1</v>
      </c>
      <c r="FG27" s="862">
        <v>8.3716666666666661E-2</v>
      </c>
      <c r="FH27" s="862">
        <v>1</v>
      </c>
      <c r="FI27" s="862">
        <v>0.11299999999999999</v>
      </c>
      <c r="FJ27" s="862">
        <v>1</v>
      </c>
      <c r="FK27" s="862">
        <v>0.126</v>
      </c>
      <c r="FN27" s="532">
        <v>60</v>
      </c>
      <c r="FO27" s="532">
        <v>1</v>
      </c>
      <c r="FP27" s="532">
        <v>6.4750000000000002E-2</v>
      </c>
      <c r="FQ27" s="532">
        <v>1</v>
      </c>
      <c r="FR27" s="532">
        <v>7.3950000000000002E-2</v>
      </c>
      <c r="FS27" s="532">
        <v>1</v>
      </c>
      <c r="FT27" s="532">
        <v>0.10199999999999999</v>
      </c>
      <c r="FU27" s="532">
        <v>1</v>
      </c>
      <c r="FV27" s="532">
        <v>0.10600000000000001</v>
      </c>
      <c r="FW27" s="458">
        <v>1</v>
      </c>
      <c r="FX27" s="458">
        <v>0.127</v>
      </c>
      <c r="FY27" s="532">
        <v>1</v>
      </c>
      <c r="FZ27" s="532">
        <v>0.127</v>
      </c>
      <c r="GG27">
        <v>27</v>
      </c>
      <c r="GH27" s="1066">
        <v>60</v>
      </c>
      <c r="GI27" s="1066">
        <v>1</v>
      </c>
      <c r="GJ27" s="1066">
        <v>6.7799999999999999E-2</v>
      </c>
      <c r="GK27" s="1066">
        <v>1</v>
      </c>
      <c r="GL27" s="1066">
        <v>6.9166666666666668E-2</v>
      </c>
      <c r="GM27" s="1066">
        <v>1</v>
      </c>
      <c r="GN27" s="1066">
        <v>9.0166666666666673E-2</v>
      </c>
      <c r="GO27" s="1066">
        <v>1</v>
      </c>
      <c r="GP27" s="1066">
        <v>0.10022500000000001</v>
      </c>
      <c r="GQ27" s="1066">
        <v>1</v>
      </c>
      <c r="GR27" s="1066">
        <v>0.10566666666666669</v>
      </c>
      <c r="GS27" s="1066">
        <v>1</v>
      </c>
      <c r="GT27" s="1066">
        <v>0.10800000000000001</v>
      </c>
      <c r="HC27" s="1086">
        <v>60</v>
      </c>
      <c r="HD27" s="1086">
        <v>1</v>
      </c>
      <c r="HE27" s="1086">
        <v>7.1499999999999994E-2</v>
      </c>
      <c r="HF27" s="1086">
        <v>1</v>
      </c>
      <c r="HG27" s="1086">
        <v>8.2100000000000006E-2</v>
      </c>
      <c r="HH27" s="1086">
        <v>1</v>
      </c>
      <c r="HI27" s="1086">
        <v>9.0200000000000016E-2</v>
      </c>
      <c r="HJ27" s="1086">
        <v>1</v>
      </c>
      <c r="HK27" s="1086">
        <v>9.9266666666666656E-2</v>
      </c>
      <c r="HL27" s="1086">
        <v>1</v>
      </c>
      <c r="HM27" s="1086">
        <v>0.10139999999999999</v>
      </c>
      <c r="HN27" s="1086">
        <v>1</v>
      </c>
      <c r="HO27" s="1086">
        <v>0.11199999999999999</v>
      </c>
      <c r="HY27" s="1084">
        <v>60</v>
      </c>
      <c r="HZ27" s="458">
        <v>1</v>
      </c>
      <c r="IA27" s="458">
        <v>7.5999999999999998E-2</v>
      </c>
      <c r="IB27" s="1084">
        <v>1</v>
      </c>
      <c r="IC27" s="1084">
        <v>8.3466666666666661E-2</v>
      </c>
      <c r="ID27" s="458">
        <v>1</v>
      </c>
      <c r="IE27" s="458">
        <v>0.11333333333333334</v>
      </c>
      <c r="IF27" s="1084">
        <v>1</v>
      </c>
      <c r="IG27" s="1084">
        <v>0.11333333333333334</v>
      </c>
      <c r="IH27" s="1084">
        <v>1</v>
      </c>
      <c r="II27" s="1084">
        <v>0.13100000000000001</v>
      </c>
      <c r="IU27" s="1171">
        <v>60</v>
      </c>
      <c r="IV27" s="1171">
        <v>1</v>
      </c>
      <c r="IW27" s="1171">
        <v>6.3700000000000007E-2</v>
      </c>
      <c r="IX27" s="1171">
        <v>1</v>
      </c>
      <c r="IY27" s="1171">
        <v>6.695000000000001E-2</v>
      </c>
      <c r="IZ27" s="1171">
        <v>1</v>
      </c>
      <c r="JA27" s="1171">
        <v>8.8100000000000012E-2</v>
      </c>
      <c r="JB27" s="1171">
        <v>1</v>
      </c>
      <c r="JC27" s="1171">
        <v>9.6200000000000008E-2</v>
      </c>
      <c r="JD27" s="1171">
        <v>1</v>
      </c>
      <c r="JE27" s="1171">
        <v>0.10433333333333332</v>
      </c>
      <c r="JF27" s="1171">
        <v>1</v>
      </c>
      <c r="JG27" s="1171">
        <v>0.11259259259259259</v>
      </c>
    </row>
    <row r="28" spans="2:273" ht="16.5" thickBot="1" x14ac:dyDescent="0.3">
      <c r="B28" s="289">
        <v>60</v>
      </c>
      <c r="C28" s="333"/>
      <c r="D28" s="334"/>
      <c r="E28" s="334"/>
      <c r="F28" s="332"/>
      <c r="G28" s="330"/>
      <c r="H28" s="331"/>
      <c r="I28" s="331"/>
      <c r="J28" s="331"/>
      <c r="K28" s="342"/>
      <c r="L28" s="343"/>
      <c r="M28" s="343"/>
      <c r="N28" s="344"/>
      <c r="O28" s="342"/>
      <c r="P28" s="343"/>
      <c r="Q28" s="343"/>
      <c r="R28" s="344"/>
      <c r="T28" s="350"/>
      <c r="U28" s="351"/>
      <c r="V28" s="351"/>
      <c r="W28" s="351"/>
      <c r="X28" s="351"/>
      <c r="Y28" s="351"/>
      <c r="Z28" s="351"/>
      <c r="AA28" s="351"/>
      <c r="AB28" s="351"/>
      <c r="AC28" s="351"/>
      <c r="AD28" s="351"/>
      <c r="AE28" s="351"/>
      <c r="AF28" s="351"/>
      <c r="AG28" s="351"/>
      <c r="AH28" s="351"/>
      <c r="AI28" s="350"/>
      <c r="AJ28" s="351"/>
      <c r="AK28" s="351"/>
      <c r="AL28" s="351"/>
      <c r="AM28" s="351"/>
      <c r="AN28" s="351"/>
      <c r="AO28" s="351"/>
      <c r="AP28" s="351"/>
      <c r="AQ28" s="351"/>
      <c r="AR28" s="351"/>
      <c r="AS28" s="351"/>
      <c r="AT28" s="351"/>
      <c r="AU28" s="351"/>
      <c r="AV28" s="351"/>
      <c r="AW28" s="351"/>
      <c r="AX28" s="351"/>
      <c r="AY28" s="351"/>
      <c r="AZ28" s="351"/>
      <c r="BA28" s="499"/>
      <c r="BG28" s="84"/>
      <c r="BH28" s="84"/>
      <c r="BI28" s="84"/>
      <c r="BJ28" s="84"/>
      <c r="BK28" s="84"/>
      <c r="BL28" s="84"/>
      <c r="BN28" s="84"/>
      <c r="CV28" s="84"/>
      <c r="CW28" s="1055"/>
      <c r="CX28" s="1150"/>
      <c r="CY28" s="1150"/>
      <c r="CZ28" s="1150"/>
      <c r="DA28" s="1150"/>
      <c r="DB28" s="1150"/>
      <c r="DC28" s="1150"/>
      <c r="DD28" s="1150"/>
      <c r="DE28" s="1150"/>
      <c r="DF28" s="1150"/>
      <c r="DG28" s="1150"/>
      <c r="DM28" s="552"/>
      <c r="DN28" s="290"/>
      <c r="DS28" s="290"/>
      <c r="DT28" s="290"/>
      <c r="DU28" s="290"/>
      <c r="DV28" s="290"/>
      <c r="DW28" s="290"/>
      <c r="DX28" s="870"/>
      <c r="DY28" s="870"/>
      <c r="DZ28" s="870"/>
    </row>
    <row r="29" spans="2:273" ht="17.25" thickTop="1" thickBot="1" x14ac:dyDescent="0.3">
      <c r="F29" s="397" t="s">
        <v>340</v>
      </c>
      <c r="G29" s="398"/>
      <c r="H29" s="398"/>
      <c r="I29" s="398"/>
      <c r="J29" s="399"/>
      <c r="T29" s="350"/>
      <c r="U29" s="351"/>
      <c r="V29" s="351"/>
      <c r="W29" s="351"/>
      <c r="X29" s="351"/>
      <c r="Y29" s="351"/>
      <c r="Z29" s="351"/>
      <c r="AA29" s="351"/>
      <c r="AB29" s="397" t="s">
        <v>340</v>
      </c>
      <c r="AC29" s="398"/>
      <c r="AD29" s="398"/>
      <c r="AE29" s="398"/>
      <c r="AF29" s="398"/>
      <c r="AG29" s="402"/>
      <c r="AH29" s="402"/>
      <c r="AI29" s="1157"/>
      <c r="AJ29" s="402"/>
      <c r="AK29" s="402"/>
      <c r="AL29" s="402"/>
      <c r="AM29" s="402"/>
      <c r="AN29" s="402"/>
      <c r="AO29" s="402"/>
      <c r="AP29" s="402"/>
      <c r="AQ29" s="402"/>
      <c r="AR29" s="402"/>
      <c r="AS29" s="402"/>
      <c r="AT29" s="402"/>
      <c r="AU29" s="402"/>
      <c r="AV29" s="402"/>
      <c r="AW29" s="402"/>
      <c r="AX29" s="402"/>
      <c r="AY29" s="402"/>
      <c r="AZ29" s="402"/>
      <c r="BA29" s="499"/>
      <c r="BF29" s="455"/>
      <c r="BG29" s="462"/>
      <c r="BH29" s="84"/>
      <c r="BI29" s="84"/>
      <c r="BJ29" s="84"/>
      <c r="BK29" s="84"/>
      <c r="BL29" s="84"/>
      <c r="BM29" s="84"/>
      <c r="BN29" s="84"/>
      <c r="BO29">
        <f>BF29</f>
        <v>0</v>
      </c>
      <c r="BP29" s="501" t="s">
        <v>396</v>
      </c>
      <c r="CW29" s="1055"/>
      <c r="CX29" s="1150"/>
      <c r="CY29" s="1150"/>
      <c r="CZ29" s="1150"/>
      <c r="DA29" s="1150"/>
      <c r="DB29" s="1150"/>
      <c r="DC29" s="1150"/>
      <c r="DD29" s="1150"/>
      <c r="DE29" s="1150"/>
      <c r="DF29" s="1150"/>
      <c r="DG29" s="1150"/>
      <c r="DM29" s="552"/>
      <c r="DN29" s="290"/>
      <c r="DS29" s="290"/>
      <c r="DT29" s="290"/>
      <c r="DU29" s="290"/>
      <c r="DV29" s="290"/>
      <c r="DW29" s="290"/>
      <c r="DX29" s="870"/>
      <c r="DY29" s="870"/>
      <c r="DZ29" s="870"/>
      <c r="FM29" s="1051"/>
      <c r="FN29" s="1052"/>
      <c r="FO29" s="1052"/>
      <c r="FP29" s="1052"/>
      <c r="FQ29" s="1052"/>
      <c r="FR29" s="1052"/>
      <c r="FS29" s="1052"/>
      <c r="FT29" s="1052"/>
      <c r="FU29" s="1052"/>
      <c r="FV29" s="1052"/>
      <c r="FW29" s="1052"/>
      <c r="FX29" s="1052"/>
      <c r="FY29" s="1052"/>
      <c r="FZ29" s="1052"/>
      <c r="GA29" s="1052"/>
      <c r="GB29" s="1052"/>
      <c r="GC29" s="1052"/>
      <c r="GD29" s="1052"/>
      <c r="GE29" s="1053"/>
      <c r="GG29" s="412"/>
      <c r="GH29" s="412"/>
      <c r="GI29" s="412"/>
      <c r="GJ29" s="412"/>
      <c r="GK29" s="412"/>
      <c r="GL29" s="412"/>
      <c r="GM29" s="412"/>
      <c r="GN29" s="412"/>
      <c r="GO29" s="412"/>
      <c r="GP29" s="412"/>
      <c r="GQ29" s="412"/>
      <c r="GR29" s="412"/>
      <c r="GS29" s="412"/>
      <c r="GT29" s="412"/>
      <c r="GU29" s="412"/>
      <c r="GV29" s="412"/>
      <c r="GW29" s="412"/>
      <c r="GX29" s="412"/>
      <c r="GY29" s="412"/>
      <c r="HC29" s="412"/>
      <c r="HD29" s="412"/>
      <c r="HE29" s="412"/>
      <c r="HF29" s="412"/>
      <c r="HG29" s="412"/>
      <c r="HH29" s="412"/>
      <c r="HI29" s="412"/>
      <c r="HJ29" s="412"/>
      <c r="HK29" s="412"/>
      <c r="HL29" s="412"/>
      <c r="HM29" s="412"/>
      <c r="HN29" s="412"/>
      <c r="HO29" s="412"/>
      <c r="HP29" s="412"/>
      <c r="HQ29" s="412"/>
      <c r="HR29" s="412"/>
      <c r="HS29" s="412"/>
      <c r="HT29" s="412"/>
      <c r="HY29" s="412"/>
      <c r="HZ29" s="412"/>
      <c r="IA29" s="412"/>
      <c r="IB29" s="412"/>
      <c r="IC29" s="412"/>
      <c r="ID29" s="412"/>
      <c r="IE29" s="412"/>
      <c r="IF29" s="412"/>
      <c r="IG29" s="412"/>
      <c r="IH29" s="412"/>
      <c r="II29" s="412"/>
      <c r="IJ29" s="412"/>
      <c r="IK29" s="412"/>
      <c r="IL29" s="412"/>
      <c r="IM29" s="412"/>
      <c r="IN29" s="412"/>
      <c r="IO29" s="412"/>
      <c r="IP29" s="412"/>
      <c r="IU29" s="412"/>
      <c r="IV29" s="412"/>
      <c r="IW29" s="412"/>
      <c r="IX29" s="412"/>
      <c r="IY29" s="412"/>
      <c r="IZ29" s="412"/>
      <c r="JA29" s="412"/>
      <c r="JB29" s="412"/>
      <c r="JC29" s="412"/>
      <c r="JD29" s="412"/>
      <c r="JE29" s="412"/>
      <c r="JF29" s="412"/>
      <c r="JG29" s="412"/>
      <c r="JH29" s="412"/>
      <c r="JI29" s="412"/>
      <c r="JJ29" s="412"/>
      <c r="JK29" s="412"/>
      <c r="JL29" s="412"/>
    </row>
    <row r="30" spans="2:273" ht="16.5" thickBot="1" x14ac:dyDescent="0.3">
      <c r="B30" s="289" t="s">
        <v>221</v>
      </c>
      <c r="C30" s="301">
        <f>+RWDI_FACTORS!F8/RWDI_FACTORS!D7/0.3048*12</f>
        <v>11.882578740157481</v>
      </c>
      <c r="D30" s="299">
        <f>MATCH(C$30,$B$8:$B$28,1)</f>
        <v>8</v>
      </c>
      <c r="F30" s="400">
        <f>+RWDI_FACTORS!D6*12/RWDI_FACTORS!D7</f>
        <v>17.815830000000002</v>
      </c>
      <c r="G30" s="401">
        <f>MATCH(F$30,$B$8:$B$28,1)</f>
        <v>11</v>
      </c>
      <c r="H30" s="402"/>
      <c r="I30" s="402"/>
      <c r="J30" s="403"/>
      <c r="T30" s="350"/>
      <c r="U30" s="351"/>
      <c r="V30" s="346" t="s">
        <v>221</v>
      </c>
      <c r="W30" s="387">
        <f>+RWDI_FACTORS!F8/RWDI_FACTORS!D7/0.3048*12</f>
        <v>11.882578740157481</v>
      </c>
      <c r="X30" s="347">
        <f>MATCH($C$30,$V$8:$V$28,1)</f>
        <v>8</v>
      </c>
      <c r="Y30" s="347"/>
      <c r="Z30" s="347"/>
      <c r="AA30" s="351"/>
      <c r="AB30" s="400">
        <f>+F30</f>
        <v>17.815830000000002</v>
      </c>
      <c r="AC30" s="401">
        <f>MATCH(AB$30,$V$8:$V$28,1)</f>
        <v>11</v>
      </c>
      <c r="AD30" s="402"/>
      <c r="AE30" s="402"/>
      <c r="AF30" s="402"/>
      <c r="AG30" s="402"/>
      <c r="AH30" s="402"/>
      <c r="AI30" s="1157"/>
      <c r="AJ30" s="402"/>
      <c r="AK30" s="402"/>
      <c r="AL30" s="402"/>
      <c r="AM30" s="402"/>
      <c r="AN30" s="402"/>
      <c r="AO30" s="402"/>
      <c r="AP30" s="402"/>
      <c r="AQ30" s="402"/>
      <c r="AR30" s="402"/>
      <c r="AS30" s="402"/>
      <c r="AT30" s="402"/>
      <c r="AU30" s="402"/>
      <c r="AV30" s="402"/>
      <c r="AW30" s="402"/>
      <c r="AX30" s="402"/>
      <c r="AY30" s="402"/>
      <c r="AZ30" s="402"/>
      <c r="BA30" s="499"/>
      <c r="BG30" s="84"/>
      <c r="BH30" s="84"/>
      <c r="BI30" s="84"/>
      <c r="BJ30" s="84"/>
      <c r="BK30" s="84"/>
      <c r="BL30" s="84"/>
      <c r="BM30" s="84"/>
      <c r="BN30" s="84"/>
      <c r="BO30" s="465">
        <v>8</v>
      </c>
      <c r="BP30">
        <f ca="1">LN(1/INDEX(BP$8:BP$27,$BO31))/LN(60/$BO30)</f>
        <v>9.9898490403745349E-2</v>
      </c>
      <c r="BR30">
        <f ca="1">LN(1/INDEX(BR$8:BR$27,$BO31))/LN(60/$BO30)</f>
        <v>0.14300745874630505</v>
      </c>
      <c r="BT30">
        <f ca="1">LN(1/INDEX(BT$8:BT$27,$BO31))/LN(60/$BO30)</f>
        <v>0.1795677290108281</v>
      </c>
      <c r="BV30">
        <f ca="1">LN(1/INDEX(BV$8:BV$27,$BO31))/LN(60/$BO30)</f>
        <v>0.22421735382511931</v>
      </c>
      <c r="BX30">
        <f ca="1">LN(1/INDEX(BX$8:BX$27,$BO31))/LN(60/$BO30)</f>
        <v>0.2421132155217636</v>
      </c>
      <c r="BZ30">
        <f ca="1">LN(1/INDEX(BZ$8:BZ$27,$BO31))/LN(60/$BO30)</f>
        <v>0.2793749348817216</v>
      </c>
      <c r="CB30" t="e">
        <f ca="1">LN(1/INDEX(CB$8:CB$27,$BO31))/LN(60/$BO30)</f>
        <v>#REF!</v>
      </c>
      <c r="CD30" t="e">
        <f ca="1">LN(1/INDEX(CD$8:CD$27,$BO31))/LN(60/$BO30)</f>
        <v>#REF!</v>
      </c>
      <c r="CF30" t="e">
        <f ca="1">LN(1/INDEX(CF$8:CF$27,$BO31))/LN(60/$BO30)</f>
        <v>#REF!</v>
      </c>
      <c r="CH30" t="e">
        <f ca="1">LN(1/INDEX(CH$8:CH$27,$BO31))/LN(60/$BO30)</f>
        <v>#REF!</v>
      </c>
      <c r="CJ30" t="e">
        <f ca="1">LN(1/INDEX(CJ$8:CJ$27,$BO31))/LN(60/$BO30)</f>
        <v>#REF!</v>
      </c>
      <c r="CL30" t="e">
        <f ca="1">LN(1/INDEX(CL$8:CL$27,$BO31))/LN(60/$BO30)</f>
        <v>#REF!</v>
      </c>
      <c r="CN30" t="e">
        <f ca="1">LN(1/INDEX(CN$8:CN$27,$BO31))/LN(60/$BO30)</f>
        <v>#REF!</v>
      </c>
      <c r="CP30" t="e">
        <f ca="1">LN(1/INDEX(CP$8:CP$27,$BO31))/LN(60/$BO30)</f>
        <v>#REF!</v>
      </c>
      <c r="CR30" t="e">
        <f ca="1">LN(1/INDEX(CR$8:CR$27,$BO31))/LN(60/$BO30)</f>
        <v>#REF!</v>
      </c>
      <c r="CW30" s="1055"/>
      <c r="CX30" s="1150"/>
      <c r="CY30" s="1150"/>
      <c r="CZ30" s="1150"/>
      <c r="DA30" s="1150"/>
      <c r="DB30" s="1150"/>
      <c r="DC30" s="1150"/>
      <c r="DD30" s="1150"/>
      <c r="DE30" s="1150"/>
      <c r="DF30" s="1150"/>
      <c r="DG30" s="1150"/>
      <c r="DM30" s="552"/>
      <c r="DN30" s="290"/>
      <c r="DS30" s="290"/>
      <c r="DT30" s="290"/>
      <c r="DU30" s="290"/>
      <c r="DV30" s="290"/>
      <c r="DW30" s="290"/>
      <c r="DX30" s="870"/>
      <c r="DY30" s="870"/>
      <c r="DZ30" s="870"/>
      <c r="EL30" s="523"/>
      <c r="EM30" s="524"/>
      <c r="EN30" s="524"/>
      <c r="EO30" s="524"/>
      <c r="EP30" s="524"/>
      <c r="EQ30" s="524"/>
      <c r="ER30" s="524"/>
      <c r="ES30" s="524"/>
      <c r="ET30" s="524"/>
      <c r="EU30" s="524"/>
      <c r="EV30" s="524"/>
      <c r="EW30" s="524"/>
      <c r="EX30" s="524"/>
      <c r="EY30" s="524"/>
      <c r="EZ30" s="524"/>
      <c r="FA30" s="524"/>
      <c r="FB30" s="524"/>
      <c r="FC30" s="524"/>
      <c r="FD30" s="524"/>
      <c r="FE30" s="524"/>
      <c r="FF30" s="525"/>
      <c r="FM30" s="1054"/>
      <c r="FN30" s="1055"/>
      <c r="FO30" s="1055"/>
      <c r="FP30" s="1055"/>
      <c r="FQ30" s="1055"/>
      <c r="FR30" s="1055"/>
      <c r="FS30" s="1055"/>
      <c r="FT30" s="1055"/>
      <c r="FU30" s="1055"/>
      <c r="FV30" s="1055"/>
      <c r="FW30" s="1055"/>
      <c r="FX30" s="1055"/>
      <c r="FY30" s="1055"/>
      <c r="FZ30" s="1055"/>
      <c r="GA30" s="1055"/>
      <c r="GB30" s="1055"/>
      <c r="GC30" s="1055"/>
      <c r="GD30" s="1055"/>
      <c r="GE30" s="1056"/>
      <c r="GG30" s="412"/>
      <c r="GH30" s="412"/>
      <c r="GI30" s="412"/>
      <c r="GJ30" s="412"/>
      <c r="GK30" s="412"/>
      <c r="GL30" s="412"/>
      <c r="GM30" s="412"/>
      <c r="GN30" s="412"/>
      <c r="GO30" s="412"/>
      <c r="GP30" s="412"/>
      <c r="GQ30" s="412"/>
      <c r="GR30" s="412"/>
      <c r="GS30" s="412"/>
      <c r="GT30" s="412"/>
      <c r="GU30" s="412"/>
      <c r="GV30" s="412"/>
      <c r="GW30" s="412"/>
      <c r="GX30" s="412"/>
      <c r="GY30" s="412"/>
      <c r="HC30" s="412"/>
      <c r="HD30" s="412"/>
      <c r="HE30" s="412"/>
      <c r="HF30" s="412"/>
      <c r="HG30" s="412"/>
      <c r="HH30" s="412"/>
      <c r="HI30" s="412"/>
      <c r="HJ30" s="412"/>
      <c r="HK30" s="412"/>
      <c r="HL30" s="412"/>
      <c r="HM30" s="412"/>
      <c r="HN30" s="412"/>
      <c r="HO30" s="412"/>
      <c r="HP30" s="412"/>
      <c r="HQ30" s="412"/>
      <c r="HR30" s="412"/>
      <c r="HS30" s="412"/>
      <c r="HT30" s="412"/>
      <c r="HY30" s="412"/>
      <c r="HZ30" s="412"/>
      <c r="IA30" s="412"/>
      <c r="IB30" s="412"/>
      <c r="IC30" s="412"/>
      <c r="ID30" s="412"/>
      <c r="IE30" s="412"/>
      <c r="IF30" s="412"/>
      <c r="IG30" s="412"/>
      <c r="IH30" s="412"/>
      <c r="II30" s="412"/>
      <c r="IJ30" s="412"/>
      <c r="IK30" s="412"/>
      <c r="IL30" s="412"/>
      <c r="IM30" s="412"/>
      <c r="IN30" s="412"/>
      <c r="IO30" s="412"/>
      <c r="IP30" s="412"/>
      <c r="IU30" s="412"/>
      <c r="IV30" s="412"/>
      <c r="IW30" s="412"/>
      <c r="IX30" s="412"/>
      <c r="IY30" s="412"/>
      <c r="IZ30" s="412"/>
      <c r="JA30" s="412"/>
      <c r="JB30" s="412"/>
      <c r="JC30" s="412"/>
      <c r="JD30" s="412"/>
      <c r="JE30" s="412"/>
      <c r="JF30" s="412"/>
      <c r="JG30" s="412"/>
      <c r="JH30" s="412"/>
      <c r="JI30" s="412"/>
      <c r="JJ30" s="412"/>
      <c r="JK30" s="412"/>
      <c r="JL30" s="412"/>
    </row>
    <row r="31" spans="2:273" ht="20.25" thickTop="1" thickBot="1" x14ac:dyDescent="0.35">
      <c r="D31" s="299">
        <f>+D30+1</f>
        <v>9</v>
      </c>
      <c r="F31" s="404"/>
      <c r="G31" s="405">
        <f>+G30+1</f>
        <v>12</v>
      </c>
      <c r="H31" s="406"/>
      <c r="I31" s="406"/>
      <c r="J31" s="407"/>
      <c r="T31" s="350"/>
      <c r="U31" s="351"/>
      <c r="V31" s="351"/>
      <c r="W31" s="351"/>
      <c r="X31" s="347">
        <f>+X30+1</f>
        <v>9</v>
      </c>
      <c r="Y31" s="347"/>
      <c r="Z31" s="347"/>
      <c r="AA31" s="351"/>
      <c r="AB31" s="404"/>
      <c r="AC31" s="405">
        <f>+AC30+1</f>
        <v>12</v>
      </c>
      <c r="AD31" s="406"/>
      <c r="AE31" s="406"/>
      <c r="AF31" s="406"/>
      <c r="AG31" s="402"/>
      <c r="AH31" s="402"/>
      <c r="AI31" s="1157"/>
      <c r="AJ31" s="402"/>
      <c r="AK31" s="402"/>
      <c r="AL31" s="402"/>
      <c r="AM31" s="402"/>
      <c r="AN31" s="402"/>
      <c r="AO31" s="402"/>
      <c r="AP31" s="402"/>
      <c r="AQ31" s="402"/>
      <c r="AR31" s="402"/>
      <c r="AS31" s="402"/>
      <c r="AT31" s="402"/>
      <c r="AU31" s="402"/>
      <c r="AV31" s="402"/>
      <c r="AW31" s="402"/>
      <c r="AX31" s="402"/>
      <c r="AY31" s="402"/>
      <c r="AZ31" s="402"/>
      <c r="BA31" s="499"/>
      <c r="BG31" s="84"/>
      <c r="BH31" s="84"/>
      <c r="BI31" s="84"/>
      <c r="BJ31" s="84"/>
      <c r="BK31" s="84"/>
      <c r="BL31" s="84"/>
      <c r="BM31" s="84"/>
      <c r="BN31" s="84"/>
      <c r="BO31" s="464">
        <f>MATCH(BO30,BM$8:BM$27)</f>
        <v>7</v>
      </c>
      <c r="CW31" s="1055"/>
      <c r="CX31" s="1150"/>
      <c r="CY31" s="1150"/>
      <c r="CZ31" s="1150"/>
      <c r="DA31" s="1150"/>
      <c r="DB31" s="1150"/>
      <c r="DC31" s="1150"/>
      <c r="DD31" s="1150"/>
      <c r="DE31" s="1150"/>
      <c r="DF31" s="1150"/>
      <c r="DG31" s="1150"/>
      <c r="DM31" s="552"/>
      <c r="DN31" s="290"/>
      <c r="DS31" s="290"/>
      <c r="DT31" s="290"/>
      <c r="DU31" s="290"/>
      <c r="DV31" s="290"/>
      <c r="DW31" s="290"/>
      <c r="DX31" s="870"/>
      <c r="DY31" s="870"/>
      <c r="DZ31" s="870"/>
      <c r="EL31" s="526"/>
      <c r="EM31" s="863" t="s">
        <v>541</v>
      </c>
      <c r="EN31" s="549"/>
      <c r="EO31" s="549"/>
      <c r="EP31" s="549"/>
      <c r="EQ31" s="549"/>
      <c r="ER31" s="549"/>
      <c r="ES31" s="549"/>
      <c r="ET31" s="549"/>
      <c r="EU31" s="549"/>
      <c r="EV31" s="549"/>
      <c r="EW31" s="549"/>
      <c r="EX31" s="549"/>
      <c r="EY31" s="549"/>
      <c r="EZ31" s="549"/>
      <c r="FA31" s="549"/>
      <c r="FB31" s="549"/>
      <c r="FC31" s="549"/>
      <c r="FD31" s="549"/>
      <c r="FE31" s="545"/>
      <c r="FF31" s="527"/>
      <c r="FM31" s="1054"/>
      <c r="FN31" s="1046" t="s">
        <v>541</v>
      </c>
      <c r="FO31" s="1047"/>
      <c r="FP31" s="1047"/>
      <c r="FQ31" s="1048" t="s">
        <v>631</v>
      </c>
      <c r="FR31" s="1047"/>
      <c r="FS31" s="1047"/>
      <c r="FT31" s="1047"/>
      <c r="FU31" s="1047"/>
      <c r="FV31" s="1047"/>
      <c r="FW31" s="1047"/>
      <c r="FX31" s="1047"/>
      <c r="FY31" s="1047"/>
      <c r="FZ31" s="1047"/>
      <c r="GA31" s="1047"/>
      <c r="GB31" s="1047"/>
      <c r="GC31" s="1047"/>
      <c r="GD31" s="1060"/>
      <c r="GE31" s="1056"/>
      <c r="GG31" s="412"/>
      <c r="GH31" s="1224" t="s">
        <v>542</v>
      </c>
      <c r="GI31" s="1224" t="s">
        <v>642</v>
      </c>
      <c r="GJ31" s="1225" t="s">
        <v>551</v>
      </c>
      <c r="GK31" s="1225"/>
      <c r="GL31" s="1225"/>
      <c r="GM31" s="1225"/>
      <c r="GN31" s="1225"/>
      <c r="GO31" s="1225"/>
      <c r="GP31" s="1225"/>
      <c r="GQ31" s="1225"/>
      <c r="GR31" s="1225"/>
      <c r="GS31" s="1225"/>
      <c r="GT31" s="1225"/>
      <c r="GU31" s="1225"/>
      <c r="GV31" s="1225"/>
      <c r="GW31" s="1225"/>
      <c r="GX31" s="1225"/>
      <c r="GY31" s="1225"/>
      <c r="GZ31" s="1224" t="s">
        <v>643</v>
      </c>
      <c r="HC31" s="1238" t="s">
        <v>542</v>
      </c>
      <c r="HD31" s="1238" t="s">
        <v>642</v>
      </c>
      <c r="HE31" s="1239" t="s">
        <v>551</v>
      </c>
      <c r="HF31" s="1239"/>
      <c r="HG31" s="1239"/>
      <c r="HH31" s="1239"/>
      <c r="HI31" s="1239"/>
      <c r="HJ31" s="1239"/>
      <c r="HK31" s="1239"/>
      <c r="HL31" s="1239"/>
      <c r="HM31" s="1239"/>
      <c r="HN31" s="1239"/>
      <c r="HO31" s="1239"/>
      <c r="HP31" s="1239"/>
      <c r="HQ31" s="1239"/>
      <c r="HR31" s="1239"/>
      <c r="HS31" s="1239"/>
      <c r="HT31" s="1239"/>
      <c r="HU31" s="1238" t="s">
        <v>643</v>
      </c>
      <c r="HV31" s="1238" t="s">
        <v>551</v>
      </c>
      <c r="HY31" s="1224" t="s">
        <v>542</v>
      </c>
      <c r="HZ31" s="1224" t="s">
        <v>642</v>
      </c>
      <c r="IA31" s="1225" t="s">
        <v>551</v>
      </c>
      <c r="IB31" s="1225"/>
      <c r="IC31" s="1225"/>
      <c r="ID31" s="1225"/>
      <c r="IE31" s="1225"/>
      <c r="IF31" s="1225"/>
      <c r="IG31" s="1225"/>
      <c r="IH31" s="1225"/>
      <c r="II31" s="1225"/>
      <c r="IJ31" s="1225"/>
      <c r="IK31" s="1225"/>
      <c r="IL31" s="1225"/>
      <c r="IM31" s="1225"/>
      <c r="IN31" s="1225"/>
      <c r="IO31" s="1225"/>
      <c r="IP31" s="1225"/>
      <c r="IQ31" s="1224" t="s">
        <v>643</v>
      </c>
      <c r="IR31" s="1224" t="s">
        <v>551</v>
      </c>
      <c r="IU31" s="1222" t="s">
        <v>542</v>
      </c>
      <c r="IV31" s="1222" t="s">
        <v>642</v>
      </c>
      <c r="IW31" s="1223" t="s">
        <v>551</v>
      </c>
      <c r="IX31" s="1223"/>
      <c r="IY31" s="1223"/>
      <c r="IZ31" s="1223"/>
      <c r="JA31" s="1223"/>
      <c r="JB31" s="1223"/>
      <c r="JC31" s="1223"/>
      <c r="JD31" s="1223"/>
      <c r="JE31" s="1223"/>
      <c r="JF31" s="1223"/>
      <c r="JG31" s="1223"/>
      <c r="JH31" s="1223"/>
      <c r="JI31" s="1223"/>
      <c r="JJ31" s="1223"/>
      <c r="JK31" s="1223"/>
      <c r="JL31" s="1223"/>
      <c r="JM31" s="1222" t="s">
        <v>643</v>
      </c>
    </row>
    <row r="32" spans="2:273" ht="18.75" x14ac:dyDescent="0.3">
      <c r="T32" s="350"/>
      <c r="U32" s="351"/>
      <c r="V32" s="351"/>
      <c r="W32" s="351"/>
      <c r="X32" s="351"/>
      <c r="Y32" s="351"/>
      <c r="Z32" s="351"/>
      <c r="AA32" s="351"/>
      <c r="AB32" s="351"/>
      <c r="AC32" s="351"/>
      <c r="AD32" s="351"/>
      <c r="AE32" s="351"/>
      <c r="AF32" s="351"/>
      <c r="AG32" s="351"/>
      <c r="AH32" s="351"/>
      <c r="AI32" s="350"/>
      <c r="AJ32" s="351"/>
      <c r="AK32" s="351"/>
      <c r="AL32" s="351"/>
      <c r="AM32" s="351"/>
      <c r="AN32" s="351"/>
      <c r="AO32" s="351"/>
      <c r="AP32" s="351"/>
      <c r="AQ32" s="351"/>
      <c r="AR32" s="351"/>
      <c r="AS32" s="351"/>
      <c r="AT32" s="351"/>
      <c r="AU32" s="351"/>
      <c r="AV32" s="351"/>
      <c r="AW32" s="351"/>
      <c r="AX32" s="351"/>
      <c r="AY32" s="351"/>
      <c r="AZ32" s="351"/>
      <c r="BA32" s="499"/>
      <c r="BG32" s="84"/>
      <c r="BH32" s="84"/>
      <c r="BI32" s="84"/>
      <c r="BJ32" s="84"/>
      <c r="BK32" s="84"/>
      <c r="BL32" s="84"/>
      <c r="BM32" s="84"/>
      <c r="BN32" s="84"/>
      <c r="BO32" s="465">
        <v>20</v>
      </c>
      <c r="BP32">
        <f ca="1">LN(1/INDEX(BP$8:BP$27,$BO33))/LN(60/$BO32)</f>
        <v>9.5136270700405395E-2</v>
      </c>
      <c r="BR32">
        <f ca="1">LN(1/INDEX(BR$8:BR$27,$BO33))/LN(60/$BO32)</f>
        <v>0.14244966969164444</v>
      </c>
      <c r="BT32">
        <f ca="1">LN(1/INDEX(BT$8:BT$27,$BO33))/LN(60/$BO32)</f>
        <v>0.19445180446160823</v>
      </c>
      <c r="BV32">
        <f ca="1">LN(1/INDEX(BV$8:BV$27,$BO33))/LN(60/$BO32)</f>
        <v>0.24826492013453225</v>
      </c>
      <c r="BX32">
        <f ca="1">LN(1/INDEX(BX$8:BX$27,$BO33))/LN(60/$BO32)</f>
        <v>0.25037535003297695</v>
      </c>
      <c r="BZ32">
        <f ca="1">LN(1/INDEX(BZ$8:BZ$27,$BO33))/LN(60/$BO32)</f>
        <v>0.2910404063974481</v>
      </c>
      <c r="CB32" t="e">
        <f ca="1">LN(1/INDEX(CB$8:CB$27,$BO33))/LN(60/$BO32)</f>
        <v>#REF!</v>
      </c>
      <c r="CD32" t="e">
        <f ca="1">LN(1/INDEX(CD$8:CD$27,$BO33))/LN(60/$BO32)</f>
        <v>#REF!</v>
      </c>
      <c r="CF32" t="e">
        <f ca="1">LN(1/INDEX(CF$8:CF$27,$BO33))/LN(60/$BO32)</f>
        <v>#REF!</v>
      </c>
      <c r="CH32" t="e">
        <f ca="1">LN(1/INDEX(CH$8:CH$27,$BO33))/LN(60/$BO32)</f>
        <v>#REF!</v>
      </c>
      <c r="CJ32" t="e">
        <f ca="1">LN(1/INDEX(CJ$8:CJ$27,$BO33))/LN(60/$BO32)</f>
        <v>#REF!</v>
      </c>
      <c r="CL32" t="e">
        <f ca="1">LN(1/INDEX(CL$8:CL$27,$BO33))/LN(60/$BO32)</f>
        <v>#REF!</v>
      </c>
      <c r="CN32" t="e">
        <f ca="1">LN(1/INDEX(CN$8:CN$27,$BO33))/LN(60/$BO32)</f>
        <v>#REF!</v>
      </c>
      <c r="CP32" t="e">
        <f ca="1">LN(1/INDEX(CP$8:CP$27,$BO33))/LN(60/$BO32)</f>
        <v>#REF!</v>
      </c>
      <c r="CR32" t="e">
        <f ca="1">LN(1/INDEX(CR$8:CR$27,$BO33))/LN(60/$BO32)</f>
        <v>#REF!</v>
      </c>
      <c r="CW32" s="1055"/>
      <c r="CX32" s="1150"/>
      <c r="CY32" s="1150"/>
      <c r="CZ32" s="1150"/>
      <c r="DA32" s="1150"/>
      <c r="DB32" s="1150"/>
      <c r="DC32" s="1150"/>
      <c r="DD32" s="1150"/>
      <c r="DE32" s="1150"/>
      <c r="DF32" s="1150"/>
      <c r="DG32" s="1150"/>
      <c r="DM32" s="552"/>
      <c r="DN32" s="290"/>
      <c r="DS32" s="290"/>
      <c r="DT32" s="290"/>
      <c r="DU32" s="290"/>
      <c r="DV32" s="290"/>
      <c r="DW32" s="290"/>
      <c r="DX32" s="870"/>
      <c r="DY32" s="870"/>
      <c r="DZ32" s="870"/>
      <c r="EL32" s="526"/>
      <c r="EM32" s="864" t="s">
        <v>542</v>
      </c>
      <c r="EN32" s="412" t="s">
        <v>543</v>
      </c>
      <c r="EO32" s="412" t="s">
        <v>544</v>
      </c>
      <c r="EP32" s="412" t="s">
        <v>391</v>
      </c>
      <c r="EQ32" s="412" t="s">
        <v>545</v>
      </c>
      <c r="ER32" s="865" t="s">
        <v>551</v>
      </c>
      <c r="ES32" s="412"/>
      <c r="ET32" s="412"/>
      <c r="EU32" s="412"/>
      <c r="EV32" s="412"/>
      <c r="EW32" s="412"/>
      <c r="EX32" s="412"/>
      <c r="EY32" s="412"/>
      <c r="EZ32" s="412"/>
      <c r="FA32" s="412"/>
      <c r="FB32" s="412"/>
      <c r="FC32" s="412"/>
      <c r="FD32" s="412"/>
      <c r="FE32" s="546"/>
      <c r="FF32" s="527"/>
      <c r="FM32" s="1054"/>
      <c r="FN32" s="1049" t="s">
        <v>542</v>
      </c>
      <c r="FO32" s="412" t="s">
        <v>543</v>
      </c>
      <c r="FP32" s="412" t="s">
        <v>544</v>
      </c>
      <c r="FQ32" s="412" t="s">
        <v>543</v>
      </c>
      <c r="FR32" s="412" t="s">
        <v>544</v>
      </c>
      <c r="FS32" s="412" t="s">
        <v>391</v>
      </c>
      <c r="FT32" s="412" t="s">
        <v>545</v>
      </c>
      <c r="FU32" s="412" t="s">
        <v>636</v>
      </c>
      <c r="FV32" s="412"/>
      <c r="FW32" s="412"/>
      <c r="FX32" s="412"/>
      <c r="FY32" s="412"/>
      <c r="FZ32" s="412"/>
      <c r="GA32" s="412"/>
      <c r="GB32" s="412"/>
      <c r="GC32" s="412"/>
      <c r="GD32" s="1061"/>
      <c r="GE32" s="1056"/>
      <c r="GG32" s="412"/>
      <c r="GH32" s="1224"/>
      <c r="GI32" s="1224"/>
      <c r="GJ32" s="1139">
        <v>1</v>
      </c>
      <c r="GK32" s="1139">
        <v>2</v>
      </c>
      <c r="GL32" s="1139">
        <v>3</v>
      </c>
      <c r="GM32" s="1139">
        <v>4</v>
      </c>
      <c r="GN32" s="1139">
        <v>5</v>
      </c>
      <c r="GO32" s="1139">
        <v>6</v>
      </c>
      <c r="GP32" s="1139">
        <v>7</v>
      </c>
      <c r="GQ32" s="1139">
        <v>8</v>
      </c>
      <c r="GR32" s="1139">
        <v>9</v>
      </c>
      <c r="GS32" s="1139">
        <v>10</v>
      </c>
      <c r="GT32" s="1139">
        <v>11</v>
      </c>
      <c r="GU32" s="1139">
        <v>12</v>
      </c>
      <c r="GV32" s="1139">
        <v>13</v>
      </c>
      <c r="GW32" s="1139">
        <v>14</v>
      </c>
      <c r="GX32" s="1139">
        <v>15</v>
      </c>
      <c r="GY32" s="1139">
        <v>16</v>
      </c>
      <c r="GZ32" s="1224"/>
      <c r="HC32" s="1238"/>
      <c r="HD32" s="1238"/>
      <c r="HE32" s="1093">
        <v>1</v>
      </c>
      <c r="HF32" s="1093">
        <v>2</v>
      </c>
      <c r="HG32" s="1093">
        <v>3</v>
      </c>
      <c r="HH32" s="1093">
        <v>4</v>
      </c>
      <c r="HI32" s="1093">
        <v>5</v>
      </c>
      <c r="HJ32" s="1093">
        <v>6</v>
      </c>
      <c r="HK32" s="1093">
        <v>7</v>
      </c>
      <c r="HL32" s="1093">
        <v>8</v>
      </c>
      <c r="HM32" s="1093">
        <v>9</v>
      </c>
      <c r="HN32" s="1093">
        <v>10</v>
      </c>
      <c r="HO32" s="1093">
        <v>11</v>
      </c>
      <c r="HP32" s="1093">
        <v>12</v>
      </c>
      <c r="HQ32" s="1093">
        <v>13</v>
      </c>
      <c r="HR32" s="1093">
        <v>14</v>
      </c>
      <c r="HS32" s="1093">
        <v>15</v>
      </c>
      <c r="HT32" s="1093">
        <v>16</v>
      </c>
      <c r="HU32" s="1238"/>
      <c r="HV32" s="1238"/>
      <c r="HY32" s="1224"/>
      <c r="HZ32" s="1224"/>
      <c r="IA32" s="1091">
        <v>1</v>
      </c>
      <c r="IB32" s="1091">
        <v>2</v>
      </c>
      <c r="IC32" s="1091">
        <v>3</v>
      </c>
      <c r="ID32" s="1091">
        <v>4</v>
      </c>
      <c r="IE32" s="1091">
        <v>5</v>
      </c>
      <c r="IF32" s="1091">
        <v>6</v>
      </c>
      <c r="IG32" s="1091">
        <v>7</v>
      </c>
      <c r="IH32" s="1091">
        <v>8</v>
      </c>
      <c r="II32" s="1091">
        <v>9</v>
      </c>
      <c r="IJ32" s="1091">
        <v>10</v>
      </c>
      <c r="IK32" s="1091">
        <v>11</v>
      </c>
      <c r="IL32" s="1091">
        <v>12</v>
      </c>
      <c r="IM32" s="1091">
        <v>13</v>
      </c>
      <c r="IN32" s="1091">
        <v>14</v>
      </c>
      <c r="IO32" s="1091">
        <v>15</v>
      </c>
      <c r="IP32" s="1091">
        <v>16</v>
      </c>
      <c r="IQ32" s="1224"/>
      <c r="IR32" s="1224"/>
      <c r="IU32" s="1222"/>
      <c r="IV32" s="1222"/>
      <c r="IW32" s="1170">
        <v>1</v>
      </c>
      <c r="IX32" s="1170">
        <v>2</v>
      </c>
      <c r="IY32" s="1170">
        <v>3</v>
      </c>
      <c r="IZ32" s="1170">
        <v>4</v>
      </c>
      <c r="JA32" s="1170">
        <v>5</v>
      </c>
      <c r="JB32" s="1170">
        <v>6</v>
      </c>
      <c r="JC32" s="1170">
        <v>7</v>
      </c>
      <c r="JD32" s="1170">
        <v>8</v>
      </c>
      <c r="JE32" s="1170">
        <v>9</v>
      </c>
      <c r="JF32" s="1170">
        <v>10</v>
      </c>
      <c r="JG32" s="1170">
        <v>11</v>
      </c>
      <c r="JH32" s="1170">
        <v>12</v>
      </c>
      <c r="JI32" s="1170">
        <v>13</v>
      </c>
      <c r="JJ32" s="1170">
        <v>14</v>
      </c>
      <c r="JK32" s="1170">
        <v>15</v>
      </c>
      <c r="JL32" s="1170">
        <v>16</v>
      </c>
      <c r="JM32" s="1222"/>
    </row>
    <row r="33" spans="1:273" ht="15.75" x14ac:dyDescent="0.25">
      <c r="A33" s="276" t="s">
        <v>222</v>
      </c>
      <c r="B33" s="289">
        <f t="shared" ref="B33" si="58">+INDEX(B$8:B$28,$D30,0)</f>
        <v>10</v>
      </c>
      <c r="C33" s="290"/>
      <c r="D33" s="290"/>
      <c r="E33" s="290"/>
      <c r="F33" s="290"/>
      <c r="G33" s="290"/>
      <c r="H33" s="290"/>
      <c r="I33" s="290"/>
      <c r="J33" s="290"/>
      <c r="K33" s="298"/>
      <c r="L33" s="298"/>
      <c r="M33" s="298"/>
      <c r="N33" s="298"/>
      <c r="O33" s="298"/>
      <c r="P33" s="298"/>
      <c r="Q33" s="298"/>
      <c r="R33" s="298"/>
      <c r="T33" s="350"/>
      <c r="U33" s="353" t="s">
        <v>222</v>
      </c>
      <c r="V33" s="346">
        <f>+INDEX(V$8:V$27,$X30,0)</f>
        <v>10</v>
      </c>
      <c r="W33" s="354">
        <f ca="1">+INDEX(W$8:W$28,$X30,0)</f>
        <v>0.83954875657359995</v>
      </c>
      <c r="X33" s="354">
        <f t="shared" ref="W33:AF34" ca="1" si="59">+INDEX(X$8:X$28,$X30,0)</f>
        <v>0.1009</v>
      </c>
      <c r="Y33" s="354">
        <f t="shared" ref="Y33:Z33" ca="1" si="60">+INDEX(Y$8:Y$28,$X30,0)</f>
        <v>0.7840654643321755</v>
      </c>
      <c r="Z33" s="354">
        <f t="shared" ca="1" si="60"/>
        <v>0.124</v>
      </c>
      <c r="AA33" s="354">
        <f t="shared" ca="1" si="59"/>
        <v>0.72171431480217096</v>
      </c>
      <c r="AB33" s="354">
        <f t="shared" ca="1" si="59"/>
        <v>0.15983333333333336</v>
      </c>
      <c r="AC33" s="354">
        <f t="shared" ca="1" si="59"/>
        <v>0.66286432087190905</v>
      </c>
      <c r="AD33" s="354">
        <f t="shared" ca="1" si="59"/>
        <v>0.18666666666666668</v>
      </c>
      <c r="AE33" s="354">
        <f t="shared" ca="1" si="59"/>
        <v>0.63789424043461218</v>
      </c>
      <c r="AF33" s="354">
        <f t="shared" ca="1" si="59"/>
        <v>0.214</v>
      </c>
      <c r="AG33" s="354">
        <f t="shared" ref="AG33:AH33" ca="1" si="61">+INDEX(AG$8:AG$28,$X30,0)</f>
        <v>0.60905349794238683</v>
      </c>
      <c r="AH33" s="354">
        <f t="shared" ca="1" si="61"/>
        <v>0.23499999999999999</v>
      </c>
      <c r="AI33" s="1158" t="e">
        <f t="shared" ref="AI33:AV33" ca="1" si="62">+INDEX(AI$8:AI$28,$X30,0)</f>
        <v>#REF!</v>
      </c>
      <c r="AJ33" s="354" t="e">
        <f t="shared" ca="1" si="62"/>
        <v>#REF!</v>
      </c>
      <c r="AK33" s="354" t="e">
        <f t="shared" ca="1" si="62"/>
        <v>#REF!</v>
      </c>
      <c r="AL33" s="354" t="e">
        <f t="shared" ca="1" si="62"/>
        <v>#REF!</v>
      </c>
      <c r="AM33" s="354" t="e">
        <f t="shared" ca="1" si="62"/>
        <v>#REF!</v>
      </c>
      <c r="AN33" s="354" t="e">
        <f t="shared" ca="1" si="62"/>
        <v>#REF!</v>
      </c>
      <c r="AO33" s="354" t="e">
        <f t="shared" ca="1" si="62"/>
        <v>#REF!</v>
      </c>
      <c r="AP33" s="354" t="e">
        <f t="shared" ca="1" si="62"/>
        <v>#REF!</v>
      </c>
      <c r="AQ33" s="354" t="e">
        <f t="shared" ca="1" si="62"/>
        <v>#REF!</v>
      </c>
      <c r="AR33" s="354" t="e">
        <f t="shared" ca="1" si="62"/>
        <v>#REF!</v>
      </c>
      <c r="AS33" s="354" t="e">
        <f t="shared" ca="1" si="62"/>
        <v>#REF!</v>
      </c>
      <c r="AT33" s="354" t="e">
        <f t="shared" ca="1" si="62"/>
        <v>#REF!</v>
      </c>
      <c r="AU33" s="354" t="e">
        <f t="shared" ca="1" si="62"/>
        <v>#REF!</v>
      </c>
      <c r="AV33" s="354" t="e">
        <f t="shared" ca="1" si="62"/>
        <v>#REF!</v>
      </c>
      <c r="AW33" s="354" t="e">
        <f t="shared" ref="AW33:AX33" ca="1" si="63">+INDEX(AW$8:AW$28,$X30,0)</f>
        <v>#REF!</v>
      </c>
      <c r="AX33" s="354" t="e">
        <f t="shared" ca="1" si="63"/>
        <v>#REF!</v>
      </c>
      <c r="AY33" s="354" t="e">
        <f t="shared" ref="AY33:AZ33" ca="1" si="64">+INDEX(AY$8:AY$28,$X30,0)</f>
        <v>#REF!</v>
      </c>
      <c r="AZ33" s="354" t="e">
        <f t="shared" ca="1" si="64"/>
        <v>#REF!</v>
      </c>
      <c r="BO33" s="464">
        <f>MATCH(BO32,BM$8:BM$27)</f>
        <v>12</v>
      </c>
      <c r="CW33" s="1055"/>
      <c r="CX33" s="1150"/>
      <c r="CY33" s="1150"/>
      <c r="CZ33" s="1150"/>
      <c r="DA33" s="1150"/>
      <c r="DB33" s="1150"/>
      <c r="DC33" s="1150"/>
      <c r="DD33" s="1150"/>
      <c r="DE33" s="1150"/>
      <c r="DF33" s="1150"/>
      <c r="DG33" s="1150"/>
      <c r="DM33" s="552"/>
      <c r="DN33" s="290"/>
      <c r="DS33" s="290"/>
      <c r="DT33" s="290"/>
      <c r="DU33" s="290"/>
      <c r="DV33" s="290"/>
      <c r="DW33" s="290"/>
      <c r="DX33" s="870"/>
      <c r="DY33" s="870"/>
      <c r="DZ33" s="870"/>
      <c r="EL33" s="526"/>
      <c r="EM33" s="864" t="s">
        <v>383</v>
      </c>
      <c r="EN33" s="412">
        <v>305</v>
      </c>
      <c r="EO33" s="412">
        <v>200</v>
      </c>
      <c r="EP33" s="412">
        <v>2020</v>
      </c>
      <c r="EQ33" s="412" t="s">
        <v>546</v>
      </c>
      <c r="ER33" s="866" t="s">
        <v>552</v>
      </c>
      <c r="ES33" s="412"/>
      <c r="ET33" s="412"/>
      <c r="EU33" s="412"/>
      <c r="EV33" s="412"/>
      <c r="EW33" s="412"/>
      <c r="EX33" s="412"/>
      <c r="EY33" s="412"/>
      <c r="EZ33" s="412"/>
      <c r="FA33" s="412"/>
      <c r="FB33" s="412"/>
      <c r="FC33" s="412"/>
      <c r="FD33" s="412"/>
      <c r="FE33" s="546"/>
      <c r="FF33" s="527"/>
      <c r="FM33" s="1054"/>
      <c r="FN33" s="1049" t="s">
        <v>383</v>
      </c>
      <c r="FO33" s="412">
        <v>7</v>
      </c>
      <c r="FP33" s="412">
        <v>10.5</v>
      </c>
      <c r="FQ33" s="412">
        <f>FO33/2</f>
        <v>3.5</v>
      </c>
      <c r="FR33" s="412">
        <f>FP33/2</f>
        <v>5.25</v>
      </c>
      <c r="FS33" s="412">
        <v>72</v>
      </c>
      <c r="FT33" s="23" t="s">
        <v>632</v>
      </c>
      <c r="FU33" s="412" t="s">
        <v>637</v>
      </c>
      <c r="FV33" s="412"/>
      <c r="FW33" s="412"/>
      <c r="FX33" s="412"/>
      <c r="FY33" s="412" t="s">
        <v>638</v>
      </c>
      <c r="FZ33" s="412"/>
      <c r="GA33" s="412"/>
      <c r="GB33" s="412"/>
      <c r="GC33" s="412"/>
      <c r="GD33" s="1061"/>
      <c r="GE33" s="1056"/>
      <c r="GG33" s="412"/>
      <c r="GH33" s="1027" t="s">
        <v>390</v>
      </c>
      <c r="GI33" s="7">
        <v>7</v>
      </c>
      <c r="GJ33" s="7">
        <v>0</v>
      </c>
      <c r="GK33" s="7">
        <v>0</v>
      </c>
      <c r="GL33" s="7">
        <v>38</v>
      </c>
      <c r="GM33" s="7">
        <v>38</v>
      </c>
      <c r="GN33" s="7">
        <v>38</v>
      </c>
      <c r="GO33" s="7">
        <v>38</v>
      </c>
      <c r="GP33" s="7">
        <v>38</v>
      </c>
      <c r="GQ33" s="7">
        <v>38</v>
      </c>
      <c r="GR33" s="7">
        <v>38</v>
      </c>
      <c r="GS33" s="7">
        <v>38</v>
      </c>
      <c r="GT33" s="7">
        <v>38</v>
      </c>
      <c r="GU33" s="7">
        <v>65</v>
      </c>
      <c r="GV33" s="7">
        <v>65</v>
      </c>
      <c r="GW33" s="7">
        <v>65</v>
      </c>
      <c r="GX33" s="7">
        <v>65</v>
      </c>
      <c r="GY33" s="7">
        <v>65</v>
      </c>
      <c r="GZ33" s="7">
        <v>65</v>
      </c>
      <c r="HC33" s="1027" t="s">
        <v>390</v>
      </c>
      <c r="HD33" s="7">
        <v>12</v>
      </c>
      <c r="HE33" s="7">
        <v>0</v>
      </c>
      <c r="HF33" s="1065">
        <v>75</v>
      </c>
      <c r="HG33" s="1065">
        <v>75</v>
      </c>
      <c r="HH33" s="1065">
        <v>75</v>
      </c>
      <c r="HI33" s="1065">
        <v>75</v>
      </c>
      <c r="HJ33" s="1065">
        <v>75</v>
      </c>
      <c r="HK33" s="1065">
        <v>75</v>
      </c>
      <c r="HL33" s="1065">
        <v>75</v>
      </c>
      <c r="HM33" s="1065">
        <v>75</v>
      </c>
      <c r="HN33" s="1065">
        <v>75</v>
      </c>
      <c r="HO33" s="1065">
        <v>65</v>
      </c>
      <c r="HP33" s="1065">
        <v>65</v>
      </c>
      <c r="HQ33" s="1065">
        <v>65</v>
      </c>
      <c r="HR33" s="1065">
        <v>65</v>
      </c>
      <c r="HS33" s="1065">
        <v>65</v>
      </c>
      <c r="HT33" s="1065">
        <v>65</v>
      </c>
      <c r="HU33" s="1065">
        <v>65</v>
      </c>
      <c r="HV33" s="7" t="s">
        <v>665</v>
      </c>
      <c r="HY33" s="1027" t="s">
        <v>390</v>
      </c>
      <c r="HZ33" s="7">
        <v>10</v>
      </c>
      <c r="IA33" s="7">
        <v>0</v>
      </c>
      <c r="IB33" s="7">
        <v>80</v>
      </c>
      <c r="IC33" s="7">
        <v>80</v>
      </c>
      <c r="ID33" s="7">
        <v>80</v>
      </c>
      <c r="IE33" s="7">
        <v>80</v>
      </c>
      <c r="IF33" s="7">
        <v>80</v>
      </c>
      <c r="IG33" s="7">
        <v>80</v>
      </c>
      <c r="IH33" s="7">
        <v>80</v>
      </c>
      <c r="II33" s="7">
        <v>80</v>
      </c>
      <c r="IJ33" s="7">
        <v>80</v>
      </c>
      <c r="IK33" s="7">
        <v>80</v>
      </c>
      <c r="IL33" s="7">
        <v>80</v>
      </c>
      <c r="IM33" s="7">
        <v>80</v>
      </c>
      <c r="IN33" s="7">
        <v>80</v>
      </c>
      <c r="IO33" s="7">
        <v>80</v>
      </c>
      <c r="IP33" s="7">
        <v>80</v>
      </c>
      <c r="IQ33" s="7">
        <v>100</v>
      </c>
      <c r="IR33" s="1094" t="s">
        <v>681</v>
      </c>
      <c r="IU33" s="1025" t="s">
        <v>390</v>
      </c>
      <c r="IV33" s="1065">
        <v>15</v>
      </c>
      <c r="IW33" s="1065">
        <v>0</v>
      </c>
      <c r="IX33" s="1065">
        <v>0</v>
      </c>
      <c r="IY33" s="1065">
        <v>0</v>
      </c>
      <c r="IZ33" s="1065">
        <v>56</v>
      </c>
      <c r="JA33" s="1065">
        <v>56</v>
      </c>
      <c r="JB33" s="1065">
        <v>56</v>
      </c>
      <c r="JC33" s="1065">
        <v>56</v>
      </c>
      <c r="JD33" s="1065">
        <v>56</v>
      </c>
      <c r="JE33" s="1065">
        <v>56</v>
      </c>
      <c r="JF33" s="1065">
        <v>56</v>
      </c>
      <c r="JG33" s="1065">
        <v>56</v>
      </c>
      <c r="JH33" s="1065">
        <v>56</v>
      </c>
      <c r="JI33" s="1065">
        <v>56</v>
      </c>
      <c r="JJ33" s="1065">
        <v>56</v>
      </c>
      <c r="JK33" s="1065">
        <v>56</v>
      </c>
      <c r="JL33" s="1065">
        <v>56</v>
      </c>
      <c r="JM33" s="1065">
        <v>56</v>
      </c>
    </row>
    <row r="34" spans="1:273" ht="15.75" x14ac:dyDescent="0.25">
      <c r="A34" s="276" t="s">
        <v>223</v>
      </c>
      <c r="B34" s="289">
        <f t="shared" ref="B34" si="65">+INDEX(B$8:B$28,$D31,0)</f>
        <v>12</v>
      </c>
      <c r="C34" s="290"/>
      <c r="D34" s="290"/>
      <c r="E34" s="290"/>
      <c r="F34" s="290"/>
      <c r="G34" s="290"/>
      <c r="H34" s="290"/>
      <c r="I34" s="290"/>
      <c r="J34" s="290"/>
      <c r="K34" s="298"/>
      <c r="L34" s="298"/>
      <c r="M34" s="298"/>
      <c r="N34" s="298"/>
      <c r="O34" s="298"/>
      <c r="P34" s="298"/>
      <c r="Q34" s="298"/>
      <c r="R34" s="298"/>
      <c r="T34" s="350"/>
      <c r="U34" s="353" t="s">
        <v>223</v>
      </c>
      <c r="V34" s="346">
        <f>+INDEX(V$8:V$27,$X31,0)</f>
        <v>12</v>
      </c>
      <c r="W34" s="354">
        <f t="shared" ca="1" si="59"/>
        <v>0.85636608461294417</v>
      </c>
      <c r="X34" s="354">
        <f t="shared" ca="1" si="59"/>
        <v>9.5399999999999985E-2</v>
      </c>
      <c r="Y34" s="354">
        <f t="shared" ref="Y34:Z34" ca="1" si="66">+INDEX(Y$8:Y$28,$X31,0)</f>
        <v>0.79986710036295472</v>
      </c>
      <c r="Z34" s="354">
        <f t="shared" ca="1" si="66"/>
        <v>0.1195</v>
      </c>
      <c r="AA34" s="354">
        <f t="shared" ca="1" si="59"/>
        <v>0.74701504165463628</v>
      </c>
      <c r="AB34" s="354">
        <f t="shared" ca="1" si="59"/>
        <v>0.15200000000000002</v>
      </c>
      <c r="AC34" s="354">
        <f t="shared" ca="1" si="59"/>
        <v>0.68418009492558296</v>
      </c>
      <c r="AD34" s="354">
        <f t="shared" ca="1" si="59"/>
        <v>0.17988888888888888</v>
      </c>
      <c r="AE34" s="354">
        <f t="shared" ca="1" si="59"/>
        <v>0.66368412123039711</v>
      </c>
      <c r="AF34" s="354">
        <f t="shared" ca="1" si="59"/>
        <v>0.20624999999999999</v>
      </c>
      <c r="AG34" s="354">
        <f t="shared" ref="AG34:AH34" ca="1" si="67">+INDEX(AG$8:AG$28,$X31,0)</f>
        <v>0.63429355281207134</v>
      </c>
      <c r="AH34" s="354">
        <f t="shared" ca="1" si="67"/>
        <v>0.22699999999999998</v>
      </c>
      <c r="AI34" s="1158" t="e">
        <f t="shared" ref="AI34:AV34" ca="1" si="68">+INDEX(AI$8:AI$28,$X31,0)</f>
        <v>#REF!</v>
      </c>
      <c r="AJ34" s="354" t="e">
        <f t="shared" ca="1" si="68"/>
        <v>#REF!</v>
      </c>
      <c r="AK34" s="354" t="e">
        <f t="shared" ca="1" si="68"/>
        <v>#REF!</v>
      </c>
      <c r="AL34" s="354" t="e">
        <f t="shared" ca="1" si="68"/>
        <v>#REF!</v>
      </c>
      <c r="AM34" s="354" t="e">
        <f t="shared" ca="1" si="68"/>
        <v>#REF!</v>
      </c>
      <c r="AN34" s="354" t="e">
        <f t="shared" ca="1" si="68"/>
        <v>#REF!</v>
      </c>
      <c r="AO34" s="354" t="e">
        <f t="shared" ca="1" si="68"/>
        <v>#REF!</v>
      </c>
      <c r="AP34" s="354" t="e">
        <f t="shared" ca="1" si="68"/>
        <v>#REF!</v>
      </c>
      <c r="AQ34" s="354" t="e">
        <f t="shared" ca="1" si="68"/>
        <v>#REF!</v>
      </c>
      <c r="AR34" s="354" t="e">
        <f t="shared" ca="1" si="68"/>
        <v>#REF!</v>
      </c>
      <c r="AS34" s="354" t="e">
        <f t="shared" ca="1" si="68"/>
        <v>#REF!</v>
      </c>
      <c r="AT34" s="354" t="e">
        <f t="shared" ca="1" si="68"/>
        <v>#REF!</v>
      </c>
      <c r="AU34" s="354" t="e">
        <f t="shared" ca="1" si="68"/>
        <v>#REF!</v>
      </c>
      <c r="AV34" s="354" t="e">
        <f t="shared" ca="1" si="68"/>
        <v>#REF!</v>
      </c>
      <c r="AW34" s="354" t="e">
        <f t="shared" ref="AW34:AX34" ca="1" si="69">+INDEX(AW$8:AW$28,$X31,0)</f>
        <v>#REF!</v>
      </c>
      <c r="AX34" s="354" t="e">
        <f t="shared" ca="1" si="69"/>
        <v>#REF!</v>
      </c>
      <c r="AY34" s="354" t="e">
        <f t="shared" ref="AY34:AZ34" ca="1" si="70">+INDEX(AY$8:AY$28,$X31,0)</f>
        <v>#REF!</v>
      </c>
      <c r="AZ34" s="354" t="e">
        <f t="shared" ca="1" si="70"/>
        <v>#REF!</v>
      </c>
      <c r="CW34" s="1055"/>
      <c r="CX34" s="1150"/>
      <c r="CY34" s="1150"/>
      <c r="CZ34" s="1150"/>
      <c r="DA34" s="1150"/>
      <c r="DB34" s="1150"/>
      <c r="DC34" s="1150"/>
      <c r="DD34" s="1150"/>
      <c r="DE34" s="1150"/>
      <c r="DF34" s="1150"/>
      <c r="DG34" s="1150"/>
      <c r="DM34" s="552"/>
      <c r="DN34" s="290"/>
      <c r="DS34" s="290"/>
      <c r="DT34" s="290"/>
      <c r="DU34" s="290"/>
      <c r="DV34" s="290"/>
      <c r="DW34" s="290"/>
      <c r="DX34" s="870"/>
      <c r="DY34" s="870"/>
      <c r="DZ34" s="870"/>
      <c r="EL34" s="526"/>
      <c r="EM34" s="864" t="s">
        <v>387</v>
      </c>
      <c r="EN34" s="412">
        <v>340</v>
      </c>
      <c r="EO34" s="412">
        <v>250</v>
      </c>
      <c r="EP34" s="412">
        <v>2020</v>
      </c>
      <c r="EQ34" s="412" t="s">
        <v>547</v>
      </c>
      <c r="ER34" s="867" t="s">
        <v>553</v>
      </c>
      <c r="ES34" s="412"/>
      <c r="ET34" s="412"/>
      <c r="EU34" s="412"/>
      <c r="EV34" s="412"/>
      <c r="EW34" s="412"/>
      <c r="EX34" s="412"/>
      <c r="EY34" s="412"/>
      <c r="EZ34" s="412"/>
      <c r="FA34" s="412"/>
      <c r="FB34" s="412"/>
      <c r="FC34" s="412"/>
      <c r="FD34" s="412"/>
      <c r="FE34" s="546"/>
      <c r="FF34" s="527"/>
      <c r="FM34" s="1054"/>
      <c r="FN34" s="1049" t="s">
        <v>387</v>
      </c>
      <c r="FO34" s="412">
        <v>8</v>
      </c>
      <c r="FP34" s="412">
        <v>11.5</v>
      </c>
      <c r="FQ34" s="412">
        <f t="shared" ref="FQ34:FQ37" si="71">FO34/2</f>
        <v>4</v>
      </c>
      <c r="FR34" s="412">
        <f t="shared" ref="FR34:FR37" si="72">FP34/2</f>
        <v>5.75</v>
      </c>
      <c r="FS34" s="412">
        <v>72</v>
      </c>
      <c r="FT34" s="23" t="s">
        <v>633</v>
      </c>
      <c r="FU34" s="412" t="s">
        <v>639</v>
      </c>
      <c r="FV34" s="412"/>
      <c r="FW34" s="412"/>
      <c r="FX34" s="412"/>
      <c r="FY34" s="412"/>
      <c r="FZ34" s="412"/>
      <c r="GA34" s="412"/>
      <c r="GB34" s="412"/>
      <c r="GC34" s="412"/>
      <c r="GD34" s="1061"/>
      <c r="GE34" s="1056"/>
      <c r="GG34" s="412"/>
      <c r="GH34" s="1178" t="s">
        <v>789</v>
      </c>
      <c r="GI34" s="7">
        <v>15</v>
      </c>
      <c r="GJ34" s="7">
        <v>0</v>
      </c>
      <c r="GK34" s="7">
        <v>0</v>
      </c>
      <c r="GL34" s="7">
        <v>0</v>
      </c>
      <c r="GM34" s="7">
        <v>25</v>
      </c>
      <c r="GN34" s="7">
        <v>25</v>
      </c>
      <c r="GO34" s="7">
        <v>25</v>
      </c>
      <c r="GP34" s="7">
        <v>25</v>
      </c>
      <c r="GQ34" s="7">
        <v>25</v>
      </c>
      <c r="GR34" s="7">
        <v>25</v>
      </c>
      <c r="GS34" s="7">
        <v>25</v>
      </c>
      <c r="GT34" s="7">
        <v>25</v>
      </c>
      <c r="GU34" s="7">
        <v>25</v>
      </c>
      <c r="GV34" s="7">
        <v>25</v>
      </c>
      <c r="GW34" s="7">
        <v>25</v>
      </c>
      <c r="GX34" s="7">
        <v>25</v>
      </c>
      <c r="GY34" s="7">
        <v>35</v>
      </c>
      <c r="GZ34" s="7">
        <v>35</v>
      </c>
      <c r="HC34" s="1297" t="s">
        <v>789</v>
      </c>
      <c r="HD34" s="7">
        <v>21</v>
      </c>
      <c r="HE34" s="7">
        <v>0</v>
      </c>
      <c r="HF34" s="1065">
        <v>55</v>
      </c>
      <c r="HG34" s="1065">
        <v>55</v>
      </c>
      <c r="HH34" s="1065">
        <v>55</v>
      </c>
      <c r="HI34" s="1065">
        <v>55</v>
      </c>
      <c r="HJ34" s="1065">
        <v>55</v>
      </c>
      <c r="HK34" s="1065">
        <v>55</v>
      </c>
      <c r="HL34" s="1065">
        <v>55</v>
      </c>
      <c r="HM34" s="1065">
        <v>55</v>
      </c>
      <c r="HN34" s="1065">
        <v>55</v>
      </c>
      <c r="HO34" s="1065">
        <v>55</v>
      </c>
      <c r="HP34" s="1065">
        <v>55</v>
      </c>
      <c r="HQ34" s="1065">
        <v>55</v>
      </c>
      <c r="HR34" s="1065">
        <v>55</v>
      </c>
      <c r="HS34" s="1065">
        <v>55</v>
      </c>
      <c r="HT34" s="1065">
        <v>55</v>
      </c>
      <c r="HU34" s="1065">
        <v>100</v>
      </c>
      <c r="HV34" s="7" t="s">
        <v>665</v>
      </c>
      <c r="HY34" s="1027" t="s">
        <v>389</v>
      </c>
      <c r="HZ34" s="7">
        <v>28</v>
      </c>
      <c r="IA34" s="7">
        <v>40</v>
      </c>
      <c r="IB34" s="7">
        <v>20</v>
      </c>
      <c r="IC34" s="7">
        <v>20</v>
      </c>
      <c r="ID34" s="7">
        <v>20</v>
      </c>
      <c r="IE34" s="7">
        <v>20</v>
      </c>
      <c r="IF34" s="7">
        <v>20</v>
      </c>
      <c r="IG34" s="7">
        <v>20</v>
      </c>
      <c r="IH34" s="7">
        <v>20</v>
      </c>
      <c r="II34" s="7">
        <v>10</v>
      </c>
      <c r="IJ34" s="7">
        <v>10</v>
      </c>
      <c r="IK34" s="7">
        <v>10</v>
      </c>
      <c r="IL34" s="7">
        <v>10</v>
      </c>
      <c r="IM34" s="7">
        <v>10</v>
      </c>
      <c r="IN34" s="7">
        <v>10</v>
      </c>
      <c r="IO34" s="7">
        <v>10</v>
      </c>
      <c r="IP34" s="7">
        <v>10</v>
      </c>
      <c r="IQ34" s="7">
        <v>10</v>
      </c>
      <c r="IR34" s="7" t="s">
        <v>665</v>
      </c>
      <c r="IU34" s="1025" t="s">
        <v>789</v>
      </c>
      <c r="IV34" s="1065">
        <v>20</v>
      </c>
      <c r="IW34" s="1065">
        <v>0</v>
      </c>
      <c r="IX34" s="1065">
        <v>0</v>
      </c>
      <c r="IY34" s="1065">
        <v>0</v>
      </c>
      <c r="IZ34" s="1065">
        <v>20</v>
      </c>
      <c r="JA34" s="1065">
        <v>20</v>
      </c>
      <c r="JB34" s="1065">
        <v>20</v>
      </c>
      <c r="JC34" s="1065">
        <v>20</v>
      </c>
      <c r="JD34" s="1065">
        <v>20</v>
      </c>
      <c r="JE34" s="1065">
        <v>20</v>
      </c>
      <c r="JF34" s="1065">
        <v>20</v>
      </c>
      <c r="JG34" s="1065">
        <v>20</v>
      </c>
      <c r="JH34" s="1065">
        <v>20</v>
      </c>
      <c r="JI34" s="1065">
        <v>20</v>
      </c>
      <c r="JJ34" s="1065">
        <v>20</v>
      </c>
      <c r="JK34" s="1065">
        <v>20</v>
      </c>
      <c r="JL34" s="1065">
        <v>35</v>
      </c>
      <c r="JM34" s="1065">
        <v>35</v>
      </c>
    </row>
    <row r="35" spans="1:273" ht="15.75" x14ac:dyDescent="0.25">
      <c r="A35" s="408" t="s">
        <v>222</v>
      </c>
      <c r="B35" s="409">
        <f>+INDEX(B$8:B$28,$G30,0)</f>
        <v>16</v>
      </c>
      <c r="C35" s="410"/>
      <c r="D35" s="410"/>
      <c r="E35" s="410"/>
      <c r="F35" s="410"/>
      <c r="G35" s="410"/>
      <c r="H35" s="410"/>
      <c r="I35" s="410"/>
      <c r="J35" s="410"/>
      <c r="K35" s="410"/>
      <c r="L35" s="410"/>
      <c r="M35" s="410"/>
      <c r="N35" s="410"/>
      <c r="O35" s="410"/>
      <c r="P35" s="410"/>
      <c r="Q35" s="410"/>
      <c r="R35" s="410"/>
      <c r="T35" s="350"/>
      <c r="U35" s="408" t="s">
        <v>222</v>
      </c>
      <c r="V35" s="409">
        <f t="shared" ref="V35:AF35" si="73">+INDEX(V$8:V$28,$AC30,0)</f>
        <v>16</v>
      </c>
      <c r="W35" s="410">
        <f t="shared" ca="1" si="73"/>
        <v>0.88494804221889867</v>
      </c>
      <c r="X35" s="410">
        <f t="shared" ca="1" si="73"/>
        <v>8.6333333333333331E-2</v>
      </c>
      <c r="Y35" s="410">
        <f t="shared" ca="1" si="73"/>
        <v>0.83314822477350647</v>
      </c>
      <c r="Z35" s="410">
        <f t="shared" ca="1" si="73"/>
        <v>0.11027500000000001</v>
      </c>
      <c r="AA35" s="410">
        <f t="shared" ca="1" si="73"/>
        <v>0.78387248024900114</v>
      </c>
      <c r="AB35" s="410">
        <f t="shared" ca="1" si="73"/>
        <v>0.14001166666666665</v>
      </c>
      <c r="AC35" s="410">
        <f t="shared" ca="1" si="73"/>
        <v>0.72681164303293089</v>
      </c>
      <c r="AD35" s="410">
        <f t="shared" ca="1" si="73"/>
        <v>0.16866666666666666</v>
      </c>
      <c r="AE35" s="410">
        <f t="shared" ca="1" si="73"/>
        <v>0.71938058545176764</v>
      </c>
      <c r="AF35" s="410">
        <f t="shared" ca="1" si="73"/>
        <v>0.19325000000000003</v>
      </c>
      <c r="AG35" s="557">
        <f t="shared" ref="AG35:AH35" ca="1" si="74">+INDEX(AG$8:AG$28,$AC30,0)</f>
        <v>0.68106995884773669</v>
      </c>
      <c r="AH35" s="557">
        <f t="shared" ca="1" si="74"/>
        <v>0.217</v>
      </c>
      <c r="AI35" s="1159" t="e">
        <f t="shared" ref="AI35:AV35" ca="1" si="75">+INDEX(AI$8:AI$28,$AC30,0)</f>
        <v>#REF!</v>
      </c>
      <c r="AJ35" s="557" t="e">
        <f t="shared" ca="1" si="75"/>
        <v>#REF!</v>
      </c>
      <c r="AK35" s="557" t="e">
        <f t="shared" ca="1" si="75"/>
        <v>#REF!</v>
      </c>
      <c r="AL35" s="557" t="e">
        <f t="shared" ca="1" si="75"/>
        <v>#REF!</v>
      </c>
      <c r="AM35" s="557" t="e">
        <f t="shared" ca="1" si="75"/>
        <v>#REF!</v>
      </c>
      <c r="AN35" s="557" t="e">
        <f t="shared" ca="1" si="75"/>
        <v>#REF!</v>
      </c>
      <c r="AO35" s="557" t="e">
        <f t="shared" ca="1" si="75"/>
        <v>#REF!</v>
      </c>
      <c r="AP35" s="557" t="e">
        <f t="shared" ca="1" si="75"/>
        <v>#REF!</v>
      </c>
      <c r="AQ35" s="557" t="e">
        <f t="shared" ca="1" si="75"/>
        <v>#REF!</v>
      </c>
      <c r="AR35" s="557" t="e">
        <f t="shared" ca="1" si="75"/>
        <v>#REF!</v>
      </c>
      <c r="AS35" s="557" t="e">
        <f t="shared" ca="1" si="75"/>
        <v>#REF!</v>
      </c>
      <c r="AT35" s="557" t="e">
        <f t="shared" ca="1" si="75"/>
        <v>#REF!</v>
      </c>
      <c r="AU35" s="557" t="e">
        <f t="shared" ca="1" si="75"/>
        <v>#REF!</v>
      </c>
      <c r="AV35" s="557" t="e">
        <f t="shared" ca="1" si="75"/>
        <v>#REF!</v>
      </c>
      <c r="AW35" s="557" t="e">
        <f t="shared" ref="AW35:AX35" ca="1" si="76">+INDEX(AW$8:AW$28,$AC30,0)</f>
        <v>#REF!</v>
      </c>
      <c r="AX35" s="557" t="e">
        <f t="shared" ca="1" si="76"/>
        <v>#REF!</v>
      </c>
      <c r="AY35" s="557" t="e">
        <f t="shared" ref="AY35:AZ35" ca="1" si="77">+INDEX(AY$8:AY$28,$AC30,0)</f>
        <v>#REF!</v>
      </c>
      <c r="AZ35" s="557" t="e">
        <f t="shared" ca="1" si="77"/>
        <v>#REF!</v>
      </c>
      <c r="BQ35" s="501" t="s">
        <v>400</v>
      </c>
      <c r="CW35" s="1055"/>
      <c r="CX35" s="1150"/>
      <c r="CY35" s="1150"/>
      <c r="CZ35" s="1150"/>
      <c r="DA35" s="1150"/>
      <c r="DB35" s="1150"/>
      <c r="DC35" s="1150"/>
      <c r="DD35" s="1150"/>
      <c r="DE35" s="1150"/>
      <c r="DF35" s="1150"/>
      <c r="DG35" s="1150"/>
      <c r="DM35" s="552"/>
      <c r="DN35" s="290"/>
      <c r="DS35" s="290"/>
      <c r="DT35" s="290"/>
      <c r="DU35" s="290"/>
      <c r="DV35" s="290"/>
      <c r="DW35" s="290"/>
      <c r="DX35" s="870"/>
      <c r="DY35" s="870"/>
      <c r="DZ35" s="870"/>
      <c r="EL35" s="526"/>
      <c r="EM35" s="864" t="s">
        <v>548</v>
      </c>
      <c r="EN35" s="412">
        <v>370</v>
      </c>
      <c r="EO35" s="412">
        <v>230</v>
      </c>
      <c r="EP35" s="412">
        <v>2020</v>
      </c>
      <c r="EQ35" s="412" t="s">
        <v>549</v>
      </c>
      <c r="ER35" s="867" t="s">
        <v>554</v>
      </c>
      <c r="ES35" s="412"/>
      <c r="ET35" s="412"/>
      <c r="EU35" s="412"/>
      <c r="EV35" s="412"/>
      <c r="EW35" s="412"/>
      <c r="EX35" s="412"/>
      <c r="EY35" s="412"/>
      <c r="EZ35" s="412"/>
      <c r="FA35" s="412"/>
      <c r="FB35" s="412"/>
      <c r="FC35" s="412"/>
      <c r="FD35" s="412"/>
      <c r="FE35" s="546"/>
      <c r="FF35" s="527"/>
      <c r="FM35" s="1054"/>
      <c r="FN35" s="1049" t="s">
        <v>548</v>
      </c>
      <c r="FO35" s="412">
        <v>10.25</v>
      </c>
      <c r="FP35" s="412">
        <v>12.75</v>
      </c>
      <c r="FQ35" s="412">
        <f t="shared" si="71"/>
        <v>5.125</v>
      </c>
      <c r="FR35" s="412">
        <f t="shared" si="72"/>
        <v>6.375</v>
      </c>
      <c r="FS35" s="412">
        <v>72</v>
      </c>
      <c r="FT35" s="865" t="s">
        <v>634</v>
      </c>
      <c r="FU35" s="866" t="s">
        <v>684</v>
      </c>
      <c r="FV35" s="412"/>
      <c r="FW35" s="412"/>
      <c r="FX35" s="412"/>
      <c r="FY35" s="866" t="s">
        <v>685</v>
      </c>
      <c r="FZ35" s="412"/>
      <c r="GA35" s="412"/>
      <c r="GB35" s="412"/>
      <c r="GC35" s="412"/>
      <c r="GD35" s="1061"/>
      <c r="GE35" s="1056"/>
      <c r="GG35" s="412"/>
      <c r="GH35" s="1027" t="s">
        <v>389</v>
      </c>
      <c r="GI35" s="7">
        <v>28</v>
      </c>
      <c r="GJ35" s="7">
        <v>0</v>
      </c>
      <c r="GK35" s="7">
        <v>17</v>
      </c>
      <c r="GL35" s="7">
        <v>17</v>
      </c>
      <c r="GM35" s="7">
        <v>17</v>
      </c>
      <c r="GN35" s="7">
        <v>15</v>
      </c>
      <c r="GO35" s="7">
        <v>15</v>
      </c>
      <c r="GP35" s="7">
        <v>15</v>
      </c>
      <c r="GQ35" s="7">
        <v>15</v>
      </c>
      <c r="GR35" s="7">
        <v>15</v>
      </c>
      <c r="GS35" s="7">
        <v>15</v>
      </c>
      <c r="GT35" s="7">
        <v>15</v>
      </c>
      <c r="GU35" s="7">
        <v>15</v>
      </c>
      <c r="GV35" s="7">
        <v>15</v>
      </c>
      <c r="GW35" s="7">
        <v>15</v>
      </c>
      <c r="GX35" s="7">
        <v>15</v>
      </c>
      <c r="GY35" s="7">
        <v>15</v>
      </c>
      <c r="GZ35" s="1179">
        <v>25</v>
      </c>
      <c r="HC35" s="1027" t="s">
        <v>389</v>
      </c>
      <c r="HD35" s="7">
        <v>25</v>
      </c>
      <c r="HE35" s="7">
        <v>40</v>
      </c>
      <c r="HF35" s="7">
        <v>20</v>
      </c>
      <c r="HG35" s="7">
        <v>20</v>
      </c>
      <c r="HH35" s="7">
        <v>20</v>
      </c>
      <c r="HI35" s="7">
        <v>20</v>
      </c>
      <c r="HJ35" s="7">
        <v>20</v>
      </c>
      <c r="HK35" s="7">
        <v>20</v>
      </c>
      <c r="HL35" s="7">
        <v>20</v>
      </c>
      <c r="HM35" s="7">
        <v>20</v>
      </c>
      <c r="HN35" s="7">
        <v>20</v>
      </c>
      <c r="HO35" s="7">
        <v>20</v>
      </c>
      <c r="HP35" s="7">
        <v>20</v>
      </c>
      <c r="HQ35" s="7">
        <v>20</v>
      </c>
      <c r="HR35" s="7">
        <v>20</v>
      </c>
      <c r="HS35" s="7">
        <v>20</v>
      </c>
      <c r="HT35" s="7">
        <v>20</v>
      </c>
      <c r="HU35" s="7">
        <v>20</v>
      </c>
      <c r="HV35" s="7" t="s">
        <v>665</v>
      </c>
      <c r="HY35" s="1027" t="s">
        <v>387</v>
      </c>
      <c r="HZ35" s="7">
        <v>45</v>
      </c>
      <c r="IA35" s="7">
        <v>20</v>
      </c>
      <c r="IB35" s="7">
        <v>16</v>
      </c>
      <c r="IC35" s="7">
        <v>16</v>
      </c>
      <c r="ID35" s="7">
        <v>16</v>
      </c>
      <c r="IE35" s="7">
        <v>16</v>
      </c>
      <c r="IF35" s="7">
        <v>16</v>
      </c>
      <c r="IG35" s="7">
        <v>16</v>
      </c>
      <c r="IH35" s="7">
        <v>16</v>
      </c>
      <c r="II35" s="7">
        <v>9</v>
      </c>
      <c r="IJ35" s="7">
        <v>9</v>
      </c>
      <c r="IK35" s="7">
        <v>9</v>
      </c>
      <c r="IL35" s="7">
        <v>9</v>
      </c>
      <c r="IM35" s="7">
        <v>7</v>
      </c>
      <c r="IN35" s="7">
        <v>7</v>
      </c>
      <c r="IO35" s="7">
        <v>7</v>
      </c>
      <c r="IP35" s="7">
        <v>7</v>
      </c>
      <c r="IQ35" s="7">
        <v>7</v>
      </c>
      <c r="IR35" s="7" t="s">
        <v>667</v>
      </c>
      <c r="IU35" s="1025" t="s">
        <v>389</v>
      </c>
      <c r="IV35" s="1065">
        <v>32</v>
      </c>
      <c r="IW35" s="1065">
        <v>0</v>
      </c>
      <c r="IX35" s="1065">
        <v>17</v>
      </c>
      <c r="IY35" s="1065">
        <v>17</v>
      </c>
      <c r="IZ35" s="1065">
        <v>17</v>
      </c>
      <c r="JA35" s="1065">
        <v>17</v>
      </c>
      <c r="JB35" s="1065">
        <v>17</v>
      </c>
      <c r="JC35" s="1065">
        <v>17</v>
      </c>
      <c r="JD35" s="1065">
        <v>17</v>
      </c>
      <c r="JE35" s="1065">
        <v>17</v>
      </c>
      <c r="JF35" s="1065">
        <v>17</v>
      </c>
      <c r="JG35" s="1065">
        <v>17</v>
      </c>
      <c r="JH35" s="1065">
        <v>15</v>
      </c>
      <c r="JI35" s="1065">
        <v>15</v>
      </c>
      <c r="JJ35" s="1065">
        <v>15</v>
      </c>
      <c r="JK35" s="1065">
        <v>15</v>
      </c>
      <c r="JL35" s="1065">
        <v>15</v>
      </c>
      <c r="JM35" s="1065">
        <v>13</v>
      </c>
    </row>
    <row r="36" spans="1:273" ht="15.75" x14ac:dyDescent="0.25">
      <c r="A36" s="408" t="s">
        <v>223</v>
      </c>
      <c r="B36" s="409">
        <f>+INDEX(B$8:B$28,$G31,0)</f>
        <v>18</v>
      </c>
      <c r="C36" s="410"/>
      <c r="D36" s="410"/>
      <c r="E36" s="410"/>
      <c r="F36" s="410"/>
      <c r="G36" s="410"/>
      <c r="H36" s="410"/>
      <c r="I36" s="410"/>
      <c r="J36" s="410"/>
      <c r="K36" s="410"/>
      <c r="L36" s="410"/>
      <c r="M36" s="410"/>
      <c r="N36" s="410"/>
      <c r="O36" s="410"/>
      <c r="P36" s="410"/>
      <c r="Q36" s="410"/>
      <c r="R36" s="410"/>
      <c r="T36" s="350"/>
      <c r="U36" s="408" t="s">
        <v>223</v>
      </c>
      <c r="V36" s="409">
        <f t="shared" ref="V36:AF36" si="78">+INDEX(V$8:V$28,$AC31,0)</f>
        <v>20</v>
      </c>
      <c r="W36" s="410">
        <f t="shared" ca="1" si="78"/>
        <v>0.90075869521988872</v>
      </c>
      <c r="X36" s="410">
        <f t="shared" ca="1" si="78"/>
        <v>8.111666666666667E-2</v>
      </c>
      <c r="Y36" s="410">
        <f t="shared" ca="1" si="78"/>
        <v>0.85513411932483108</v>
      </c>
      <c r="Z36" s="410">
        <f t="shared" ca="1" si="78"/>
        <v>0.10555</v>
      </c>
      <c r="AA36" s="410">
        <f t="shared" ca="1" si="78"/>
        <v>0.8076494675061594</v>
      </c>
      <c r="AB36" s="410">
        <f t="shared" ca="1" si="78"/>
        <v>0.13416666666666666</v>
      </c>
      <c r="AC36" s="410">
        <f t="shared" ca="1" si="78"/>
        <v>0.76128545060353914</v>
      </c>
      <c r="AD36" s="410">
        <f t="shared" ca="1" si="78"/>
        <v>0.1575</v>
      </c>
      <c r="AE36" s="410">
        <f t="shared" ca="1" si="78"/>
        <v>0.75952242124221381</v>
      </c>
      <c r="AF36" s="410">
        <f t="shared" ca="1" si="78"/>
        <v>0.17774999999999999</v>
      </c>
      <c r="AG36" s="557">
        <f t="shared" ref="AG36:AH36" ca="1" si="79">+INDEX(AG$8:AG$28,$AC31,0)</f>
        <v>0.72633744855967064</v>
      </c>
      <c r="AH36" s="557">
        <f t="shared" ca="1" si="79"/>
        <v>0.20499999999999999</v>
      </c>
      <c r="AI36" s="1159" t="e">
        <f t="shared" ref="AI36:AV36" ca="1" si="80">+INDEX(AI$8:AI$28,$AC31,0)</f>
        <v>#REF!</v>
      </c>
      <c r="AJ36" s="557" t="e">
        <f t="shared" ca="1" si="80"/>
        <v>#REF!</v>
      </c>
      <c r="AK36" s="557" t="e">
        <f t="shared" ca="1" si="80"/>
        <v>#REF!</v>
      </c>
      <c r="AL36" s="557" t="e">
        <f t="shared" ca="1" si="80"/>
        <v>#REF!</v>
      </c>
      <c r="AM36" s="557" t="e">
        <f t="shared" ca="1" si="80"/>
        <v>#REF!</v>
      </c>
      <c r="AN36" s="557" t="e">
        <f t="shared" ca="1" si="80"/>
        <v>#REF!</v>
      </c>
      <c r="AO36" s="557" t="e">
        <f t="shared" ca="1" si="80"/>
        <v>#REF!</v>
      </c>
      <c r="AP36" s="557" t="e">
        <f t="shared" ca="1" si="80"/>
        <v>#REF!</v>
      </c>
      <c r="AQ36" s="557" t="e">
        <f t="shared" ca="1" si="80"/>
        <v>#REF!</v>
      </c>
      <c r="AR36" s="557" t="e">
        <f t="shared" ca="1" si="80"/>
        <v>#REF!</v>
      </c>
      <c r="AS36" s="557" t="e">
        <f t="shared" ca="1" si="80"/>
        <v>#REF!</v>
      </c>
      <c r="AT36" s="557" t="e">
        <f t="shared" ca="1" si="80"/>
        <v>#REF!</v>
      </c>
      <c r="AU36" s="557" t="e">
        <f t="shared" ca="1" si="80"/>
        <v>#REF!</v>
      </c>
      <c r="AV36" s="557" t="e">
        <f t="shared" ca="1" si="80"/>
        <v>#REF!</v>
      </c>
      <c r="AW36" s="557" t="e">
        <f t="shared" ref="AW36:AX36" ca="1" si="81">+INDEX(AW$8:AW$28,$AC31,0)</f>
        <v>#REF!</v>
      </c>
      <c r="AX36" s="557" t="e">
        <f t="shared" ca="1" si="81"/>
        <v>#REF!</v>
      </c>
      <c r="AY36" s="557" t="e">
        <f t="shared" ref="AY36:AZ36" ca="1" si="82">+INDEX(AY$8:AY$28,$AC31,0)</f>
        <v>#REF!</v>
      </c>
      <c r="AZ36" s="557" t="e">
        <f t="shared" ca="1" si="82"/>
        <v>#REF!</v>
      </c>
      <c r="BQ36" s="501" t="s">
        <v>399</v>
      </c>
      <c r="CW36" s="1055"/>
      <c r="CX36" s="1150"/>
      <c r="CY36" s="1150"/>
      <c r="CZ36" s="1150"/>
      <c r="DA36" s="1150"/>
      <c r="DB36" s="1150"/>
      <c r="DC36" s="1150"/>
      <c r="DD36" s="1150"/>
      <c r="DE36" s="1150"/>
      <c r="DF36" s="1150"/>
      <c r="DG36" s="1150"/>
      <c r="DM36" s="552"/>
      <c r="DN36" s="290"/>
      <c r="DS36" s="290"/>
      <c r="DT36" s="290"/>
      <c r="DU36" s="290"/>
      <c r="DV36" s="290"/>
      <c r="DW36" s="290"/>
      <c r="DX36" s="870"/>
      <c r="DY36" s="870"/>
      <c r="DZ36" s="870"/>
      <c r="EL36" s="526"/>
      <c r="EM36" s="864" t="s">
        <v>389</v>
      </c>
      <c r="EN36" s="412">
        <v>380</v>
      </c>
      <c r="EO36" s="412">
        <v>250</v>
      </c>
      <c r="EP36" s="412">
        <v>2000</v>
      </c>
      <c r="EQ36" s="412" t="s">
        <v>634</v>
      </c>
      <c r="ER36" s="867" t="s">
        <v>555</v>
      </c>
      <c r="ES36" s="412"/>
      <c r="ET36" s="412"/>
      <c r="EU36" s="412"/>
      <c r="EV36" s="412"/>
      <c r="EW36" s="412"/>
      <c r="EX36" s="412"/>
      <c r="EY36" s="412"/>
      <c r="EZ36" s="412"/>
      <c r="FA36" s="412"/>
      <c r="FB36" s="412"/>
      <c r="FC36" s="412"/>
      <c r="FD36" s="412"/>
      <c r="FE36" s="546"/>
      <c r="FF36" s="527"/>
      <c r="FM36" s="1054"/>
      <c r="FN36" s="1049" t="s">
        <v>389</v>
      </c>
      <c r="FO36" s="412">
        <v>10.25</v>
      </c>
      <c r="FP36" s="412">
        <v>13</v>
      </c>
      <c r="FQ36" s="412">
        <f t="shared" si="71"/>
        <v>5.125</v>
      </c>
      <c r="FR36" s="412">
        <f t="shared" si="72"/>
        <v>6.5</v>
      </c>
      <c r="FS36" s="412">
        <v>72</v>
      </c>
      <c r="FT36" s="23" t="str">
        <f>FT35</f>
        <v>yellow</v>
      </c>
      <c r="FU36" s="412" t="s">
        <v>640</v>
      </c>
      <c r="FV36" s="412"/>
      <c r="FW36" s="412"/>
      <c r="FX36" s="412"/>
      <c r="FY36" s="412"/>
      <c r="FZ36" s="412"/>
      <c r="GA36" s="412"/>
      <c r="GB36" s="412"/>
      <c r="GC36" s="412"/>
      <c r="GD36" s="1061"/>
      <c r="GE36" s="1056"/>
      <c r="GG36" s="412"/>
      <c r="GH36" s="1027" t="s">
        <v>548</v>
      </c>
      <c r="GI36" s="7">
        <v>33</v>
      </c>
      <c r="GJ36" s="7">
        <v>0</v>
      </c>
      <c r="GK36" s="7">
        <v>10</v>
      </c>
      <c r="GL36" s="7">
        <v>10</v>
      </c>
      <c r="GM36" s="7">
        <v>10</v>
      </c>
      <c r="GN36" s="7">
        <v>10</v>
      </c>
      <c r="GO36" s="7">
        <v>10</v>
      </c>
      <c r="GP36" s="7">
        <v>10</v>
      </c>
      <c r="GQ36" s="7">
        <v>10</v>
      </c>
      <c r="GR36" s="7">
        <v>8</v>
      </c>
      <c r="GS36" s="7">
        <v>8</v>
      </c>
      <c r="GT36" s="7">
        <v>8</v>
      </c>
      <c r="GU36" s="7">
        <v>8</v>
      </c>
      <c r="GV36" s="7">
        <v>8</v>
      </c>
      <c r="GW36" s="7">
        <v>8</v>
      </c>
      <c r="GX36" s="7">
        <v>8</v>
      </c>
      <c r="GY36" s="7">
        <v>8</v>
      </c>
      <c r="GZ36" s="7">
        <v>8</v>
      </c>
      <c r="HC36" s="1027" t="s">
        <v>548</v>
      </c>
      <c r="HD36" s="7">
        <v>34</v>
      </c>
      <c r="HE36" s="7">
        <v>0</v>
      </c>
      <c r="HF36" s="7">
        <v>16</v>
      </c>
      <c r="HG36" s="7">
        <v>16</v>
      </c>
      <c r="HH36" s="7">
        <v>16</v>
      </c>
      <c r="HI36" s="7">
        <v>16</v>
      </c>
      <c r="HJ36" s="7">
        <v>16</v>
      </c>
      <c r="HK36" s="7">
        <v>16</v>
      </c>
      <c r="HL36" s="7">
        <v>16</v>
      </c>
      <c r="HM36" s="7">
        <v>16</v>
      </c>
      <c r="HN36" s="7">
        <v>16</v>
      </c>
      <c r="HO36" s="7">
        <v>16</v>
      </c>
      <c r="HP36" s="7">
        <v>16</v>
      </c>
      <c r="HQ36" s="7">
        <v>10</v>
      </c>
      <c r="HR36" s="7">
        <v>10</v>
      </c>
      <c r="HS36" s="7">
        <v>10</v>
      </c>
      <c r="HT36" s="7">
        <v>10</v>
      </c>
      <c r="HU36" s="7">
        <v>0</v>
      </c>
      <c r="HV36" s="7" t="s">
        <v>666</v>
      </c>
      <c r="HY36" s="1079" t="s">
        <v>682</v>
      </c>
      <c r="HZ36" s="7">
        <v>50</v>
      </c>
      <c r="IA36" s="7">
        <v>20</v>
      </c>
      <c r="IB36" s="7">
        <v>17</v>
      </c>
      <c r="IC36" s="7">
        <v>17</v>
      </c>
      <c r="ID36" s="7">
        <v>17</v>
      </c>
      <c r="IE36" s="7">
        <v>17</v>
      </c>
      <c r="IF36" s="7">
        <v>17</v>
      </c>
      <c r="IG36" s="7">
        <v>17</v>
      </c>
      <c r="IH36" s="7">
        <v>17</v>
      </c>
      <c r="II36" s="7">
        <v>13</v>
      </c>
      <c r="IJ36" s="7">
        <v>13</v>
      </c>
      <c r="IK36" s="7">
        <v>13</v>
      </c>
      <c r="IL36" s="7">
        <v>13</v>
      </c>
      <c r="IM36" s="7">
        <v>7</v>
      </c>
      <c r="IN36" s="7">
        <v>7</v>
      </c>
      <c r="IO36" s="7">
        <v>7</v>
      </c>
      <c r="IP36" s="7">
        <v>7</v>
      </c>
      <c r="IQ36" s="7">
        <v>7</v>
      </c>
      <c r="IR36" s="7" t="s">
        <v>667</v>
      </c>
      <c r="IU36" s="1025" t="s">
        <v>548</v>
      </c>
      <c r="IV36" s="1065">
        <v>39</v>
      </c>
      <c r="IW36" s="1065">
        <v>0</v>
      </c>
      <c r="IX36" s="1065">
        <v>11</v>
      </c>
      <c r="IY36" s="1065">
        <v>11</v>
      </c>
      <c r="IZ36" s="1065">
        <v>11</v>
      </c>
      <c r="JA36" s="1065">
        <v>11</v>
      </c>
      <c r="JB36" s="1065">
        <v>11</v>
      </c>
      <c r="JC36" s="1065">
        <v>11</v>
      </c>
      <c r="JD36" s="1065">
        <v>11</v>
      </c>
      <c r="JE36" s="1065">
        <v>11</v>
      </c>
      <c r="JF36" s="1065">
        <v>11</v>
      </c>
      <c r="JG36" s="1065">
        <v>11</v>
      </c>
      <c r="JH36" s="1065">
        <v>9</v>
      </c>
      <c r="JI36" s="1065">
        <v>9</v>
      </c>
      <c r="JJ36" s="1065">
        <v>9</v>
      </c>
      <c r="JK36" s="1065">
        <v>9</v>
      </c>
      <c r="JL36" s="1065">
        <v>9</v>
      </c>
      <c r="JM36" s="1065">
        <v>7</v>
      </c>
    </row>
    <row r="37" spans="1:273" ht="16.5" thickBot="1" x14ac:dyDescent="0.3">
      <c r="T37" s="350"/>
      <c r="U37" s="351"/>
      <c r="V37" s="351"/>
      <c r="W37" s="351"/>
      <c r="X37" s="351"/>
      <c r="Y37" s="351"/>
      <c r="Z37" s="351"/>
      <c r="AA37" s="351"/>
      <c r="AB37" s="351"/>
      <c r="AC37" s="351"/>
      <c r="AD37" s="351"/>
      <c r="AE37" s="351"/>
      <c r="AF37" s="351"/>
      <c r="AG37" s="351"/>
      <c r="AH37" s="351"/>
      <c r="AI37" s="350"/>
      <c r="AJ37" s="351"/>
      <c r="AK37" s="351"/>
      <c r="AL37" s="351"/>
      <c r="AM37" s="351"/>
      <c r="AN37" s="351"/>
      <c r="AO37" s="351"/>
      <c r="AP37" s="351"/>
      <c r="AQ37" s="351"/>
      <c r="AR37" s="351"/>
      <c r="AS37" s="351"/>
      <c r="AT37" s="351"/>
      <c r="AU37" s="351"/>
      <c r="AV37" s="351"/>
      <c r="AW37" s="351"/>
      <c r="AX37" s="351"/>
      <c r="AY37" s="351"/>
      <c r="AZ37" s="351"/>
      <c r="BQ37" s="501"/>
      <c r="BR37" s="277"/>
      <c r="BS37" s="501"/>
      <c r="CW37" s="1055"/>
      <c r="CX37" s="1150"/>
      <c r="CY37" s="1150"/>
      <c r="CZ37" s="1150"/>
      <c r="DA37" s="1150"/>
      <c r="DB37" s="1150"/>
      <c r="DC37" s="1150"/>
      <c r="DD37" s="1150"/>
      <c r="DE37" s="1150"/>
      <c r="DF37" s="1150"/>
      <c r="DG37" s="1150"/>
      <c r="DM37" s="552"/>
      <c r="DN37" s="290"/>
      <c r="DS37" s="290"/>
      <c r="DT37" s="290"/>
      <c r="DU37" s="290"/>
      <c r="DV37" s="290"/>
      <c r="DW37" s="290"/>
      <c r="DX37" s="870"/>
      <c r="DY37" s="870"/>
      <c r="DZ37" s="870"/>
      <c r="EL37" s="526"/>
      <c r="EM37" s="868" t="s">
        <v>390</v>
      </c>
      <c r="EN37" s="550">
        <v>475</v>
      </c>
      <c r="EO37" s="550">
        <v>235</v>
      </c>
      <c r="EP37" s="550">
        <v>2000</v>
      </c>
      <c r="EQ37" s="550" t="s">
        <v>550</v>
      </c>
      <c r="ER37" s="869" t="s">
        <v>697</v>
      </c>
      <c r="ES37" s="550"/>
      <c r="ET37" s="550"/>
      <c r="EU37" s="550"/>
      <c r="EV37" s="550"/>
      <c r="EW37" s="550"/>
      <c r="EX37" s="550"/>
      <c r="EY37" s="550"/>
      <c r="EZ37" s="550"/>
      <c r="FA37" s="550"/>
      <c r="FB37" s="550"/>
      <c r="FC37" s="550"/>
      <c r="FD37" s="550"/>
      <c r="FE37" s="547"/>
      <c r="FF37" s="527"/>
      <c r="FM37" s="1054"/>
      <c r="FN37" s="1050" t="s">
        <v>390</v>
      </c>
      <c r="FO37" s="1062">
        <v>10</v>
      </c>
      <c r="FP37" s="1062">
        <v>14.5</v>
      </c>
      <c r="FQ37" s="1062">
        <f t="shared" si="71"/>
        <v>5</v>
      </c>
      <c r="FR37" s="1062">
        <f t="shared" si="72"/>
        <v>7.25</v>
      </c>
      <c r="FS37" s="1062">
        <v>72</v>
      </c>
      <c r="FT37" s="1063" t="s">
        <v>635</v>
      </c>
      <c r="FU37" s="1062" t="s">
        <v>640</v>
      </c>
      <c r="FV37" s="1062"/>
      <c r="FW37" s="1062"/>
      <c r="FX37" s="1062"/>
      <c r="FY37" s="1062" t="s">
        <v>641</v>
      </c>
      <c r="FZ37" s="1062"/>
      <c r="GA37" s="1062"/>
      <c r="GB37" s="1062"/>
      <c r="GC37" s="1062"/>
      <c r="GD37" s="1064"/>
      <c r="GE37" s="1056"/>
      <c r="GG37" s="412"/>
      <c r="GH37" s="1069" t="s">
        <v>387</v>
      </c>
      <c r="GI37" s="1070">
        <v>45</v>
      </c>
      <c r="GJ37" s="1070">
        <v>10</v>
      </c>
      <c r="GK37" s="1070">
        <v>10</v>
      </c>
      <c r="GL37" s="1070">
        <v>10</v>
      </c>
      <c r="GM37" s="1070">
        <v>10</v>
      </c>
      <c r="GN37" s="1070">
        <v>10</v>
      </c>
      <c r="GO37" s="1070">
        <v>10</v>
      </c>
      <c r="GP37" s="1070">
        <v>10</v>
      </c>
      <c r="GQ37" s="1070">
        <v>10</v>
      </c>
      <c r="GR37" s="1070">
        <v>10</v>
      </c>
      <c r="GS37" s="1070">
        <v>5</v>
      </c>
      <c r="GT37" s="1070">
        <v>5</v>
      </c>
      <c r="GU37" s="1070">
        <v>5</v>
      </c>
      <c r="GV37" s="1070">
        <v>5</v>
      </c>
      <c r="GW37" s="1070">
        <v>5</v>
      </c>
      <c r="GX37" s="1070">
        <v>5</v>
      </c>
      <c r="GY37" s="1070">
        <v>5</v>
      </c>
      <c r="GZ37" s="1070">
        <v>5</v>
      </c>
      <c r="HC37" s="1069" t="s">
        <v>387</v>
      </c>
      <c r="HD37" s="1070">
        <v>45</v>
      </c>
      <c r="HE37" s="1070">
        <v>18</v>
      </c>
      <c r="HF37" s="1070">
        <v>15</v>
      </c>
      <c r="HG37" s="1070">
        <v>15</v>
      </c>
      <c r="HH37" s="1070">
        <v>15</v>
      </c>
      <c r="HI37" s="1070">
        <v>15</v>
      </c>
      <c r="HJ37" s="1070">
        <v>15</v>
      </c>
      <c r="HK37" s="1070">
        <v>15</v>
      </c>
      <c r="HL37" s="1070">
        <v>15</v>
      </c>
      <c r="HM37" s="1070">
        <v>15</v>
      </c>
      <c r="HN37" s="1070">
        <v>10</v>
      </c>
      <c r="HO37" s="1070">
        <v>10</v>
      </c>
      <c r="HP37" s="1070">
        <v>10</v>
      </c>
      <c r="HQ37" s="1070">
        <v>0</v>
      </c>
      <c r="HR37" s="1070">
        <v>0</v>
      </c>
      <c r="HS37" s="1070">
        <v>0</v>
      </c>
      <c r="HT37" s="1070">
        <v>0</v>
      </c>
      <c r="HU37" s="1070">
        <v>0</v>
      </c>
      <c r="HV37" s="7" t="s">
        <v>667</v>
      </c>
      <c r="HY37" s="412"/>
      <c r="HZ37" s="412"/>
      <c r="IA37" s="412"/>
      <c r="IB37" s="412"/>
      <c r="IC37" s="412"/>
      <c r="ID37" s="412"/>
      <c r="IE37" s="412"/>
      <c r="IF37" s="412"/>
      <c r="IG37" s="412"/>
      <c r="IH37" s="412"/>
      <c r="II37" s="412"/>
      <c r="IJ37" s="412"/>
      <c r="IK37" s="412"/>
      <c r="IL37" s="412"/>
      <c r="IM37" s="412"/>
      <c r="IN37" s="412"/>
      <c r="IO37" s="412"/>
      <c r="IP37" s="412"/>
      <c r="IU37" s="1140" t="s">
        <v>387</v>
      </c>
      <c r="IV37" s="1141">
        <v>43</v>
      </c>
      <c r="IW37" s="1141">
        <v>16</v>
      </c>
      <c r="IX37" s="1141">
        <v>16</v>
      </c>
      <c r="IY37" s="1141">
        <v>16</v>
      </c>
      <c r="IZ37" s="1141">
        <v>16</v>
      </c>
      <c r="JA37" s="1141">
        <v>16</v>
      </c>
      <c r="JB37" s="1141">
        <v>5</v>
      </c>
      <c r="JC37" s="1141">
        <v>5</v>
      </c>
      <c r="JD37" s="1141">
        <v>5</v>
      </c>
      <c r="JE37" s="1141">
        <v>3</v>
      </c>
      <c r="JF37" s="1141">
        <v>3</v>
      </c>
      <c r="JG37" s="1141">
        <v>3</v>
      </c>
      <c r="JH37" s="1141">
        <v>3</v>
      </c>
      <c r="JI37" s="1141">
        <v>3</v>
      </c>
      <c r="JJ37" s="1141">
        <v>3</v>
      </c>
      <c r="JK37" s="1141">
        <v>3</v>
      </c>
      <c r="JL37" s="1141">
        <v>3</v>
      </c>
      <c r="JM37" s="1141">
        <v>2</v>
      </c>
    </row>
    <row r="38" spans="1:273" ht="16.5" thickBot="1" x14ac:dyDescent="0.3">
      <c r="C38" s="1226"/>
      <c r="D38" s="1226"/>
      <c r="E38" s="1226"/>
      <c r="F38" s="1226"/>
      <c r="G38" s="1226"/>
      <c r="H38" s="1226"/>
      <c r="I38" s="1226"/>
      <c r="J38" s="1226"/>
      <c r="K38" s="1227"/>
      <c r="L38" s="1227"/>
      <c r="M38" s="1227"/>
      <c r="N38" s="1227"/>
      <c r="O38" s="1227"/>
      <c r="P38" s="1227"/>
      <c r="Q38" s="1227"/>
      <c r="R38" s="1227"/>
      <c r="T38" s="350"/>
      <c r="U38" s="351"/>
      <c r="V38" s="351"/>
      <c r="W38" s="351" t="str">
        <f>ADDRESS(42,23)</f>
        <v>$W$42</v>
      </c>
      <c r="X38" s="351"/>
      <c r="Y38" s="351"/>
      <c r="Z38" s="351"/>
      <c r="AA38" s="351"/>
      <c r="AB38" s="351"/>
      <c r="AC38" s="351"/>
      <c r="AD38" s="351"/>
      <c r="AE38" s="351"/>
      <c r="AF38" s="351"/>
      <c r="AG38" s="351"/>
      <c r="AH38" s="351"/>
      <c r="AI38" s="350"/>
      <c r="AJ38" s="351"/>
      <c r="AK38" s="351"/>
      <c r="AL38" s="351"/>
      <c r="AM38" s="351"/>
      <c r="AN38" s="351"/>
      <c r="AO38" s="351"/>
      <c r="AP38" s="351"/>
      <c r="AQ38" s="351"/>
      <c r="AR38" s="351"/>
      <c r="AS38" s="351"/>
      <c r="AT38" s="351"/>
      <c r="AU38" s="351"/>
      <c r="AV38" s="351"/>
      <c r="AW38" s="351"/>
      <c r="AX38" s="351"/>
      <c r="AY38" s="351"/>
      <c r="AZ38" s="351"/>
      <c r="BQ38" s="501"/>
      <c r="BR38" s="277"/>
      <c r="BS38" s="501"/>
      <c r="CW38" s="1055"/>
      <c r="CX38" s="1150"/>
      <c r="CY38" s="1150"/>
      <c r="CZ38" s="1150"/>
      <c r="DA38" s="1150"/>
      <c r="DB38" s="1150"/>
      <c r="DC38" s="1150"/>
      <c r="DD38" s="1150"/>
      <c r="DE38" s="1150"/>
      <c r="DF38" s="1150"/>
      <c r="DG38" s="1150"/>
      <c r="DM38" s="552"/>
      <c r="DN38" s="290"/>
      <c r="DS38" s="290"/>
      <c r="DT38" s="290"/>
      <c r="DU38" s="290"/>
      <c r="DV38" s="290"/>
      <c r="DW38" s="290"/>
      <c r="DX38" s="870"/>
      <c r="DY38" s="870"/>
      <c r="DZ38" s="870"/>
      <c r="EL38" s="528"/>
      <c r="EM38" s="529"/>
      <c r="EN38" s="529"/>
      <c r="EO38" s="529"/>
      <c r="EP38" s="529"/>
      <c r="EQ38" s="529"/>
      <c r="ER38" s="529"/>
      <c r="ES38" s="529"/>
      <c r="ET38" s="529"/>
      <c r="EU38" s="529"/>
      <c r="EV38" s="529"/>
      <c r="EW38" s="529"/>
      <c r="EX38" s="529"/>
      <c r="EY38" s="529"/>
      <c r="EZ38" s="529"/>
      <c r="FA38" s="529"/>
      <c r="FB38" s="529"/>
      <c r="FC38" s="529"/>
      <c r="FD38" s="529"/>
      <c r="FE38" s="529"/>
      <c r="FF38" s="530"/>
      <c r="FM38" s="1054"/>
      <c r="FN38" s="1055"/>
      <c r="FO38" s="1055"/>
      <c r="FP38" s="1055"/>
      <c r="FQ38" s="1055"/>
      <c r="FR38" s="1055"/>
      <c r="FS38" s="1055"/>
      <c r="FT38" s="1055"/>
      <c r="FU38" s="1055"/>
      <c r="FV38" s="1055"/>
      <c r="FW38" s="1055"/>
      <c r="FX38" s="1055"/>
      <c r="FY38" s="1055"/>
      <c r="FZ38" s="1055"/>
      <c r="GA38" s="1055"/>
      <c r="GB38" s="1055"/>
      <c r="GC38" s="1055"/>
      <c r="GD38" s="1055"/>
      <c r="GE38" s="1056"/>
      <c r="GG38" s="412"/>
      <c r="GH38" s="1027" t="s">
        <v>383</v>
      </c>
      <c r="GI38" s="7">
        <v>55</v>
      </c>
      <c r="GJ38" s="7">
        <v>0</v>
      </c>
      <c r="GK38" s="7">
        <v>7</v>
      </c>
      <c r="GL38" s="7">
        <v>7</v>
      </c>
      <c r="GM38" s="7">
        <v>7</v>
      </c>
      <c r="GN38" s="7">
        <v>7</v>
      </c>
      <c r="GO38" s="7">
        <v>7</v>
      </c>
      <c r="GP38" s="7">
        <v>7</v>
      </c>
      <c r="GQ38" s="7">
        <v>7</v>
      </c>
      <c r="GR38" s="7">
        <v>5</v>
      </c>
      <c r="GS38" s="7">
        <v>5</v>
      </c>
      <c r="GT38" s="7">
        <v>5</v>
      </c>
      <c r="GU38" s="7">
        <v>5</v>
      </c>
      <c r="GV38" s="7">
        <v>5</v>
      </c>
      <c r="GW38" s="7">
        <v>5</v>
      </c>
      <c r="GX38" s="7">
        <v>5</v>
      </c>
      <c r="GY38" s="7">
        <v>5</v>
      </c>
      <c r="GZ38" s="7">
        <v>3</v>
      </c>
      <c r="HC38" s="1027" t="s">
        <v>383</v>
      </c>
      <c r="HD38" s="7">
        <v>55</v>
      </c>
      <c r="HE38" s="7">
        <v>20</v>
      </c>
      <c r="HF38" s="7">
        <v>10</v>
      </c>
      <c r="HG38" s="7">
        <v>10</v>
      </c>
      <c r="HH38" s="7">
        <v>10</v>
      </c>
      <c r="HI38" s="7">
        <v>10</v>
      </c>
      <c r="HJ38" s="7">
        <v>10</v>
      </c>
      <c r="HK38" s="7">
        <v>10</v>
      </c>
      <c r="HL38" s="7">
        <v>10</v>
      </c>
      <c r="HM38" s="7">
        <v>8</v>
      </c>
      <c r="HN38" s="7">
        <v>8</v>
      </c>
      <c r="HO38" s="7">
        <v>8</v>
      </c>
      <c r="HP38" s="7">
        <v>8</v>
      </c>
      <c r="HQ38" s="7">
        <v>8</v>
      </c>
      <c r="HR38" s="7">
        <v>8</v>
      </c>
      <c r="HS38" s="7">
        <v>5</v>
      </c>
      <c r="HT38" s="7">
        <v>5</v>
      </c>
      <c r="HU38" s="7">
        <v>3</v>
      </c>
      <c r="HV38" s="7" t="s">
        <v>668</v>
      </c>
      <c r="HY38" s="412"/>
      <c r="HZ38" s="412"/>
      <c r="IA38" s="412"/>
      <c r="IB38" s="412"/>
      <c r="IC38" s="412"/>
      <c r="ID38" s="412"/>
      <c r="IE38" s="412"/>
      <c r="IF38" s="412"/>
      <c r="IG38" s="412"/>
      <c r="IH38" s="412"/>
      <c r="II38" s="412"/>
      <c r="IJ38" s="412"/>
      <c r="IK38" s="412"/>
      <c r="IL38" s="412"/>
      <c r="IM38" s="412"/>
      <c r="IN38" s="412"/>
      <c r="IO38" s="412"/>
      <c r="IP38" s="412"/>
      <c r="IU38" s="1025" t="s">
        <v>383</v>
      </c>
      <c r="IV38" s="1065">
        <v>56</v>
      </c>
      <c r="IW38" s="1065">
        <v>0</v>
      </c>
      <c r="IX38" s="1065">
        <v>9</v>
      </c>
      <c r="IY38" s="1065">
        <v>9</v>
      </c>
      <c r="IZ38" s="1065">
        <v>9</v>
      </c>
      <c r="JA38" s="1065">
        <v>9</v>
      </c>
      <c r="JB38" s="1065">
        <v>9</v>
      </c>
      <c r="JC38" s="1065">
        <v>9</v>
      </c>
      <c r="JD38" s="1065">
        <v>9</v>
      </c>
      <c r="JE38" s="1065">
        <v>0</v>
      </c>
      <c r="JF38" s="1065">
        <v>0</v>
      </c>
      <c r="JG38" s="1065">
        <v>0</v>
      </c>
      <c r="JH38" s="1065">
        <v>0</v>
      </c>
      <c r="JI38" s="1065">
        <v>0</v>
      </c>
      <c r="JJ38" s="1065">
        <v>0</v>
      </c>
      <c r="JK38" s="1065">
        <v>0</v>
      </c>
      <c r="JL38" s="1065">
        <v>0</v>
      </c>
      <c r="JM38" s="1065">
        <v>0</v>
      </c>
    </row>
    <row r="39" spans="1:273" ht="16.5" thickBot="1" x14ac:dyDescent="0.3">
      <c r="C39" s="1236"/>
      <c r="D39" s="1236"/>
      <c r="E39" s="1236"/>
      <c r="F39" s="1236"/>
      <c r="G39" s="1236"/>
      <c r="H39" s="1236"/>
      <c r="I39" s="1236"/>
      <c r="J39" s="1236"/>
      <c r="K39" s="1237"/>
      <c r="L39" s="1237"/>
      <c r="M39" s="1237"/>
      <c r="N39" s="1237"/>
      <c r="O39" s="1237"/>
      <c r="P39" s="1237"/>
      <c r="Q39" s="1237"/>
      <c r="R39" s="1237"/>
      <c r="T39" s="350"/>
      <c r="U39" s="351"/>
      <c r="V39" s="351"/>
      <c r="W39" s="351">
        <v>1</v>
      </c>
      <c r="X39" s="351">
        <v>2</v>
      </c>
      <c r="Y39" s="351">
        <v>3</v>
      </c>
      <c r="Z39" s="351">
        <v>4</v>
      </c>
      <c r="AA39" s="351">
        <v>5</v>
      </c>
      <c r="AB39" s="351">
        <v>6</v>
      </c>
      <c r="AC39" s="351">
        <v>7</v>
      </c>
      <c r="AD39" s="351">
        <v>8</v>
      </c>
      <c r="AE39" s="351">
        <v>9</v>
      </c>
      <c r="AF39" s="351">
        <v>10</v>
      </c>
      <c r="AG39" s="351">
        <v>11</v>
      </c>
      <c r="AH39" s="351">
        <v>12</v>
      </c>
      <c r="AI39" s="350">
        <v>13</v>
      </c>
      <c r="AJ39" s="351">
        <v>14</v>
      </c>
      <c r="AK39" s="351">
        <v>15</v>
      </c>
      <c r="AL39" s="351">
        <v>16</v>
      </c>
      <c r="AM39" s="351">
        <v>17</v>
      </c>
      <c r="AN39" s="351">
        <v>18</v>
      </c>
      <c r="AO39" s="351">
        <v>19</v>
      </c>
      <c r="AP39" s="351">
        <v>20</v>
      </c>
      <c r="AQ39" s="351">
        <v>21</v>
      </c>
      <c r="AR39" s="351">
        <v>22</v>
      </c>
      <c r="AS39" s="351">
        <v>23</v>
      </c>
      <c r="AT39" s="351">
        <v>24</v>
      </c>
      <c r="AU39" s="351">
        <v>25</v>
      </c>
      <c r="AV39" s="351">
        <v>26</v>
      </c>
      <c r="AW39" s="351">
        <v>25</v>
      </c>
      <c r="AX39" s="351">
        <v>26</v>
      </c>
      <c r="AY39" s="351">
        <v>25</v>
      </c>
      <c r="AZ39" s="351">
        <v>26</v>
      </c>
      <c r="BQ39" s="533"/>
      <c r="BR39" s="277"/>
      <c r="BS39" s="501"/>
      <c r="CW39" s="1055"/>
      <c r="CX39" s="1150"/>
      <c r="CY39" s="1150"/>
      <c r="CZ39" s="1150"/>
      <c r="DA39" s="1150"/>
      <c r="DB39" s="1150"/>
      <c r="DC39" s="1150"/>
      <c r="DD39" s="1150"/>
      <c r="DE39" s="1150"/>
      <c r="DF39" s="1150"/>
      <c r="DG39" s="1150"/>
      <c r="DM39" s="552"/>
      <c r="DN39" s="290"/>
      <c r="DS39" s="290"/>
      <c r="DT39" s="290"/>
      <c r="DU39" s="290"/>
      <c r="DV39" s="290"/>
      <c r="DW39" s="290"/>
      <c r="DX39" s="870"/>
      <c r="DY39" s="870"/>
      <c r="DZ39" s="870"/>
      <c r="FM39" s="1059"/>
      <c r="FN39" s="1057"/>
      <c r="FO39" s="1057"/>
      <c r="FP39" s="1057"/>
      <c r="FQ39" s="1057"/>
      <c r="FR39" s="1057"/>
      <c r="FS39" s="1057"/>
      <c r="FT39" s="1057"/>
      <c r="FU39" s="1057"/>
      <c r="FV39" s="1057"/>
      <c r="FW39" s="1057"/>
      <c r="FX39" s="1057"/>
      <c r="FY39" s="1057"/>
      <c r="FZ39" s="1057"/>
      <c r="GA39" s="1057"/>
      <c r="GB39" s="1057"/>
      <c r="GC39" s="1057"/>
      <c r="GD39" s="1057"/>
      <c r="GE39" s="1058"/>
      <c r="GG39" s="412"/>
      <c r="GH39" s="412"/>
      <c r="GI39" s="412"/>
      <c r="GJ39" s="412"/>
      <c r="GK39" s="412"/>
      <c r="GL39" s="412"/>
      <c r="GM39" s="412"/>
      <c r="GN39" s="412"/>
      <c r="GO39" s="412"/>
      <c r="GP39" s="412"/>
      <c r="GQ39" s="412"/>
      <c r="GR39" s="412"/>
      <c r="GS39" s="412"/>
      <c r="GT39" s="412"/>
      <c r="GU39" s="412"/>
      <c r="GV39" s="412"/>
      <c r="GW39" s="412"/>
      <c r="GX39" s="412"/>
      <c r="GY39" s="412"/>
      <c r="HC39" s="412"/>
      <c r="HD39" s="412"/>
      <c r="HE39" s="412"/>
      <c r="HF39" s="412"/>
      <c r="HG39" s="412"/>
      <c r="HH39" s="412"/>
      <c r="HI39" s="412"/>
      <c r="HJ39" s="412"/>
      <c r="HK39" s="412"/>
      <c r="HL39" s="412"/>
      <c r="HM39" s="412"/>
      <c r="HN39" s="412"/>
      <c r="HO39" s="412"/>
      <c r="HP39" s="412"/>
      <c r="HQ39" s="412"/>
      <c r="HR39" s="412"/>
      <c r="HS39" s="412"/>
      <c r="HT39" s="412"/>
      <c r="HY39" s="412"/>
      <c r="HZ39" s="412"/>
      <c r="IA39" s="412"/>
      <c r="IB39" s="412"/>
      <c r="IC39" s="412"/>
      <c r="ID39" s="412"/>
      <c r="IE39" s="412"/>
      <c r="IF39" s="412"/>
      <c r="IG39" s="412"/>
      <c r="IH39" s="412"/>
      <c r="II39" s="412"/>
      <c r="IJ39" s="412"/>
      <c r="IK39" s="412"/>
      <c r="IL39" s="412"/>
      <c r="IM39" s="412"/>
      <c r="IN39" s="412"/>
      <c r="IO39" s="412"/>
      <c r="IP39" s="412"/>
      <c r="IU39" s="412"/>
      <c r="IV39" s="412"/>
      <c r="IW39" s="412"/>
      <c r="IX39" s="412"/>
      <c r="IY39" s="412"/>
      <c r="IZ39" s="412"/>
      <c r="JA39" s="412"/>
      <c r="JB39" s="412"/>
      <c r="JC39" s="412"/>
      <c r="JD39" s="412"/>
      <c r="JE39" s="412"/>
      <c r="JF39" s="412"/>
      <c r="JG39" s="412"/>
      <c r="JH39" s="412"/>
      <c r="JI39" s="412"/>
      <c r="JJ39" s="412"/>
      <c r="JK39" s="412"/>
      <c r="JL39" s="412"/>
    </row>
    <row r="40" spans="1:273" ht="16.5" thickTop="1" x14ac:dyDescent="0.25">
      <c r="C40" s="294"/>
      <c r="D40" s="295"/>
      <c r="E40" s="294"/>
      <c r="F40" s="294"/>
      <c r="G40" s="294"/>
      <c r="H40" s="295"/>
      <c r="I40" s="294"/>
      <c r="J40" s="294"/>
      <c r="K40" s="296"/>
      <c r="L40" s="297"/>
      <c r="M40" s="296"/>
      <c r="N40" s="296"/>
      <c r="O40" s="296"/>
      <c r="P40" s="297"/>
      <c r="Q40" s="296"/>
      <c r="R40" s="296"/>
      <c r="T40" s="350"/>
      <c r="U40" s="351"/>
      <c r="V40" s="348" t="s">
        <v>421</v>
      </c>
      <c r="W40" s="355">
        <f ca="1">+TREND(W33:W34,$V$33:$V$34,$W$30)</f>
        <v>0.85537872869016185</v>
      </c>
      <c r="X40" s="355">
        <f t="shared" ref="X40:AF40" ca="1" si="83">+TREND(X33:X34,$V$33:$V$34,$W$30)</f>
        <v>9.5722908464566908E-2</v>
      </c>
      <c r="Y40" s="355">
        <f t="shared" ca="1" si="83"/>
        <v>0.7989393763578011</v>
      </c>
      <c r="Z40" s="355">
        <f t="shared" ca="1" si="83"/>
        <v>0.11976419783464566</v>
      </c>
      <c r="AA40" s="355">
        <f t="shared" ca="1" si="83"/>
        <v>0.74552962004366241</v>
      </c>
      <c r="AB40" s="355">
        <f t="shared" ca="1" si="83"/>
        <v>0.15245989993438325</v>
      </c>
      <c r="AC40" s="355">
        <f t="shared" ca="1" si="83"/>
        <v>0.68292863240363244</v>
      </c>
      <c r="AD40" s="355">
        <f t="shared" ca="1" si="83"/>
        <v>0.18028681649168851</v>
      </c>
      <c r="AE40" s="355">
        <f t="shared" ca="1" si="83"/>
        <v>0.66216998108328229</v>
      </c>
      <c r="AF40" s="355">
        <f t="shared" ca="1" si="83"/>
        <v>0.20670500738188974</v>
      </c>
      <c r="AG40" s="355">
        <f t="shared" ref="AG40:AV40" ca="1" si="84">+TREND(AG33:AG34,$V$33:$V$34,$W$30)</f>
        <v>0.63281169329142495</v>
      </c>
      <c r="AH40" s="355">
        <f t="shared" ca="1" si="84"/>
        <v>0.22746968503937004</v>
      </c>
      <c r="AI40" s="1160" t="e">
        <f t="shared" ca="1" si="84"/>
        <v>#VALUE!</v>
      </c>
      <c r="AJ40" s="355" t="e">
        <f t="shared" ca="1" si="84"/>
        <v>#VALUE!</v>
      </c>
      <c r="AK40" s="355" t="e">
        <f t="shared" ca="1" si="84"/>
        <v>#VALUE!</v>
      </c>
      <c r="AL40" s="355" t="e">
        <f t="shared" ca="1" si="84"/>
        <v>#VALUE!</v>
      </c>
      <c r="AM40" s="355" t="e">
        <f t="shared" ca="1" si="84"/>
        <v>#VALUE!</v>
      </c>
      <c r="AN40" s="355" t="e">
        <f t="shared" ca="1" si="84"/>
        <v>#VALUE!</v>
      </c>
      <c r="AO40" s="355" t="e">
        <f t="shared" ca="1" si="84"/>
        <v>#VALUE!</v>
      </c>
      <c r="AP40" s="355" t="e">
        <f t="shared" ca="1" si="84"/>
        <v>#VALUE!</v>
      </c>
      <c r="AQ40" s="355" t="e">
        <f t="shared" ca="1" si="84"/>
        <v>#VALUE!</v>
      </c>
      <c r="AR40" s="355" t="e">
        <f t="shared" ca="1" si="84"/>
        <v>#VALUE!</v>
      </c>
      <c r="AS40" s="355" t="e">
        <f t="shared" ca="1" si="84"/>
        <v>#VALUE!</v>
      </c>
      <c r="AT40" s="355" t="e">
        <f t="shared" ca="1" si="84"/>
        <v>#VALUE!</v>
      </c>
      <c r="AU40" s="355" t="e">
        <f t="shared" ca="1" si="84"/>
        <v>#VALUE!</v>
      </c>
      <c r="AV40" s="355" t="e">
        <f t="shared" ca="1" si="84"/>
        <v>#VALUE!</v>
      </c>
      <c r="AW40" s="355" t="e">
        <f t="shared" ref="AW40:AX40" ca="1" si="85">+TREND(AW33:AW34,$V$33:$V$34,$W$30)</f>
        <v>#VALUE!</v>
      </c>
      <c r="AX40" s="355" t="e">
        <f t="shared" ca="1" si="85"/>
        <v>#VALUE!</v>
      </c>
      <c r="AY40" s="355" t="e">
        <f t="shared" ref="AY40:AZ40" ca="1" si="86">+TREND(AY33:AY34,$V$33:$V$34,$W$30)</f>
        <v>#VALUE!</v>
      </c>
      <c r="AZ40" s="355" t="e">
        <f t="shared" ca="1" si="86"/>
        <v>#VALUE!</v>
      </c>
      <c r="BQ40" s="501" t="s">
        <v>556</v>
      </c>
      <c r="BR40" s="277">
        <v>0</v>
      </c>
      <c r="BS40" s="533" t="s">
        <v>613</v>
      </c>
      <c r="CW40" s="1055"/>
      <c r="CX40" s="1150"/>
      <c r="CY40" s="1150"/>
      <c r="CZ40" s="1150"/>
      <c r="DA40" s="1150"/>
      <c r="DB40" s="1150"/>
      <c r="DC40" s="1150"/>
      <c r="DD40" s="1150"/>
      <c r="DE40" s="1150"/>
      <c r="DF40" s="1150"/>
      <c r="DG40" s="1150"/>
      <c r="DM40" s="552"/>
      <c r="DN40" s="290"/>
      <c r="DS40" s="290"/>
      <c r="DT40" s="290"/>
      <c r="DU40" s="290"/>
      <c r="DV40" s="290"/>
      <c r="DW40" s="290"/>
      <c r="DX40" s="870"/>
      <c r="DY40" s="870"/>
      <c r="DZ40" s="870"/>
    </row>
    <row r="41" spans="1:273" ht="15.75" x14ac:dyDescent="0.25">
      <c r="B41" s="289" t="s">
        <v>224</v>
      </c>
      <c r="C41" s="290"/>
      <c r="D41" s="290"/>
      <c r="E41" s="290"/>
      <c r="F41" s="290"/>
      <c r="G41" s="290"/>
      <c r="H41" s="290"/>
      <c r="I41" s="290"/>
      <c r="J41" s="290"/>
      <c r="K41" s="298"/>
      <c r="L41" s="298"/>
      <c r="M41" s="298"/>
      <c r="N41" s="298"/>
      <c r="O41" s="298"/>
      <c r="P41" s="298"/>
      <c r="Q41" s="298"/>
      <c r="R41" s="298"/>
      <c r="T41" s="350"/>
      <c r="U41" s="352"/>
      <c r="V41" s="348" t="s">
        <v>419</v>
      </c>
      <c r="W41" s="355">
        <f ca="1">+TREND(W33:W34,$V$33:$V$34,$W$30)/W$63</f>
        <v>0.85537872869016185</v>
      </c>
      <c r="X41" s="355">
        <f t="shared" ref="X41:AF41" ca="1" si="87">+TREND(X33:X34,$V$33:$V$34,$W$30)</f>
        <v>9.5722908464566908E-2</v>
      </c>
      <c r="Y41" s="355">
        <f ca="1">+TREND(Y33:Y34,$V$33:$V$34,$W$30)/Y$63</f>
        <v>0.7989393763578011</v>
      </c>
      <c r="Z41" s="355">
        <f t="shared" ref="Z41" ca="1" si="88">+TREND(Z33:Z34,$V$33:$V$34,$W$30)</f>
        <v>0.11976419783464566</v>
      </c>
      <c r="AA41" s="355">
        <f ca="1">+TREND(AA33:AA34,$V$33:$V$34,$W$30)/AA$63</f>
        <v>0.74552962004366241</v>
      </c>
      <c r="AB41" s="355">
        <f t="shared" ca="1" si="87"/>
        <v>0.15245989993438325</v>
      </c>
      <c r="AC41" s="355">
        <f ca="1">+TREND(AC33:AC34,$V$33:$V$34,$W$30)/AC$63</f>
        <v>0.68292863240363244</v>
      </c>
      <c r="AD41" s="355">
        <f t="shared" ca="1" si="87"/>
        <v>0.18028681649168851</v>
      </c>
      <c r="AE41" s="355">
        <f ca="1">+TREND(AE33:AE34,$V$33:$V$34,$W$30)/AE$63</f>
        <v>0.66216998108328229</v>
      </c>
      <c r="AF41" s="355">
        <f t="shared" ca="1" si="87"/>
        <v>0.20670500738188974</v>
      </c>
      <c r="AG41" s="355">
        <f ca="1">+TREND(AG33:AG34,$V$33:$V$34,$W$30)/AG$63</f>
        <v>0.63281169329142495</v>
      </c>
      <c r="AH41" s="355">
        <f t="shared" ref="AH41" ca="1" si="89">+TREND(AH33:AH34,$V$33:$V$34,$W$30)</f>
        <v>0.22746968503937004</v>
      </c>
      <c r="AI41" s="1160" t="e">
        <f ca="1">+TREND(AI33:AI34,$V$33:$V$34,$W$30)/AI$63</f>
        <v>#VALUE!</v>
      </c>
      <c r="AJ41" s="355" t="e">
        <f t="shared" ref="AJ41" ca="1" si="90">+TREND(AJ33:AJ34,$V$33:$V$34,$W$30)</f>
        <v>#VALUE!</v>
      </c>
      <c r="AK41" s="355" t="e">
        <f ca="1">+TREND(AK33:AK34,$V$33:$V$34,$W$30)/AK$63</f>
        <v>#VALUE!</v>
      </c>
      <c r="AL41" s="355" t="e">
        <f t="shared" ref="AL41" ca="1" si="91">+TREND(AL33:AL34,$V$33:$V$34,$W$30)</f>
        <v>#VALUE!</v>
      </c>
      <c r="AM41" s="355" t="e">
        <f ca="1">+TREND(AM33:AM34,$V$33:$V$34,$W$30)/AM$63</f>
        <v>#VALUE!</v>
      </c>
      <c r="AN41" s="355" t="e">
        <f t="shared" ref="AN41" ca="1" si="92">+TREND(AN33:AN34,$V$33:$V$34,$W$30)</f>
        <v>#VALUE!</v>
      </c>
      <c r="AO41" s="355" t="e">
        <f ca="1">+TREND(AO33:AO34,$V$33:$V$34,$W$30)/AO$63</f>
        <v>#VALUE!</v>
      </c>
      <c r="AP41" s="355" t="e">
        <f t="shared" ref="AP41" ca="1" si="93">+TREND(AP33:AP34,$V$33:$V$34,$W$30)</f>
        <v>#VALUE!</v>
      </c>
      <c r="AQ41" s="355" t="e">
        <f ca="1">+TREND(AQ33:AQ34,$V$33:$V$34,$W$30)/AQ$63</f>
        <v>#VALUE!</v>
      </c>
      <c r="AR41" s="355" t="e">
        <f t="shared" ref="AR41" ca="1" si="94">+TREND(AR33:AR34,$V$33:$V$34,$W$30)</f>
        <v>#VALUE!</v>
      </c>
      <c r="AS41" s="355" t="e">
        <f ca="1">+TREND(AS33:AS34,$V$33:$V$34,$W$30)/AS$63</f>
        <v>#VALUE!</v>
      </c>
      <c r="AT41" s="355" t="e">
        <f t="shared" ref="AT41" ca="1" si="95">+TREND(AT33:AT34,$V$33:$V$34,$W$30)</f>
        <v>#VALUE!</v>
      </c>
      <c r="AU41" s="355" t="e">
        <f ca="1">+TREND(AU33:AU34,$V$33:$V$34,$W$30)/AU$63</f>
        <v>#VALUE!</v>
      </c>
      <c r="AV41" s="355" t="e">
        <f t="shared" ref="AV41:AX41" ca="1" si="96">+TREND(AV33:AV34,$V$33:$V$34,$W$30)</f>
        <v>#VALUE!</v>
      </c>
      <c r="AW41" s="355" t="e">
        <f ca="1">+TREND(AW33:AW34,$V$33:$V$34,$W$30)/AW$63</f>
        <v>#VALUE!</v>
      </c>
      <c r="AX41" s="355" t="e">
        <f t="shared" ca="1" si="96"/>
        <v>#VALUE!</v>
      </c>
      <c r="AY41" s="355" t="e">
        <f ca="1">+TREND(AY33:AY34,$V$33:$V$34,$W$30)/AY$63</f>
        <v>#VALUE!</v>
      </c>
      <c r="AZ41" s="355" t="e">
        <f t="shared" ref="AZ41" ca="1" si="97">+TREND(AZ33:AZ34,$V$33:$V$34,$W$30)</f>
        <v>#VALUE!</v>
      </c>
      <c r="BA41" s="290"/>
      <c r="BB41" s="290"/>
      <c r="BC41" s="290"/>
      <c r="BQ41" s="501" t="s">
        <v>557</v>
      </c>
      <c r="BR41" s="277">
        <v>0</v>
      </c>
      <c r="BS41" s="533" t="s">
        <v>614</v>
      </c>
      <c r="CW41" s="1055"/>
      <c r="CX41" s="1150"/>
      <c r="CY41" s="1150"/>
      <c r="CZ41" s="1150"/>
      <c r="DA41" s="1150"/>
      <c r="DB41" s="1150"/>
      <c r="DC41" s="1150"/>
      <c r="DD41" s="1150"/>
      <c r="DE41" s="1150"/>
      <c r="DF41" s="1150"/>
      <c r="DG41" s="1150"/>
      <c r="DM41" s="552"/>
      <c r="DN41" s="290"/>
      <c r="DS41" s="290"/>
      <c r="DT41" s="290"/>
      <c r="DU41" s="290"/>
      <c r="DV41" s="290"/>
      <c r="DW41" s="290"/>
      <c r="DX41" s="870"/>
      <c r="DY41" s="870"/>
      <c r="DZ41" s="870"/>
    </row>
    <row r="42" spans="1:273" ht="15.75" x14ac:dyDescent="0.25">
      <c r="B42" s="409" t="s">
        <v>341</v>
      </c>
      <c r="C42" s="411"/>
      <c r="D42" s="411"/>
      <c r="E42" s="411"/>
      <c r="F42" s="411"/>
      <c r="G42" s="411"/>
      <c r="H42" s="411"/>
      <c r="I42" s="411"/>
      <c r="J42" s="411"/>
      <c r="K42" s="411"/>
      <c r="L42" s="411"/>
      <c r="M42" s="411"/>
      <c r="N42" s="411"/>
      <c r="O42" s="411"/>
      <c r="P42" s="411"/>
      <c r="Q42" s="411"/>
      <c r="R42" s="411"/>
      <c r="T42" s="349"/>
      <c r="U42" s="225"/>
      <c r="V42" s="414" t="str">
        <f>+B42&amp;"*"</f>
        <v>at Exp C Height of Interest*</v>
      </c>
      <c r="W42" s="413">
        <f ca="1">+TREND(W35:W36,$V$35:$V$36,$AB$30)/W$63</f>
        <v>0.89212540672859564</v>
      </c>
      <c r="X42" s="413">
        <f t="shared" ref="X42:AF42" ca="1" si="98">+TREND(X35:X36,$V$35:$V$36,$AB$30)</f>
        <v>8.3965188374999986E-2</v>
      </c>
      <c r="Y42" s="413">
        <f ca="1">+TREND(Y35:Y36,$V$35:$V$36,$AB$30)/Y$63</f>
        <v>0.84312888649928941</v>
      </c>
      <c r="Z42" s="413">
        <f t="shared" ca="1" si="98"/>
        <v>0.1081300508125</v>
      </c>
      <c r="AA42" s="413">
        <f ca="1">+TREND(AA35:AA36,$V$35:$V$36,$AB$30)/AA$63</f>
        <v>0.79466622194179259</v>
      </c>
      <c r="AB42" s="413">
        <f t="shared" ca="1" si="98"/>
        <v>0.13735828507916664</v>
      </c>
      <c r="AC42" s="413">
        <f ca="1">+TREND(AC35:AC36,$V$35:$V$36,$AB$30)/AC$63</f>
        <v>0.74246128653316523</v>
      </c>
      <c r="AD42" s="413">
        <f t="shared" ca="1" si="98"/>
        <v>0.16359747458333332</v>
      </c>
      <c r="AE42" s="413">
        <f ca="1">+TREND(AE35:AE36,$V$35:$V$36,$AB$30)/AE$63</f>
        <v>0.73760327287260918</v>
      </c>
      <c r="AF42" s="413">
        <f t="shared" ca="1" si="98"/>
        <v>0.18621365875000001</v>
      </c>
      <c r="AG42" s="413">
        <f ca="1">+TREND(AG35:AG36,$V$35:$V$36,$AB$30)/AG$63</f>
        <v>0.70161947530864199</v>
      </c>
      <c r="AH42" s="413">
        <f t="shared" ref="AH42" ca="1" si="99">+TREND(AH35:AH36,$V$35:$V$36,$AB$30)</f>
        <v>0.21155250999999997</v>
      </c>
      <c r="AI42" s="1161" t="e">
        <f ca="1">+TREND(AI35:AI36,$V$35:$V$36,$AB$30)/AI$63</f>
        <v>#VALUE!</v>
      </c>
      <c r="AJ42" s="413" t="e">
        <f t="shared" ref="AJ42" ca="1" si="100">+TREND(AJ35:AJ36,$V$35:$V$36,$AB$30)</f>
        <v>#VALUE!</v>
      </c>
      <c r="AK42" s="413" t="e">
        <f ca="1">+TREND(AK35:AK36,$V$35:$V$36,$AB$30)/AK$63</f>
        <v>#VALUE!</v>
      </c>
      <c r="AL42" s="413" t="e">
        <f t="shared" ref="AL42" ca="1" si="101">+TREND(AL35:AL36,$V$35:$V$36,$AB$30)</f>
        <v>#VALUE!</v>
      </c>
      <c r="AM42" s="413" t="e">
        <f ca="1">+TREND(AM35:AM36,$V$35:$V$36,$AB$30)/AM$63</f>
        <v>#VALUE!</v>
      </c>
      <c r="AN42" s="413" t="e">
        <f t="shared" ref="AN42" ca="1" si="102">+TREND(AN35:AN36,$V$35:$V$36,$AB$30)</f>
        <v>#VALUE!</v>
      </c>
      <c r="AO42" s="413" t="e">
        <f ca="1">+TREND(AO35:AO36,$V$35:$V$36,$AB$30)/AO$63</f>
        <v>#VALUE!</v>
      </c>
      <c r="AP42" s="413" t="e">
        <f t="shared" ref="AP42" ca="1" si="103">+TREND(AP35:AP36,$V$35:$V$36,$AB$30)</f>
        <v>#VALUE!</v>
      </c>
      <c r="AQ42" s="413" t="e">
        <f ca="1">+TREND(AQ35:AQ36,$V$35:$V$36,$AB$30)/AQ$63</f>
        <v>#VALUE!</v>
      </c>
      <c r="AR42" s="413" t="e">
        <f t="shared" ref="AR42" ca="1" si="104">+TREND(AR35:AR36,$V$35:$V$36,$AB$30)</f>
        <v>#VALUE!</v>
      </c>
      <c r="AS42" s="413" t="e">
        <f ca="1">+TREND(AS35:AS36,$V$35:$V$36,$AB$30)/AS$63</f>
        <v>#VALUE!</v>
      </c>
      <c r="AT42" s="413" t="e">
        <f t="shared" ref="AT42" ca="1" si="105">+TREND(AT35:AT36,$V$35:$V$36,$AB$30)</f>
        <v>#VALUE!</v>
      </c>
      <c r="AU42" s="413" t="e">
        <f ca="1">+TREND(AU35:AU36,$V$35:$V$36,$AB$30)/AU$63</f>
        <v>#VALUE!</v>
      </c>
      <c r="AV42" s="413" t="e">
        <f t="shared" ref="AV42:AX42" ca="1" si="106">+TREND(AV35:AV36,$V$35:$V$36,$AB$30)</f>
        <v>#VALUE!</v>
      </c>
      <c r="AW42" s="413" t="e">
        <f ca="1">+TREND(AW35:AW36,$V$35:$V$36,$AB$30)/AW$63</f>
        <v>#VALUE!</v>
      </c>
      <c r="AX42" s="413" t="e">
        <f t="shared" ca="1" si="106"/>
        <v>#VALUE!</v>
      </c>
      <c r="AY42" s="413" t="e">
        <f ca="1">+TREND(AY35:AY36,$V$35:$V$36,$AB$30)/AY$63</f>
        <v>#VALUE!</v>
      </c>
      <c r="AZ42" s="413" t="e">
        <f t="shared" ref="AZ42" ca="1" si="107">+TREND(AZ35:AZ36,$V$35:$V$36,$AB$30)</f>
        <v>#VALUE!</v>
      </c>
      <c r="BQ42" s="501" t="s">
        <v>629</v>
      </c>
      <c r="BR42" s="277">
        <v>0</v>
      </c>
      <c r="BS42" s="533" t="s">
        <v>630</v>
      </c>
      <c r="CW42" s="1055"/>
      <c r="CX42" s="1150"/>
      <c r="CY42" s="1150"/>
      <c r="CZ42" s="1150"/>
      <c r="DA42" s="1150"/>
      <c r="DB42" s="1150"/>
      <c r="DC42" s="1150"/>
      <c r="DD42" s="1150"/>
      <c r="DE42" s="1150"/>
      <c r="DF42" s="1150"/>
      <c r="DG42" s="1150"/>
      <c r="DM42" s="552"/>
      <c r="DN42" s="290"/>
      <c r="DS42" s="290"/>
      <c r="DT42" s="290"/>
      <c r="DU42" s="290"/>
      <c r="DV42" s="290"/>
      <c r="DW42" s="290"/>
      <c r="DX42" s="870"/>
      <c r="DY42" s="870"/>
      <c r="DZ42" s="870"/>
    </row>
    <row r="43" spans="1:273" ht="15.75" x14ac:dyDescent="0.25">
      <c r="T43" s="385"/>
      <c r="U43" s="386"/>
      <c r="V43" s="386"/>
      <c r="W43" s="386"/>
      <c r="X43" s="386"/>
      <c r="Y43" s="386"/>
      <c r="Z43" s="386"/>
      <c r="AA43" s="386"/>
      <c r="AB43" s="386"/>
      <c r="AC43" s="386"/>
      <c r="AD43" s="386"/>
      <c r="AE43" s="386"/>
      <c r="AF43" s="386"/>
      <c r="AG43" s="386"/>
      <c r="AH43" s="386"/>
      <c r="AI43" s="385"/>
      <c r="AJ43" s="386"/>
      <c r="AK43" s="386"/>
      <c r="AL43" s="386"/>
      <c r="AM43" s="386"/>
      <c r="AN43" s="386"/>
      <c r="AO43" s="386"/>
      <c r="AP43" s="386"/>
      <c r="AQ43" s="386"/>
      <c r="AR43" s="386"/>
      <c r="AS43" s="386"/>
      <c r="AT43" s="386"/>
      <c r="AU43" s="386"/>
      <c r="AV43" s="386"/>
      <c r="AW43" s="386"/>
      <c r="AX43" s="386"/>
      <c r="AY43" s="386"/>
      <c r="AZ43" s="386"/>
      <c r="BQ43" s="533" t="s">
        <v>815</v>
      </c>
      <c r="BR43" s="277">
        <v>0</v>
      </c>
      <c r="BS43" s="533" t="s">
        <v>816</v>
      </c>
      <c r="CW43" s="1055"/>
      <c r="CX43" s="1150"/>
      <c r="CY43" s="1150"/>
      <c r="CZ43" s="1150"/>
      <c r="DA43" s="1150"/>
      <c r="DB43" s="1150"/>
      <c r="DC43" s="1150"/>
      <c r="DD43" s="1150"/>
      <c r="DE43" s="1150"/>
      <c r="DF43" s="1150"/>
      <c r="DG43" s="1150"/>
      <c r="DM43" s="552"/>
      <c r="DN43" s="290"/>
      <c r="DQ43" s="551"/>
      <c r="DS43" s="290"/>
      <c r="DT43" s="290"/>
      <c r="DU43" s="290"/>
      <c r="DV43" s="290"/>
      <c r="DW43" s="290"/>
      <c r="DX43" s="870"/>
      <c r="DY43" s="870"/>
      <c r="DZ43" s="870"/>
    </row>
    <row r="44" spans="1:273" ht="15.75" x14ac:dyDescent="0.2">
      <c r="T44" s="564" t="s">
        <v>417</v>
      </c>
      <c r="U44" s="166"/>
      <c r="V44" s="166"/>
      <c r="W44" s="166"/>
      <c r="X44" s="166"/>
      <c r="Y44" s="166"/>
      <c r="Z44" s="166"/>
      <c r="AA44" s="166"/>
      <c r="AB44" s="166"/>
      <c r="AC44" s="166"/>
      <c r="AD44" s="166"/>
      <c r="AE44" s="166"/>
      <c r="AF44" s="166"/>
      <c r="AG44" s="166"/>
      <c r="AH44" s="166"/>
      <c r="AI44" s="224"/>
      <c r="AJ44" s="166"/>
      <c r="AK44" s="166"/>
      <c r="AL44" s="166"/>
      <c r="AM44" s="166"/>
      <c r="AN44" s="166"/>
      <c r="AO44" s="166"/>
      <c r="AP44" s="166"/>
      <c r="AQ44" s="166"/>
      <c r="AR44" s="166"/>
      <c r="AS44" s="166"/>
      <c r="AT44" s="166"/>
      <c r="AU44" s="166"/>
      <c r="AV44" s="166"/>
      <c r="AW44" s="166"/>
      <c r="AX44" s="166"/>
      <c r="AY44" s="166"/>
      <c r="AZ44" s="166"/>
      <c r="BQ44" s="533" t="s">
        <v>813</v>
      </c>
      <c r="BR44" s="277">
        <v>0</v>
      </c>
      <c r="BS44" s="533" t="s">
        <v>814</v>
      </c>
      <c r="CW44" s="1055"/>
      <c r="CX44" s="1150"/>
      <c r="CY44" s="1150"/>
      <c r="CZ44" s="1150"/>
      <c r="DA44" s="1150"/>
      <c r="DB44" s="1150"/>
      <c r="DC44" s="1150"/>
      <c r="DD44" s="1150"/>
      <c r="DE44" s="1150"/>
      <c r="DF44" s="1150"/>
      <c r="DG44" s="1150"/>
      <c r="DM44" s="290"/>
      <c r="DN44" s="290"/>
      <c r="DO44" s="290"/>
      <c r="DP44" s="290"/>
      <c r="DQ44" s="290"/>
      <c r="DS44" s="290"/>
      <c r="DT44" s="290"/>
      <c r="DU44" s="290"/>
      <c r="DV44" s="290"/>
      <c r="DW44" s="290"/>
      <c r="DX44" s="870"/>
      <c r="DY44" s="870"/>
      <c r="DZ44" s="870"/>
      <c r="EY44" s="1097" t="s">
        <v>398</v>
      </c>
      <c r="EZ44" s="1146" t="s">
        <v>765</v>
      </c>
      <c r="FA44" s="1097"/>
      <c r="FB44" s="1097"/>
      <c r="FC44" s="1097"/>
      <c r="FD44" s="1097"/>
      <c r="FE44" s="1097"/>
      <c r="FF44" s="1097"/>
      <c r="FG44" s="1097"/>
      <c r="FH44" s="1097"/>
      <c r="FI44" s="1097"/>
      <c r="FJ44" s="1097"/>
      <c r="FK44" s="1097"/>
      <c r="GH44" s="1097" t="s">
        <v>398</v>
      </c>
      <c r="GI44" s="1146" t="s">
        <v>770</v>
      </c>
      <c r="GJ44" s="1097"/>
      <c r="GK44" s="1097"/>
      <c r="GL44" s="1097"/>
      <c r="GM44" s="1097"/>
      <c r="GN44" s="1097"/>
      <c r="GO44" s="1097"/>
      <c r="GP44" s="1097"/>
      <c r="GQ44" s="1097"/>
      <c r="GR44" s="1097"/>
      <c r="GS44" s="1097"/>
      <c r="GT44" s="1097"/>
      <c r="GU44" s="1097"/>
      <c r="GV44" s="1097"/>
      <c r="GW44" s="1097"/>
      <c r="GX44" s="1097"/>
      <c r="GY44" s="1097"/>
      <c r="GZ44" s="1097"/>
      <c r="IU44" s="1002" t="s">
        <v>398</v>
      </c>
      <c r="IV44" s="1174" t="s">
        <v>779</v>
      </c>
      <c r="IW44" s="1002"/>
      <c r="IX44" s="1002"/>
      <c r="IY44" s="1002"/>
      <c r="IZ44" s="1002"/>
      <c r="JA44" s="1002"/>
      <c r="JB44" s="1002"/>
      <c r="JC44" s="1002"/>
      <c r="JD44" s="1002"/>
      <c r="JE44" s="1002"/>
      <c r="JF44" s="1002"/>
      <c r="JG44" s="1002"/>
      <c r="JH44" s="1002"/>
      <c r="JI44" s="1002"/>
      <c r="JJ44" s="1002"/>
      <c r="JK44" s="1002"/>
      <c r="JL44" s="1002"/>
      <c r="JM44" s="1002"/>
    </row>
    <row r="45" spans="1:273" x14ac:dyDescent="0.2">
      <c r="T45" s="224"/>
      <c r="U45" s="351"/>
      <c r="V45" s="346" t="s">
        <v>221</v>
      </c>
      <c r="W45" s="387">
        <f>+AB30</f>
        <v>17.815830000000002</v>
      </c>
      <c r="X45" s="347">
        <f>MATCH($W$45,$V$8:$V$28,1)</f>
        <v>11</v>
      </c>
      <c r="Y45" s="166"/>
      <c r="Z45" s="166"/>
      <c r="AA45" s="166"/>
      <c r="AB45" s="166"/>
      <c r="AC45" s="166"/>
      <c r="AD45" s="166"/>
      <c r="AE45" s="166"/>
      <c r="AF45" s="166"/>
      <c r="AG45" s="166"/>
      <c r="AH45" s="166"/>
      <c r="AI45" s="224"/>
      <c r="AJ45" s="166"/>
      <c r="AK45" s="166"/>
      <c r="AL45" s="166"/>
      <c r="AM45" s="166"/>
      <c r="AN45" s="166"/>
      <c r="AO45" s="166"/>
      <c r="AP45" s="166"/>
      <c r="AQ45" s="166"/>
      <c r="AR45" s="166"/>
      <c r="AS45" s="166"/>
      <c r="AT45" s="166"/>
      <c r="AU45" s="166"/>
      <c r="AV45" s="166"/>
      <c r="AW45" s="166"/>
      <c r="AX45" s="166"/>
      <c r="AY45" s="166"/>
      <c r="AZ45" s="166"/>
      <c r="BQ45" s="533" t="s">
        <v>771</v>
      </c>
      <c r="BR45" s="277">
        <v>0</v>
      </c>
      <c r="BS45" s="533" t="s">
        <v>772</v>
      </c>
      <c r="CW45" s="1055"/>
      <c r="CX45" s="1150"/>
      <c r="CY45" s="1150"/>
      <c r="CZ45" s="1150"/>
      <c r="DA45" s="1150"/>
      <c r="DB45" s="1150"/>
      <c r="DC45" s="1150"/>
      <c r="DD45" s="1150"/>
      <c r="DE45" s="1150"/>
      <c r="DF45" s="1150"/>
      <c r="DG45" s="1150"/>
      <c r="DM45" s="290"/>
      <c r="DN45" s="290"/>
      <c r="DO45" s="290"/>
      <c r="DP45" s="290"/>
      <c r="DQ45" s="290"/>
      <c r="DS45" s="290"/>
      <c r="DT45" s="290"/>
      <c r="DU45" s="290"/>
      <c r="DV45" s="290"/>
      <c r="DW45" s="290"/>
      <c r="EY45" s="1097">
        <v>1</v>
      </c>
      <c r="EZ45" s="1097">
        <v>2</v>
      </c>
      <c r="FA45" s="1097">
        <v>3</v>
      </c>
      <c r="FB45" s="1097">
        <v>4</v>
      </c>
      <c r="FC45" s="1097">
        <v>5</v>
      </c>
      <c r="FD45" s="1097">
        <v>6</v>
      </c>
      <c r="FE45" s="1097">
        <v>7</v>
      </c>
      <c r="FF45" s="1097">
        <v>8</v>
      </c>
      <c r="FG45" s="1097">
        <v>9</v>
      </c>
      <c r="FH45" s="1097">
        <v>10</v>
      </c>
      <c r="FI45" s="1097">
        <v>11</v>
      </c>
      <c r="FJ45" s="1097"/>
      <c r="FK45" s="1097"/>
      <c r="GH45" s="1097">
        <v>1</v>
      </c>
      <c r="GI45" s="1097">
        <v>2</v>
      </c>
      <c r="GJ45" s="1097">
        <v>3</v>
      </c>
      <c r="GK45" s="1097">
        <v>4</v>
      </c>
      <c r="GL45" s="1097">
        <v>5</v>
      </c>
      <c r="GM45" s="1097">
        <v>6</v>
      </c>
      <c r="GN45" s="1097">
        <v>7</v>
      </c>
      <c r="GO45" s="1097">
        <v>8</v>
      </c>
      <c r="GP45" s="1097">
        <v>9</v>
      </c>
      <c r="GQ45" s="1097">
        <v>10</v>
      </c>
      <c r="GR45" s="1097">
        <v>11</v>
      </c>
      <c r="GS45" s="1097">
        <v>12</v>
      </c>
      <c r="GT45" s="1097">
        <v>13</v>
      </c>
      <c r="GU45" s="1097">
        <v>14</v>
      </c>
      <c r="GV45" s="1097">
        <v>15</v>
      </c>
      <c r="GW45" s="1097">
        <v>16</v>
      </c>
      <c r="GX45" s="1097">
        <v>17</v>
      </c>
      <c r="GY45" s="1097">
        <v>16</v>
      </c>
      <c r="GZ45" s="1097">
        <v>17</v>
      </c>
      <c r="IU45" s="1002">
        <v>1</v>
      </c>
      <c r="IV45" s="1002">
        <v>2</v>
      </c>
      <c r="IW45" s="1002">
        <v>3</v>
      </c>
      <c r="IX45" s="1002">
        <v>4</v>
      </c>
      <c r="IY45" s="1002">
        <v>5</v>
      </c>
      <c r="IZ45" s="1002">
        <v>6</v>
      </c>
      <c r="JA45" s="1002">
        <v>7</v>
      </c>
      <c r="JB45" s="1002">
        <v>8</v>
      </c>
      <c r="JC45" s="1002">
        <v>9</v>
      </c>
      <c r="JD45" s="1002">
        <v>10</v>
      </c>
      <c r="JE45" s="1002">
        <v>11</v>
      </c>
      <c r="JF45" s="1002">
        <v>12</v>
      </c>
      <c r="JG45" s="1002">
        <v>13</v>
      </c>
      <c r="JH45" s="1002">
        <v>14</v>
      </c>
      <c r="JI45" s="1002">
        <v>15</v>
      </c>
      <c r="JJ45" s="1002">
        <v>16</v>
      </c>
      <c r="JK45" s="1002">
        <v>17</v>
      </c>
      <c r="JL45" s="1002">
        <v>16</v>
      </c>
      <c r="JM45" s="1002">
        <v>17</v>
      </c>
    </row>
    <row r="46" spans="1:273" x14ac:dyDescent="0.2">
      <c r="T46" s="224"/>
      <c r="U46" s="351"/>
      <c r="V46" s="351"/>
      <c r="W46" s="351"/>
      <c r="X46" s="347">
        <f>+X45+1</f>
        <v>12</v>
      </c>
      <c r="Y46" s="166"/>
      <c r="Z46" s="166"/>
      <c r="AA46" s="166"/>
      <c r="AB46" s="166"/>
      <c r="AC46" s="166"/>
      <c r="AD46" s="166"/>
      <c r="AE46" s="166"/>
      <c r="AF46" s="166"/>
      <c r="AG46" s="166"/>
      <c r="AH46" s="166"/>
      <c r="AI46" s="224"/>
      <c r="AJ46" s="166"/>
      <c r="AK46" s="166"/>
      <c r="AL46" s="166"/>
      <c r="AM46" s="166"/>
      <c r="AN46" s="166"/>
      <c r="AO46" s="166"/>
      <c r="AP46" s="166"/>
      <c r="AQ46" s="166"/>
      <c r="AR46" s="166"/>
      <c r="AS46" s="166"/>
      <c r="AT46" s="166"/>
      <c r="AU46" s="166"/>
      <c r="AV46" s="166"/>
      <c r="AW46" s="166"/>
      <c r="AX46" s="166"/>
      <c r="AY46" s="166"/>
      <c r="AZ46" s="166"/>
      <c r="BQ46" s="533" t="s">
        <v>679</v>
      </c>
      <c r="BR46" s="277">
        <v>0</v>
      </c>
      <c r="BS46" s="533" t="s">
        <v>671</v>
      </c>
      <c r="CW46" s="1055"/>
      <c r="CX46" s="1150"/>
      <c r="CY46" s="1150"/>
      <c r="CZ46" s="1150"/>
      <c r="DA46" s="1150"/>
      <c r="DB46" s="1150"/>
      <c r="DC46" s="1150"/>
      <c r="DD46" s="1150"/>
      <c r="DE46" s="1150"/>
      <c r="DF46" s="1150"/>
      <c r="DG46" s="1150"/>
      <c r="DM46" s="290"/>
      <c r="DN46" s="290"/>
      <c r="DO46" s="290"/>
      <c r="DP46" s="290"/>
      <c r="DQ46" s="290"/>
      <c r="DS46" s="290"/>
      <c r="DT46" s="290"/>
      <c r="DU46" s="290"/>
      <c r="DV46" s="290"/>
      <c r="DW46" s="290"/>
      <c r="EY46" s="1097"/>
      <c r="EZ46" s="1146"/>
      <c r="FA46" s="1097"/>
      <c r="FB46" s="1097"/>
      <c r="FC46" s="1097"/>
      <c r="FD46" s="1097"/>
      <c r="FE46" s="1097"/>
      <c r="FF46" s="1097"/>
      <c r="FG46" s="1097"/>
      <c r="FH46" s="1097"/>
      <c r="FI46" s="1097"/>
      <c r="FJ46" s="1097"/>
      <c r="FK46" s="1097"/>
      <c r="GH46" s="1097"/>
      <c r="GI46" s="1097" t="s">
        <v>699</v>
      </c>
      <c r="GJ46" s="1097"/>
      <c r="GK46" s="1097" t="s">
        <v>700</v>
      </c>
      <c r="GL46" s="1097"/>
      <c r="GM46" s="1097" t="s">
        <v>701</v>
      </c>
      <c r="GN46" s="1097"/>
      <c r="GO46" s="1097" t="s">
        <v>702</v>
      </c>
      <c r="GP46" s="1097"/>
      <c r="GQ46" s="1097" t="s">
        <v>703</v>
      </c>
      <c r="GR46" s="1097"/>
      <c r="GS46" s="1097" t="s">
        <v>704</v>
      </c>
      <c r="GT46" s="1097"/>
      <c r="GU46" s="1097" t="s">
        <v>705</v>
      </c>
      <c r="GV46" s="1097"/>
      <c r="GW46" s="1122" t="s">
        <v>730</v>
      </c>
      <c r="GX46" s="1097"/>
      <c r="GY46" s="1097" t="s">
        <v>706</v>
      </c>
      <c r="GZ46" s="1097"/>
      <c r="IU46" s="1002"/>
      <c r="IV46" s="1002" t="s">
        <v>780</v>
      </c>
      <c r="IW46" s="1002"/>
      <c r="IX46" s="1002" t="s">
        <v>781</v>
      </c>
      <c r="IY46" s="1002"/>
      <c r="IZ46" s="1002" t="s">
        <v>782</v>
      </c>
      <c r="JA46" s="1002"/>
      <c r="JB46" s="1002" t="s">
        <v>783</v>
      </c>
      <c r="JC46" s="1002"/>
      <c r="JD46" s="1002" t="s">
        <v>784</v>
      </c>
      <c r="JE46" s="1002"/>
      <c r="JF46" s="1002" t="s">
        <v>785</v>
      </c>
      <c r="JG46" s="1002"/>
      <c r="JH46" s="1002" t="s">
        <v>786</v>
      </c>
      <c r="JI46" s="1002"/>
      <c r="JJ46" s="1175" t="s">
        <v>787</v>
      </c>
      <c r="JK46" s="1002"/>
      <c r="JL46" s="1002" t="s">
        <v>788</v>
      </c>
      <c r="JM46" s="1002"/>
    </row>
    <row r="47" spans="1:273" x14ac:dyDescent="0.2">
      <c r="T47" s="350"/>
      <c r="U47" s="351"/>
      <c r="V47" s="351"/>
      <c r="W47" s="351"/>
      <c r="X47" s="351"/>
      <c r="Y47" s="351"/>
      <c r="Z47" s="351"/>
      <c r="AA47" s="351"/>
      <c r="AB47" s="351"/>
      <c r="AC47" s="351"/>
      <c r="AD47" s="351"/>
      <c r="AE47" s="351"/>
      <c r="AF47" s="351"/>
      <c r="AG47" s="351"/>
      <c r="AH47" s="351"/>
      <c r="AI47" s="350"/>
      <c r="AJ47" s="351"/>
      <c r="AK47" s="351"/>
      <c r="AL47" s="351"/>
      <c r="AM47" s="351"/>
      <c r="AN47" s="351"/>
      <c r="AO47" s="351"/>
      <c r="AP47" s="351"/>
      <c r="AQ47" s="351"/>
      <c r="AR47" s="351"/>
      <c r="AS47" s="351"/>
      <c r="AT47" s="351"/>
      <c r="AU47" s="351"/>
      <c r="AV47" s="351"/>
      <c r="AW47" s="351"/>
      <c r="AX47" s="351"/>
      <c r="AY47" s="351"/>
      <c r="AZ47" s="351"/>
      <c r="BQ47" s="533" t="s">
        <v>680</v>
      </c>
      <c r="BR47" s="277">
        <v>0</v>
      </c>
      <c r="BS47" s="533" t="s">
        <v>670</v>
      </c>
      <c r="CW47" s="1055"/>
      <c r="CX47" s="1150"/>
      <c r="CY47" s="1150"/>
      <c r="CZ47" s="1150"/>
      <c r="DA47" s="1150"/>
      <c r="DB47" s="1150"/>
      <c r="DC47" s="1150"/>
      <c r="DD47" s="1150"/>
      <c r="DE47" s="1150"/>
      <c r="DF47" s="1150"/>
      <c r="DG47" s="1150"/>
      <c r="DM47" s="290"/>
      <c r="DN47" s="290"/>
      <c r="DO47" s="290"/>
      <c r="DP47" s="290"/>
      <c r="DQ47" s="290"/>
      <c r="DS47" s="290"/>
      <c r="DT47" s="290"/>
      <c r="DU47" s="290"/>
      <c r="DV47" s="290"/>
      <c r="DW47" s="290"/>
      <c r="EY47" s="1097"/>
      <c r="EZ47" s="1097"/>
      <c r="FA47" s="1097"/>
      <c r="FB47" s="1097"/>
      <c r="FC47" s="1097"/>
      <c r="FD47" s="1097"/>
      <c r="FE47" s="1097"/>
      <c r="FF47" s="1097"/>
      <c r="FG47" s="1097"/>
      <c r="FH47" s="1097"/>
      <c r="FI47" s="1097"/>
      <c r="FJ47" s="1097"/>
      <c r="FK47" s="1097"/>
      <c r="GH47" s="1097"/>
      <c r="GI47" s="1097" t="s">
        <v>385</v>
      </c>
      <c r="GJ47" s="1097"/>
      <c r="GK47" s="1097"/>
      <c r="GL47" s="1097"/>
      <c r="GM47" s="1097"/>
      <c r="GN47" s="1097"/>
      <c r="GO47" s="1097"/>
      <c r="GP47" s="1097"/>
      <c r="GQ47" s="1097"/>
      <c r="GR47" s="1097"/>
      <c r="GS47" s="1097"/>
      <c r="GT47" s="1097"/>
      <c r="GU47" s="1097"/>
      <c r="GV47" s="1097"/>
      <c r="GW47" s="1097"/>
      <c r="GX47" s="1097"/>
      <c r="GY47" s="1097"/>
      <c r="GZ47" s="1097"/>
      <c r="IU47" s="1002"/>
      <c r="IV47" s="1002" t="s">
        <v>385</v>
      </c>
      <c r="IW47" s="1002"/>
      <c r="IX47" s="1002"/>
      <c r="IY47" s="1002"/>
      <c r="IZ47" s="1002"/>
      <c r="JA47" s="1002"/>
      <c r="JB47" s="1002"/>
      <c r="JC47" s="1002"/>
      <c r="JD47" s="1002"/>
      <c r="JE47" s="1002"/>
      <c r="JF47" s="1002"/>
      <c r="JG47" s="1002"/>
      <c r="JH47" s="1002"/>
      <c r="JI47" s="1002"/>
      <c r="JJ47" s="1002"/>
      <c r="JK47" s="1002"/>
      <c r="JL47" s="1002"/>
      <c r="JM47" s="1002"/>
    </row>
    <row r="48" spans="1:273" x14ac:dyDescent="0.2">
      <c r="T48" s="350"/>
      <c r="U48" s="353" t="s">
        <v>222</v>
      </c>
      <c r="V48" s="346">
        <f>+INDEX(V$8:V$27,$X45,0)</f>
        <v>16</v>
      </c>
      <c r="W48" s="558">
        <f ca="1">+INDEX(W$8:W$28,$X45,0)</f>
        <v>0.88494804221889867</v>
      </c>
      <c r="X48" s="558">
        <f t="shared" ref="X48:AF49" ca="1" si="108">+INDEX(X$8:X$28,$X45,0)</f>
        <v>8.6333333333333331E-2</v>
      </c>
      <c r="Y48" s="558">
        <f t="shared" ca="1" si="108"/>
        <v>0.83314822477350647</v>
      </c>
      <c r="Z48" s="558">
        <f t="shared" ca="1" si="108"/>
        <v>0.11027500000000001</v>
      </c>
      <c r="AA48" s="558">
        <f t="shared" ca="1" si="108"/>
        <v>0.78387248024900114</v>
      </c>
      <c r="AB48" s="558">
        <f t="shared" ca="1" si="108"/>
        <v>0.14001166666666665</v>
      </c>
      <c r="AC48" s="558">
        <f t="shared" ca="1" si="108"/>
        <v>0.72681164303293089</v>
      </c>
      <c r="AD48" s="558">
        <f t="shared" ca="1" si="108"/>
        <v>0.16866666666666666</v>
      </c>
      <c r="AE48" s="558">
        <f t="shared" ca="1" si="108"/>
        <v>0.71938058545176764</v>
      </c>
      <c r="AF48" s="558">
        <f t="shared" ca="1" si="108"/>
        <v>0.19325000000000003</v>
      </c>
      <c r="AG48" s="558">
        <f t="shared" ref="AG48:AV48" ca="1" si="109">+INDEX(AG$8:AG$28,$X45,0)</f>
        <v>0.68106995884773669</v>
      </c>
      <c r="AH48" s="558">
        <f t="shared" ca="1" si="109"/>
        <v>0.217</v>
      </c>
      <c r="AI48" s="1162" t="e">
        <f t="shared" ca="1" si="109"/>
        <v>#REF!</v>
      </c>
      <c r="AJ48" s="558" t="e">
        <f t="shared" ca="1" si="109"/>
        <v>#REF!</v>
      </c>
      <c r="AK48" s="558" t="e">
        <f t="shared" ca="1" si="109"/>
        <v>#REF!</v>
      </c>
      <c r="AL48" s="558" t="e">
        <f t="shared" ca="1" si="109"/>
        <v>#REF!</v>
      </c>
      <c r="AM48" s="558" t="e">
        <f t="shared" ca="1" si="109"/>
        <v>#REF!</v>
      </c>
      <c r="AN48" s="558" t="e">
        <f t="shared" ca="1" si="109"/>
        <v>#REF!</v>
      </c>
      <c r="AO48" s="558" t="e">
        <f t="shared" ca="1" si="109"/>
        <v>#REF!</v>
      </c>
      <c r="AP48" s="558" t="e">
        <f t="shared" ca="1" si="109"/>
        <v>#REF!</v>
      </c>
      <c r="AQ48" s="558" t="e">
        <f t="shared" ca="1" si="109"/>
        <v>#REF!</v>
      </c>
      <c r="AR48" s="558" t="e">
        <f t="shared" ca="1" si="109"/>
        <v>#REF!</v>
      </c>
      <c r="AS48" s="558" t="e">
        <f t="shared" ca="1" si="109"/>
        <v>#REF!</v>
      </c>
      <c r="AT48" s="558" t="e">
        <f t="shared" ca="1" si="109"/>
        <v>#REF!</v>
      </c>
      <c r="AU48" s="558" t="e">
        <f t="shared" ca="1" si="109"/>
        <v>#REF!</v>
      </c>
      <c r="AV48" s="558" t="e">
        <f t="shared" ca="1" si="109"/>
        <v>#REF!</v>
      </c>
      <c r="AW48" s="558" t="e">
        <f t="shared" ref="AW48:AX48" ca="1" si="110">+INDEX(AW$8:AW$28,$X45,0)</f>
        <v>#REF!</v>
      </c>
      <c r="AX48" s="558" t="e">
        <f t="shared" ca="1" si="110"/>
        <v>#REF!</v>
      </c>
      <c r="AY48" s="558" t="e">
        <f t="shared" ref="AY48:AZ48" ca="1" si="111">+INDEX(AY$8:AY$28,$X45,0)</f>
        <v>#REF!</v>
      </c>
      <c r="AZ48" s="558" t="e">
        <f t="shared" ca="1" si="111"/>
        <v>#REF!</v>
      </c>
      <c r="BA48" s="1231"/>
      <c r="BB48" s="1231"/>
      <c r="BC48" s="1232"/>
      <c r="BD48" s="1232"/>
      <c r="CW48" s="1055"/>
      <c r="CX48" s="1150"/>
      <c r="CY48" s="1150"/>
      <c r="CZ48" s="1150"/>
      <c r="DA48" s="1150"/>
      <c r="DB48" s="1150"/>
      <c r="DC48" s="1150"/>
      <c r="DD48" s="1150"/>
      <c r="DE48" s="1150"/>
      <c r="DF48" s="1150"/>
      <c r="DG48" s="1150"/>
      <c r="DM48" s="290"/>
      <c r="DN48" s="290"/>
      <c r="DO48" s="290"/>
      <c r="DP48" s="290"/>
      <c r="DQ48" s="290"/>
      <c r="DS48" s="290"/>
      <c r="DT48" s="290"/>
      <c r="DU48" s="290"/>
      <c r="DV48" s="290"/>
      <c r="DW48" s="290"/>
      <c r="EY48" s="1097"/>
      <c r="EZ48" s="1145"/>
      <c r="FA48" s="1097"/>
      <c r="FB48" s="1097"/>
      <c r="FC48" s="1097"/>
      <c r="FD48" s="1097"/>
      <c r="FE48" s="1097"/>
      <c r="FF48" s="1097"/>
      <c r="FG48" s="1097"/>
      <c r="FH48" s="1097"/>
      <c r="FI48" s="1097"/>
      <c r="FJ48" s="1097"/>
      <c r="FK48" s="1097"/>
      <c r="GH48" s="1097"/>
      <c r="GI48" s="1097" t="s">
        <v>707</v>
      </c>
      <c r="GJ48" s="1097"/>
      <c r="GK48" s="1097" t="s">
        <v>708</v>
      </c>
      <c r="GL48" s="1097"/>
      <c r="GM48" s="1097" t="s">
        <v>709</v>
      </c>
      <c r="GN48" s="1097"/>
      <c r="GO48" s="1097" t="s">
        <v>710</v>
      </c>
      <c r="GP48" s="1097"/>
      <c r="GQ48" s="1097" t="s">
        <v>711</v>
      </c>
      <c r="GR48" s="1097"/>
      <c r="GS48" s="1097" t="s">
        <v>712</v>
      </c>
      <c r="GT48" s="1097"/>
      <c r="GU48" s="1097" t="s">
        <v>713</v>
      </c>
      <c r="GV48" s="1097"/>
      <c r="GW48" s="1097" t="s">
        <v>731</v>
      </c>
      <c r="GX48" s="1097"/>
      <c r="GY48" s="1097" t="s">
        <v>714</v>
      </c>
      <c r="GZ48" s="1097"/>
      <c r="IU48" s="1002"/>
      <c r="IV48" s="1002" t="s">
        <v>707</v>
      </c>
      <c r="IW48" s="1002"/>
      <c r="IX48" s="1002" t="s">
        <v>708</v>
      </c>
      <c r="IY48" s="1002"/>
      <c r="IZ48" s="1002" t="s">
        <v>709</v>
      </c>
      <c r="JA48" s="1002"/>
      <c r="JB48" s="1002" t="s">
        <v>710</v>
      </c>
      <c r="JC48" s="1002"/>
      <c r="JD48" s="1002" t="s">
        <v>711</v>
      </c>
      <c r="JE48" s="1002"/>
      <c r="JF48" s="1002" t="s">
        <v>712</v>
      </c>
      <c r="JG48" s="1002"/>
      <c r="JH48" s="1002" t="s">
        <v>713</v>
      </c>
      <c r="JI48" s="1002"/>
      <c r="JJ48" s="1002" t="s">
        <v>731</v>
      </c>
      <c r="JK48" s="1002"/>
      <c r="JL48" s="1002" t="s">
        <v>714</v>
      </c>
      <c r="JM48" s="1002"/>
    </row>
    <row r="49" spans="20:273" x14ac:dyDescent="0.2">
      <c r="T49" s="350"/>
      <c r="U49" s="353" t="s">
        <v>223</v>
      </c>
      <c r="V49" s="346">
        <f>+INDEX(V$8:V$27,$X46,0)</f>
        <v>20</v>
      </c>
      <c r="W49" s="558">
        <f ca="1">+INDEX(W$8:W$28,$X46,0)</f>
        <v>0.90075869521988872</v>
      </c>
      <c r="X49" s="558">
        <f t="shared" ca="1" si="108"/>
        <v>8.111666666666667E-2</v>
      </c>
      <c r="Y49" s="558">
        <f t="shared" ca="1" si="108"/>
        <v>0.85513411932483108</v>
      </c>
      <c r="Z49" s="558">
        <f t="shared" ca="1" si="108"/>
        <v>0.10555</v>
      </c>
      <c r="AA49" s="558">
        <f t="shared" ca="1" si="108"/>
        <v>0.8076494675061594</v>
      </c>
      <c r="AB49" s="558">
        <f t="shared" ca="1" si="108"/>
        <v>0.13416666666666666</v>
      </c>
      <c r="AC49" s="558">
        <f t="shared" ca="1" si="108"/>
        <v>0.76128545060353914</v>
      </c>
      <c r="AD49" s="558">
        <f t="shared" ca="1" si="108"/>
        <v>0.1575</v>
      </c>
      <c r="AE49" s="558">
        <f t="shared" ca="1" si="108"/>
        <v>0.75952242124221381</v>
      </c>
      <c r="AF49" s="558">
        <f t="shared" ca="1" si="108"/>
        <v>0.17774999999999999</v>
      </c>
      <c r="AG49" s="558">
        <f t="shared" ref="AG49:AV49" ca="1" si="112">+INDEX(AG$8:AG$28,$X46,0)</f>
        <v>0.72633744855967064</v>
      </c>
      <c r="AH49" s="558">
        <f t="shared" ca="1" si="112"/>
        <v>0.20499999999999999</v>
      </c>
      <c r="AI49" s="1162" t="e">
        <f t="shared" ca="1" si="112"/>
        <v>#REF!</v>
      </c>
      <c r="AJ49" s="558" t="e">
        <f t="shared" ca="1" si="112"/>
        <v>#REF!</v>
      </c>
      <c r="AK49" s="558" t="e">
        <f t="shared" ca="1" si="112"/>
        <v>#REF!</v>
      </c>
      <c r="AL49" s="558" t="e">
        <f t="shared" ca="1" si="112"/>
        <v>#REF!</v>
      </c>
      <c r="AM49" s="558" t="e">
        <f t="shared" ca="1" si="112"/>
        <v>#REF!</v>
      </c>
      <c r="AN49" s="558" t="e">
        <f t="shared" ca="1" si="112"/>
        <v>#REF!</v>
      </c>
      <c r="AO49" s="558" t="e">
        <f t="shared" ca="1" si="112"/>
        <v>#REF!</v>
      </c>
      <c r="AP49" s="558" t="e">
        <f t="shared" ca="1" si="112"/>
        <v>#REF!</v>
      </c>
      <c r="AQ49" s="558" t="e">
        <f t="shared" ca="1" si="112"/>
        <v>#REF!</v>
      </c>
      <c r="AR49" s="558" t="e">
        <f t="shared" ca="1" si="112"/>
        <v>#REF!</v>
      </c>
      <c r="AS49" s="558" t="e">
        <f t="shared" ca="1" si="112"/>
        <v>#REF!</v>
      </c>
      <c r="AT49" s="558" t="e">
        <f t="shared" ca="1" si="112"/>
        <v>#REF!</v>
      </c>
      <c r="AU49" s="558" t="e">
        <f t="shared" ca="1" si="112"/>
        <v>#REF!</v>
      </c>
      <c r="AV49" s="558" t="e">
        <f t="shared" ca="1" si="112"/>
        <v>#REF!</v>
      </c>
      <c r="AW49" s="558" t="e">
        <f t="shared" ref="AW49:AX49" ca="1" si="113">+INDEX(AW$8:AW$28,$X46,0)</f>
        <v>#REF!</v>
      </c>
      <c r="AX49" s="558" t="e">
        <f t="shared" ca="1" si="113"/>
        <v>#REF!</v>
      </c>
      <c r="AY49" s="558" t="e">
        <f t="shared" ref="AY49:AZ49" ca="1" si="114">+INDEX(AY$8:AY$28,$X46,0)</f>
        <v>#REF!</v>
      </c>
      <c r="AZ49" s="558" t="e">
        <f t="shared" ca="1" si="114"/>
        <v>#REF!</v>
      </c>
      <c r="BA49" s="58"/>
      <c r="BB49" s="58"/>
      <c r="BC49" s="291"/>
      <c r="BD49" s="291"/>
      <c r="CW49" s="1055"/>
      <c r="CX49" s="1150"/>
      <c r="CY49" s="1150"/>
      <c r="CZ49" s="1150"/>
      <c r="DA49" s="1150"/>
      <c r="DB49" s="1150"/>
      <c r="DC49" s="1150"/>
      <c r="DD49" s="1150"/>
      <c r="DE49" s="1150"/>
      <c r="DF49" s="1150"/>
      <c r="DG49" s="1150"/>
      <c r="DM49" s="290"/>
      <c r="DN49" s="290"/>
      <c r="DO49" s="290"/>
      <c r="DP49" s="290"/>
      <c r="DQ49" s="290"/>
      <c r="DS49" s="290"/>
      <c r="DT49" s="290"/>
      <c r="DU49" s="290"/>
      <c r="DV49" s="290"/>
      <c r="DW49" s="290"/>
      <c r="EY49" s="1097"/>
      <c r="EZ49" s="1097"/>
      <c r="FA49" s="1097"/>
      <c r="FB49" s="1097"/>
      <c r="FC49" s="1097"/>
      <c r="FD49" s="1097"/>
      <c r="FE49" s="1097"/>
      <c r="FF49" s="1097"/>
      <c r="FG49" s="1097"/>
      <c r="FH49" s="1097"/>
      <c r="FI49" s="1097"/>
      <c r="FJ49" s="1097"/>
      <c r="FK49" s="1097"/>
      <c r="GH49" s="1097" t="s">
        <v>391</v>
      </c>
      <c r="GI49" s="1097" t="s">
        <v>218</v>
      </c>
      <c r="GJ49" s="1097" t="s">
        <v>648</v>
      </c>
      <c r="GK49" s="1097" t="s">
        <v>218</v>
      </c>
      <c r="GL49" s="1097" t="s">
        <v>648</v>
      </c>
      <c r="GM49" s="1097" t="s">
        <v>218</v>
      </c>
      <c r="GN49" s="1097" t="s">
        <v>648</v>
      </c>
      <c r="GO49" s="1097" t="s">
        <v>218</v>
      </c>
      <c r="GP49" s="1097" t="s">
        <v>648</v>
      </c>
      <c r="GQ49" s="1097" t="s">
        <v>218</v>
      </c>
      <c r="GR49" s="1097" t="s">
        <v>648</v>
      </c>
      <c r="GS49" s="1097" t="s">
        <v>218</v>
      </c>
      <c r="GT49" s="1097" t="s">
        <v>648</v>
      </c>
      <c r="GU49" s="1097" t="s">
        <v>218</v>
      </c>
      <c r="GV49" s="1097" t="s">
        <v>648</v>
      </c>
      <c r="GW49" s="1097" t="s">
        <v>218</v>
      </c>
      <c r="GX49" s="1097" t="s">
        <v>648</v>
      </c>
      <c r="GY49" s="1097" t="s">
        <v>218</v>
      </c>
      <c r="GZ49" s="1097" t="s">
        <v>648</v>
      </c>
      <c r="IU49" s="1002" t="s">
        <v>391</v>
      </c>
      <c r="IV49" s="1002" t="s">
        <v>218</v>
      </c>
      <c r="IW49" s="1002" t="s">
        <v>648</v>
      </c>
      <c r="IX49" s="1002" t="s">
        <v>218</v>
      </c>
      <c r="IY49" s="1002" t="s">
        <v>648</v>
      </c>
      <c r="IZ49" s="1002" t="s">
        <v>218</v>
      </c>
      <c r="JA49" s="1002" t="s">
        <v>648</v>
      </c>
      <c r="JB49" s="1002" t="s">
        <v>218</v>
      </c>
      <c r="JC49" s="1002" t="s">
        <v>648</v>
      </c>
      <c r="JD49" s="1002" t="s">
        <v>218</v>
      </c>
      <c r="JE49" s="1002" t="s">
        <v>648</v>
      </c>
      <c r="JF49" s="1002" t="s">
        <v>218</v>
      </c>
      <c r="JG49" s="1002" t="s">
        <v>648</v>
      </c>
      <c r="JH49" s="1002" t="s">
        <v>218</v>
      </c>
      <c r="JI49" s="1002" t="s">
        <v>648</v>
      </c>
      <c r="JJ49" s="1002" t="s">
        <v>218</v>
      </c>
      <c r="JK49" s="1002" t="s">
        <v>648</v>
      </c>
      <c r="JL49" s="1002" t="s">
        <v>218</v>
      </c>
      <c r="JM49" s="1002" t="s">
        <v>648</v>
      </c>
    </row>
    <row r="50" spans="20:273" x14ac:dyDescent="0.2">
      <c r="T50" s="350"/>
      <c r="U50" s="555"/>
      <c r="V50" s="556"/>
      <c r="W50" s="557"/>
      <c r="X50" s="557"/>
      <c r="Y50" s="557"/>
      <c r="Z50" s="557"/>
      <c r="AA50" s="557"/>
      <c r="AB50" s="557"/>
      <c r="AC50" s="557"/>
      <c r="AD50" s="557"/>
      <c r="AE50" s="557"/>
      <c r="AF50" s="557"/>
      <c r="AG50" s="557"/>
      <c r="AH50" s="557"/>
      <c r="AI50" s="1159"/>
      <c r="AJ50" s="557"/>
      <c r="AK50" s="557"/>
      <c r="AL50" s="557"/>
      <c r="AM50" s="557"/>
      <c r="AN50" s="557"/>
      <c r="AO50" s="557"/>
      <c r="AP50" s="557"/>
      <c r="AQ50" s="557"/>
      <c r="AR50" s="557"/>
      <c r="AS50" s="557"/>
      <c r="AT50" s="557"/>
      <c r="AU50" s="557"/>
      <c r="AV50" s="557"/>
      <c r="AW50" s="557"/>
      <c r="AX50" s="557"/>
      <c r="AY50" s="557"/>
      <c r="AZ50" s="557"/>
      <c r="BC50" s="292"/>
      <c r="BD50" s="292"/>
      <c r="BQ50" s="542" t="s">
        <v>688</v>
      </c>
      <c r="CW50" s="1055"/>
      <c r="CX50" s="1150"/>
      <c r="CY50" s="1150"/>
      <c r="CZ50" s="1150"/>
      <c r="DA50" s="1150"/>
      <c r="DB50" s="1150"/>
      <c r="DC50" s="1150"/>
      <c r="DD50" s="1150"/>
      <c r="DE50" s="1150"/>
      <c r="DF50" s="1150"/>
      <c r="DG50" s="1150"/>
      <c r="DM50" s="290"/>
      <c r="DN50" s="290"/>
      <c r="DO50" s="290"/>
      <c r="DP50" s="290"/>
      <c r="DQ50" s="290"/>
      <c r="DS50" s="290"/>
      <c r="DT50" s="290"/>
      <c r="DU50" s="290"/>
      <c r="DV50" s="290"/>
      <c r="DW50" s="290"/>
      <c r="EY50" s="1097"/>
      <c r="EZ50" s="1097"/>
      <c r="FA50" s="1097"/>
      <c r="FB50" s="1097"/>
      <c r="FC50" s="1097"/>
      <c r="FD50" s="1097"/>
      <c r="FE50" s="1097"/>
      <c r="FF50" s="1097"/>
      <c r="FG50" s="1097"/>
      <c r="FH50" s="1097"/>
      <c r="FI50" s="1097"/>
      <c r="FJ50" s="1097"/>
      <c r="FK50" s="1097"/>
      <c r="GH50" s="1097"/>
      <c r="GI50" s="1097"/>
      <c r="GJ50" s="1097"/>
      <c r="GK50" s="1097"/>
      <c r="GL50" s="1097"/>
      <c r="GM50" s="1097"/>
      <c r="GN50" s="1097"/>
      <c r="GO50" s="1097"/>
      <c r="GP50" s="1097"/>
      <c r="GQ50" s="1097"/>
      <c r="GR50" s="1097"/>
      <c r="GS50" s="1097"/>
      <c r="GT50" s="1097"/>
      <c r="GU50" s="1097"/>
      <c r="GV50" s="1097"/>
      <c r="GW50" s="1097"/>
      <c r="GX50" s="1097"/>
      <c r="GY50" s="1097"/>
      <c r="GZ50" s="1097"/>
      <c r="IU50" s="1002"/>
      <c r="IV50" s="1002"/>
      <c r="IW50" s="1002"/>
      <c r="IX50" s="1002"/>
      <c r="IY50" s="1002"/>
      <c r="IZ50" s="1002"/>
      <c r="JA50" s="1002"/>
      <c r="JB50" s="1002"/>
      <c r="JC50" s="1002"/>
      <c r="JD50" s="1002"/>
      <c r="JE50" s="1002"/>
      <c r="JF50" s="1002"/>
      <c r="JG50" s="1002"/>
      <c r="JH50" s="1002"/>
      <c r="JI50" s="1002"/>
      <c r="JJ50" s="1002"/>
      <c r="JK50" s="1002"/>
      <c r="JL50" s="1002"/>
      <c r="JM50" s="1002"/>
    </row>
    <row r="51" spans="20:273" x14ac:dyDescent="0.2">
      <c r="T51" s="350"/>
      <c r="U51" s="555"/>
      <c r="V51" s="556"/>
      <c r="W51" s="557"/>
      <c r="X51" s="557"/>
      <c r="Y51" s="557"/>
      <c r="Z51" s="557"/>
      <c r="AA51" s="557"/>
      <c r="AB51" s="557"/>
      <c r="AC51" s="557"/>
      <c r="AD51" s="557"/>
      <c r="AE51" s="557"/>
      <c r="AF51" s="557"/>
      <c r="AG51" s="557"/>
      <c r="AH51" s="557"/>
      <c r="AI51" s="1159"/>
      <c r="AJ51" s="557"/>
      <c r="AK51" s="557"/>
      <c r="AL51" s="557"/>
      <c r="AM51" s="557"/>
      <c r="AN51" s="557"/>
      <c r="AO51" s="557"/>
      <c r="AP51" s="557"/>
      <c r="AQ51" s="557"/>
      <c r="AR51" s="557"/>
      <c r="AS51" s="557"/>
      <c r="AT51" s="557"/>
      <c r="AU51" s="557"/>
      <c r="AV51" s="557"/>
      <c r="AW51" s="557"/>
      <c r="AX51" s="557"/>
      <c r="AY51" s="557"/>
      <c r="AZ51" s="557"/>
      <c r="BA51" s="277"/>
      <c r="BB51" s="277"/>
      <c r="BC51" s="293"/>
      <c r="BD51" s="293"/>
      <c r="BQ51" s="542" t="s">
        <v>689</v>
      </c>
      <c r="CW51" s="1055"/>
      <c r="CX51" s="1150"/>
      <c r="CY51" s="1150"/>
      <c r="CZ51" s="1150"/>
      <c r="DA51" s="1150"/>
      <c r="DB51" s="1150"/>
      <c r="DC51" s="1150"/>
      <c r="DD51" s="1150"/>
      <c r="DE51" s="1150"/>
      <c r="DF51" s="1150"/>
      <c r="DG51" s="1150"/>
      <c r="DM51" s="290"/>
      <c r="DN51" s="290"/>
      <c r="DO51" s="290"/>
      <c r="DP51" s="290"/>
      <c r="DQ51" s="290"/>
      <c r="DS51" s="290"/>
      <c r="DT51" s="290"/>
      <c r="DU51" s="290"/>
      <c r="DV51" s="290"/>
      <c r="DW51" s="290"/>
      <c r="EY51" s="1097"/>
      <c r="EZ51" s="1097"/>
      <c r="FA51" s="1097"/>
      <c r="FB51" s="1097"/>
      <c r="FC51" s="1097"/>
      <c r="FD51" s="1097"/>
      <c r="FE51" s="1097"/>
      <c r="FF51" s="1097"/>
      <c r="FG51" s="1097"/>
      <c r="FH51" s="1097"/>
      <c r="FI51" s="1097"/>
      <c r="FJ51" s="1097"/>
      <c r="FK51" s="1097"/>
      <c r="GH51" s="1097">
        <v>2</v>
      </c>
      <c r="GI51" s="1097">
        <v>0.52837837837837842</v>
      </c>
      <c r="GJ51" s="1097">
        <v>0.252</v>
      </c>
      <c r="GK51" s="1097">
        <v>0.51081081081081081</v>
      </c>
      <c r="GL51" s="1097">
        <v>0.29250000000000004</v>
      </c>
      <c r="GM51" s="1097">
        <v>0.5093333333333333</v>
      </c>
      <c r="GN51" s="1097">
        <v>0.26400000000000001</v>
      </c>
      <c r="GO51" s="1097">
        <v>0.42799999999999994</v>
      </c>
      <c r="GP51" s="1097">
        <v>0.29699999999999993</v>
      </c>
      <c r="GQ51" s="1097">
        <v>0.50367293115792289</v>
      </c>
      <c r="GR51" s="1097">
        <v>0.27883333333333332</v>
      </c>
      <c r="GS51" s="1097">
        <v>0.44348541620116527</v>
      </c>
      <c r="GT51" s="1097">
        <v>0.32950000000000002</v>
      </c>
      <c r="GU51" s="1097">
        <v>0.43266666666666664</v>
      </c>
      <c r="GV51" s="1097">
        <v>0.29899999999999999</v>
      </c>
      <c r="GW51" s="1097">
        <v>0.4286163547505692</v>
      </c>
      <c r="GX51" s="1097">
        <v>0.34224999999999994</v>
      </c>
      <c r="GY51" s="1097">
        <v>0.41133333333333333</v>
      </c>
      <c r="GZ51" s="1097">
        <v>0.32400000000000007</v>
      </c>
      <c r="IU51" s="1002">
        <v>2</v>
      </c>
      <c r="IV51" s="1002">
        <v>0.51796078442671589</v>
      </c>
      <c r="IW51" s="1002">
        <v>0.23609073361669403</v>
      </c>
      <c r="IX51" s="1002">
        <v>0.51726795469986131</v>
      </c>
      <c r="IY51" s="1002">
        <v>0.25921355715987254</v>
      </c>
      <c r="IZ51" s="1002">
        <v>0.51574231720003116</v>
      </c>
      <c r="JA51" s="1002">
        <v>0.25134172283433398</v>
      </c>
      <c r="JB51" s="1002">
        <v>0.40540861548716961</v>
      </c>
      <c r="JC51" s="1002">
        <v>0.29325051424863791</v>
      </c>
      <c r="JD51" s="1002">
        <v>0.49350535763017683</v>
      </c>
      <c r="JE51" s="1002">
        <v>0.27919160305862362</v>
      </c>
      <c r="JF51" s="1002">
        <v>0.42538634660682456</v>
      </c>
      <c r="JG51" s="1002">
        <v>0.29580526631798476</v>
      </c>
      <c r="JH51" s="1002">
        <v>0.44451182603327466</v>
      </c>
      <c r="JI51" s="1002">
        <v>0.28976637864851468</v>
      </c>
      <c r="JJ51" s="1002">
        <v>0.4168321527765248</v>
      </c>
      <c r="JK51" s="1002">
        <v>0.3183779991696194</v>
      </c>
      <c r="JL51" s="1002">
        <v>0.42296604740550936</v>
      </c>
      <c r="JM51" s="1002">
        <v>0.29499999999999998</v>
      </c>
    </row>
    <row r="52" spans="20:273" x14ac:dyDescent="0.2">
      <c r="T52" s="350"/>
      <c r="U52" s="352"/>
      <c r="V52" s="348" t="s">
        <v>419</v>
      </c>
      <c r="W52" s="355">
        <f ca="1">+TREND(W48:W49,$V$48:$V$49,$W$45)/W$63</f>
        <v>0.89212540672859564</v>
      </c>
      <c r="X52" s="355">
        <f ca="1">+TREND(X48:X49,$V$48:$V$49,$W$45)</f>
        <v>8.3965188374999986E-2</v>
      </c>
      <c r="Y52" s="355">
        <f ca="1">+TREND(Y48:Y49,$V$48:$V$49,$W$45)/Y$63</f>
        <v>0.84312888649928941</v>
      </c>
      <c r="Z52" s="355">
        <f ca="1">+TREND(Z48:Z49,$V$48:$V$49,$W$45)</f>
        <v>0.1081300508125</v>
      </c>
      <c r="AA52" s="355">
        <f ca="1">+TREND(AA48:AA49,$V$48:$V$49,$W$45)/AA$63</f>
        <v>0.79466622194179259</v>
      </c>
      <c r="AB52" s="355">
        <f ca="1">+TREND(AB48:AB49,$V$48:$V$49,$W$45)</f>
        <v>0.13735828507916664</v>
      </c>
      <c r="AC52" s="355">
        <f ca="1">+TREND(AC48:AC49,$V$48:$V$49,$W$45)/AC$63</f>
        <v>0.74246128653316523</v>
      </c>
      <c r="AD52" s="355">
        <f ca="1">+TREND(AD48:AD49,$V$48:$V$49,$W$45)</f>
        <v>0.16359747458333332</v>
      </c>
      <c r="AE52" s="355">
        <f ca="1">+TREND(AE48:AE49,$V$48:$V$49,$W$45)/AE$63</f>
        <v>0.73760327287260918</v>
      </c>
      <c r="AF52" s="355">
        <f ca="1">+TREND(AF48:AF49,$V$48:$V$49,$W$45)</f>
        <v>0.18621365875000001</v>
      </c>
      <c r="AG52" s="355">
        <f ca="1">+TREND(AG48:AG49,$V$48:$V$49,$W$45)/AG$63</f>
        <v>0.70161947530864199</v>
      </c>
      <c r="AH52" s="355">
        <f ca="1">+TREND(AH48:AH49,$V$48:$V$49,$W$45)</f>
        <v>0.21155250999999997</v>
      </c>
      <c r="AI52" s="1160" t="e">
        <f ca="1">+TREND(AI48:AI49,$V$48:$V$49,$W$45)/AI$63</f>
        <v>#VALUE!</v>
      </c>
      <c r="AJ52" s="355" t="e">
        <f ca="1">+TREND(AJ48:AJ49,$V$48:$V$49,$W$45)</f>
        <v>#VALUE!</v>
      </c>
      <c r="AK52" s="355" t="e">
        <f ca="1">+TREND(AK48:AK49,$V$48:$V$49,$W$45)/AK$63</f>
        <v>#VALUE!</v>
      </c>
      <c r="AL52" s="355" t="e">
        <f ca="1">+TREND(AL48:AL49,$V$48:$V$49,$W$45)</f>
        <v>#VALUE!</v>
      </c>
      <c r="AM52" s="355" t="e">
        <f ca="1">+TREND(AM48:AM49,$V$48:$V$49,$W$45)/AM$63</f>
        <v>#VALUE!</v>
      </c>
      <c r="AN52" s="355" t="e">
        <f ca="1">+TREND(AN48:AN49,$V$48:$V$49,$W$45)</f>
        <v>#VALUE!</v>
      </c>
      <c r="AO52" s="355" t="e">
        <f ca="1">+TREND(AO48:AO49,$V$48:$V$49,$W$45)/AO$63</f>
        <v>#VALUE!</v>
      </c>
      <c r="AP52" s="355" t="e">
        <f ca="1">+TREND(AP48:AP49,$V$48:$V$49,$W$45)</f>
        <v>#VALUE!</v>
      </c>
      <c r="AQ52" s="355" t="e">
        <f ca="1">+TREND(AQ48:AQ49,$V$48:$V$49,$W$45)/AQ$63</f>
        <v>#VALUE!</v>
      </c>
      <c r="AR52" s="355" t="e">
        <f ca="1">+TREND(AR48:AR49,$V$48:$V$49,$W$45)</f>
        <v>#VALUE!</v>
      </c>
      <c r="AS52" s="355" t="e">
        <f ca="1">+TREND(AS48:AS49,$V$48:$V$49,$W$45)/AS$63</f>
        <v>#VALUE!</v>
      </c>
      <c r="AT52" s="355" t="e">
        <f ca="1">+TREND(AT48:AT49,$V$48:$V$49,$W$45)</f>
        <v>#VALUE!</v>
      </c>
      <c r="AU52" s="355" t="e">
        <f ca="1">+TREND(AU48:AU49,$V$48:$V$49,$W$45)/AU$63</f>
        <v>#VALUE!</v>
      </c>
      <c r="AV52" s="355" t="e">
        <f ca="1">+TREND(AV48:AV49,$V$48:$V$49,$W$45)</f>
        <v>#VALUE!</v>
      </c>
      <c r="AW52" s="355" t="e">
        <f ca="1">+TREND(AW48:AW49,$V$48:$V$49,$W$45)/AW$63</f>
        <v>#VALUE!</v>
      </c>
      <c r="AX52" s="355" t="e">
        <f ca="1">+TREND(AX48:AX49,$V$48:$V$49,$W$45)</f>
        <v>#VALUE!</v>
      </c>
      <c r="AY52" s="355" t="e">
        <f ca="1">+TREND(AY48:AY49,$V$48:$V$49,$W$45)/AY$63</f>
        <v>#VALUE!</v>
      </c>
      <c r="AZ52" s="355" t="e">
        <f ca="1">+TREND(AZ48:AZ49,$V$48:$V$49,$W$45)</f>
        <v>#VALUE!</v>
      </c>
      <c r="BA52" s="277"/>
      <c r="BB52" s="277"/>
      <c r="BC52" s="293"/>
      <c r="BD52" s="293"/>
      <c r="BQ52" s="542" t="s">
        <v>690</v>
      </c>
      <c r="CW52" s="1055"/>
      <c r="CX52" s="1150"/>
      <c r="CY52" s="1150"/>
      <c r="CZ52" s="1150"/>
      <c r="DA52" s="1150"/>
      <c r="DB52" s="1150"/>
      <c r="DC52" s="1150"/>
      <c r="DD52" s="1150"/>
      <c r="DE52" s="1150"/>
      <c r="DF52" s="1150"/>
      <c r="DG52" s="1150"/>
      <c r="DM52" s="290"/>
      <c r="DN52" s="290"/>
      <c r="DO52" s="290"/>
      <c r="DP52" s="290"/>
      <c r="DQ52" s="290"/>
      <c r="DS52" s="290"/>
      <c r="DT52" s="290"/>
      <c r="DU52" s="290"/>
      <c r="DV52" s="290"/>
      <c r="DW52" s="290"/>
      <c r="EY52" s="1097"/>
      <c r="EZ52" s="1097"/>
      <c r="FA52" s="1097"/>
      <c r="FB52" s="1097"/>
      <c r="FC52" s="1097"/>
      <c r="FD52" s="1097"/>
      <c r="FE52" s="1097"/>
      <c r="FF52" s="1097"/>
      <c r="FG52" s="1097"/>
      <c r="FH52" s="1097"/>
      <c r="FI52" s="1097"/>
      <c r="FJ52" s="1097"/>
      <c r="FK52" s="1097"/>
      <c r="GH52" s="1097">
        <v>3</v>
      </c>
      <c r="GI52" s="1097">
        <v>0.57364864864864873</v>
      </c>
      <c r="GJ52" s="1097">
        <v>0.23650000000000002</v>
      </c>
      <c r="GK52" s="1097">
        <v>0.55540540540540539</v>
      </c>
      <c r="GL52" s="1097">
        <v>0.27300000000000002</v>
      </c>
      <c r="GM52" s="1097">
        <v>0.54466666666666663</v>
      </c>
      <c r="GN52" s="1097">
        <v>0.2465</v>
      </c>
      <c r="GO52" s="1097">
        <v>0.47433333333333327</v>
      </c>
      <c r="GP52" s="1097">
        <v>0.27799999999999997</v>
      </c>
      <c r="GQ52" s="1097">
        <v>0.53791944951274684</v>
      </c>
      <c r="GR52" s="1097">
        <v>0.26299999999999996</v>
      </c>
      <c r="GS52" s="1097">
        <v>0.48090785651673223</v>
      </c>
      <c r="GT52" s="1097">
        <v>0.31175000000000003</v>
      </c>
      <c r="GU52" s="1097">
        <v>0.46733333333333332</v>
      </c>
      <c r="GV52" s="1097">
        <v>0.28799999999999998</v>
      </c>
      <c r="GW52" s="1097">
        <v>0.46007202647684264</v>
      </c>
      <c r="GX52" s="1097">
        <v>0.32487499999999997</v>
      </c>
      <c r="GY52" s="1097">
        <v>0.44233333333333336</v>
      </c>
      <c r="GZ52" s="1097">
        <v>0.3125</v>
      </c>
      <c r="IU52" s="1002">
        <v>3</v>
      </c>
      <c r="IV52" s="1002">
        <v>0.58008889495680405</v>
      </c>
      <c r="IW52" s="1002">
        <v>0.22066666666666668</v>
      </c>
      <c r="IX52" s="1002">
        <v>0.54340217067843533</v>
      </c>
      <c r="IY52" s="1002">
        <v>0.24994011191326962</v>
      </c>
      <c r="IZ52" s="1002">
        <v>0.54432133531337545</v>
      </c>
      <c r="JA52" s="1002">
        <v>0.23400419475050036</v>
      </c>
      <c r="JB52" s="1002">
        <v>0.48427132208013246</v>
      </c>
      <c r="JC52" s="1002">
        <v>0.27945859045765226</v>
      </c>
      <c r="JD52" s="1002">
        <v>0.51575061721418303</v>
      </c>
      <c r="JE52" s="1002">
        <v>0.26676246819597849</v>
      </c>
      <c r="JF52" s="1002">
        <v>0.50462351387054161</v>
      </c>
      <c r="JG52" s="1002">
        <v>0.28673596649232569</v>
      </c>
      <c r="JH52" s="1002">
        <v>0.48667467322045432</v>
      </c>
      <c r="JI52" s="1002">
        <v>0.27971652265759067</v>
      </c>
      <c r="JJ52" s="1002">
        <v>0.46936642348445368</v>
      </c>
      <c r="JK52" s="1002">
        <v>0.30150284020303181</v>
      </c>
      <c r="JL52" s="1002">
        <v>0.45451633568225502</v>
      </c>
      <c r="JM52" s="1002">
        <v>0.29499999999999998</v>
      </c>
    </row>
    <row r="53" spans="20:273" x14ac:dyDescent="0.2">
      <c r="T53" s="349"/>
      <c r="U53" s="225"/>
      <c r="V53" s="559"/>
      <c r="W53" s="560">
        <f ca="1">W52</f>
        <v>0.89212540672859564</v>
      </c>
      <c r="X53" s="560">
        <f ca="1">Y52</f>
        <v>0.84312888649928941</v>
      </c>
      <c r="Y53" s="560">
        <f ca="1">AA52</f>
        <v>0.79466622194179259</v>
      </c>
      <c r="Z53" s="560">
        <f ca="1">AC52</f>
        <v>0.74246128653316523</v>
      </c>
      <c r="AA53" s="560">
        <f ca="1">AE52</f>
        <v>0.73760327287260918</v>
      </c>
      <c r="AB53" s="1111">
        <f ca="1">AG52</f>
        <v>0.70161947530864199</v>
      </c>
      <c r="AC53" s="1112" t="e">
        <f ca="1">AI52</f>
        <v>#VALUE!</v>
      </c>
      <c r="AD53" s="1111" t="e">
        <f ca="1">AK52</f>
        <v>#VALUE!</v>
      </c>
      <c r="AE53" s="1112" t="e">
        <f ca="1">AM52</f>
        <v>#VALUE!</v>
      </c>
      <c r="AF53" s="1111" t="e">
        <f ca="1">AO52</f>
        <v>#VALUE!</v>
      </c>
      <c r="AG53" s="1112" t="e">
        <f ca="1">AQ52</f>
        <v>#VALUE!</v>
      </c>
      <c r="AH53" s="1111" t="e">
        <f ca="1">AS52</f>
        <v>#VALUE!</v>
      </c>
      <c r="AI53" s="1163" t="e">
        <f ca="1">AU52</f>
        <v>#VALUE!</v>
      </c>
      <c r="AJ53" s="560" t="e">
        <f ca="1">AW52</f>
        <v>#VALUE!</v>
      </c>
      <c r="AK53" s="225"/>
      <c r="AL53" s="560"/>
      <c r="AM53" s="225"/>
      <c r="AN53" s="560"/>
      <c r="AO53" s="225"/>
      <c r="AP53" s="560"/>
      <c r="AQ53" s="225"/>
      <c r="AR53" s="560"/>
      <c r="AS53" s="225"/>
      <c r="AT53" s="560"/>
      <c r="AU53" s="225"/>
      <c r="AV53" s="560"/>
      <c r="AW53" s="225"/>
      <c r="AX53" s="560"/>
      <c r="AY53" s="225"/>
      <c r="AZ53" s="560"/>
      <c r="BA53" s="277"/>
      <c r="BB53" s="277"/>
      <c r="BC53" s="293"/>
      <c r="BD53" s="293"/>
      <c r="BQ53" s="542" t="s">
        <v>691</v>
      </c>
      <c r="CW53" s="1055"/>
      <c r="CX53" s="1150"/>
      <c r="CY53" s="1150"/>
      <c r="CZ53" s="1150"/>
      <c r="DA53" s="1150"/>
      <c r="DB53" s="1150"/>
      <c r="DC53" s="1150"/>
      <c r="DD53" s="1150"/>
      <c r="DE53" s="1150"/>
      <c r="DF53" s="1150"/>
      <c r="DG53" s="1150"/>
      <c r="DM53" s="290"/>
      <c r="DN53" s="290"/>
      <c r="DO53" s="290"/>
      <c r="DP53" s="290"/>
      <c r="DQ53" s="290"/>
      <c r="DS53" s="290"/>
      <c r="DT53" s="290"/>
      <c r="DU53" s="290"/>
      <c r="DV53" s="290"/>
      <c r="DW53" s="290"/>
      <c r="EY53" s="1097"/>
      <c r="EZ53" s="1097"/>
      <c r="FA53" s="1097"/>
      <c r="FB53" s="1097"/>
      <c r="FC53" s="1097"/>
      <c r="FD53" s="1097"/>
      <c r="FE53" s="1097"/>
      <c r="FF53" s="1097"/>
      <c r="FG53" s="1097"/>
      <c r="FH53" s="1097"/>
      <c r="FI53" s="1097"/>
      <c r="FJ53" s="1097"/>
      <c r="FK53" s="1097"/>
      <c r="GH53" s="1097">
        <v>4</v>
      </c>
      <c r="GI53" s="1097">
        <v>0.61891891891891893</v>
      </c>
      <c r="GJ53" s="1097">
        <v>0.221</v>
      </c>
      <c r="GK53" s="1097">
        <v>0.6</v>
      </c>
      <c r="GL53" s="1097">
        <v>0.2535</v>
      </c>
      <c r="GM53" s="1097">
        <v>0.57999999999999996</v>
      </c>
      <c r="GN53" s="1097">
        <v>0.22899999999999998</v>
      </c>
      <c r="GO53" s="1097">
        <v>0.52066666666666661</v>
      </c>
      <c r="GP53" s="1097">
        <v>0.25900000000000001</v>
      </c>
      <c r="GQ53" s="1097">
        <v>0.5721659678675709</v>
      </c>
      <c r="GR53" s="1097">
        <v>0.24716666666666667</v>
      </c>
      <c r="GS53" s="1097">
        <v>0.51833029683229914</v>
      </c>
      <c r="GT53" s="1097">
        <v>0.29400000000000004</v>
      </c>
      <c r="GU53" s="1097">
        <v>0.502</v>
      </c>
      <c r="GV53" s="1097">
        <v>0.27699999999999997</v>
      </c>
      <c r="GW53" s="1097">
        <v>0.49152769820311604</v>
      </c>
      <c r="GX53" s="1097">
        <v>0.3075</v>
      </c>
      <c r="GY53" s="1097">
        <v>0.47333333333333333</v>
      </c>
      <c r="GZ53" s="1097">
        <v>0.30099999999999999</v>
      </c>
      <c r="IU53" s="1002">
        <v>4</v>
      </c>
      <c r="IV53" s="1002">
        <v>0.62863832613189796</v>
      </c>
      <c r="IW53" s="1002">
        <v>0.20633333333333334</v>
      </c>
      <c r="IX53" s="1002">
        <v>0.58377398217865151</v>
      </c>
      <c r="IY53" s="1002">
        <v>0.24066666666666667</v>
      </c>
      <c r="IZ53" s="1002">
        <v>0.59023116036583456</v>
      </c>
      <c r="JA53" s="1002">
        <v>0.21666666666666667</v>
      </c>
      <c r="JB53" s="1002">
        <v>0.51897505869596294</v>
      </c>
      <c r="JC53" s="1002">
        <v>0.26566666666666661</v>
      </c>
      <c r="JD53" s="1002">
        <v>0.56581687134513248</v>
      </c>
      <c r="JE53" s="1002">
        <v>0.25433333333333336</v>
      </c>
      <c r="JF53" s="1002">
        <v>0.53273888154997795</v>
      </c>
      <c r="JG53" s="1002">
        <v>0.27766666666666667</v>
      </c>
      <c r="JH53" s="1002">
        <v>0.51913171226614441</v>
      </c>
      <c r="JI53" s="1002">
        <v>0.26966666666666667</v>
      </c>
      <c r="JJ53" s="1002">
        <v>0.50228432053731675</v>
      </c>
      <c r="JK53" s="1002">
        <v>0.29007500000000003</v>
      </c>
      <c r="JL53" s="1002">
        <v>0.47655349135169767</v>
      </c>
      <c r="JM53" s="1002">
        <v>0.28749999999999998</v>
      </c>
    </row>
    <row r="54" spans="20:273" x14ac:dyDescent="0.2">
      <c r="T54" s="385"/>
      <c r="U54" s="562"/>
      <c r="V54" s="562"/>
      <c r="W54" s="562"/>
      <c r="X54" s="562"/>
      <c r="Y54" s="562"/>
      <c r="Z54" s="562"/>
      <c r="AA54" s="562"/>
      <c r="AB54" s="562"/>
      <c r="AC54" s="562"/>
      <c r="AD54" s="562"/>
      <c r="AE54" s="562"/>
      <c r="AF54" s="1109"/>
      <c r="AG54" s="562"/>
      <c r="AH54" s="1109"/>
      <c r="AI54" s="1164"/>
      <c r="AJ54" s="1109"/>
      <c r="AK54" s="562"/>
      <c r="AL54" s="1109"/>
      <c r="AM54" s="562"/>
      <c r="AN54" s="1109"/>
      <c r="AO54" s="562"/>
      <c r="AP54" s="1109"/>
      <c r="AQ54" s="562"/>
      <c r="AR54" s="1109"/>
      <c r="AS54" s="562"/>
      <c r="AT54" s="1109"/>
      <c r="AU54" s="562"/>
      <c r="AV54" s="1109"/>
      <c r="AW54" s="562"/>
      <c r="AX54" s="1109"/>
      <c r="AY54" s="562"/>
      <c r="AZ54" s="1109"/>
      <c r="BA54" s="277"/>
      <c r="BB54" s="277"/>
      <c r="BC54" s="293"/>
      <c r="BD54" s="293"/>
      <c r="BQ54" s="542" t="s">
        <v>692</v>
      </c>
      <c r="CW54" s="1055"/>
      <c r="CX54" s="1150"/>
      <c r="CY54" s="1150"/>
      <c r="CZ54" s="1150"/>
      <c r="DA54" s="1150"/>
      <c r="DB54" s="1150"/>
      <c r="DC54" s="1150"/>
      <c r="DD54" s="1150"/>
      <c r="DE54" s="1150"/>
      <c r="DF54" s="1150"/>
      <c r="DG54" s="1150"/>
      <c r="DM54" s="290"/>
      <c r="DN54" s="290"/>
      <c r="DO54" s="290"/>
      <c r="DP54" s="290"/>
      <c r="DQ54" s="290"/>
      <c r="DS54" s="290"/>
      <c r="DT54" s="290"/>
      <c r="DU54" s="290"/>
      <c r="DV54" s="290"/>
      <c r="DW54" s="290"/>
      <c r="EY54" s="1097"/>
      <c r="EZ54" s="1097"/>
      <c r="FA54" s="1097"/>
      <c r="FB54" s="1097"/>
      <c r="FC54" s="1097"/>
      <c r="FD54" s="1097"/>
      <c r="FE54" s="1097"/>
      <c r="FF54" s="1097"/>
      <c r="FG54" s="1097"/>
      <c r="FH54" s="1097"/>
      <c r="FI54" s="1097"/>
      <c r="FJ54" s="1097"/>
      <c r="FK54" s="1097"/>
      <c r="GH54" s="1097">
        <v>5</v>
      </c>
      <c r="GI54" s="1097">
        <v>0.66418918918918912</v>
      </c>
      <c r="GJ54" s="1097">
        <v>0.20550000000000002</v>
      </c>
      <c r="GK54" s="1097">
        <v>0.64459459459459456</v>
      </c>
      <c r="GL54" s="1097">
        <v>0.23399999999999999</v>
      </c>
      <c r="GM54" s="1097">
        <v>0.61533333333333329</v>
      </c>
      <c r="GN54" s="1097">
        <v>0.21149999999999999</v>
      </c>
      <c r="GO54" s="1097">
        <v>0.56699999999999995</v>
      </c>
      <c r="GP54" s="1097">
        <v>0.24</v>
      </c>
      <c r="GQ54" s="1097">
        <v>0.60641248622239496</v>
      </c>
      <c r="GR54" s="1097">
        <v>0.23133333333333334</v>
      </c>
      <c r="GS54" s="1097">
        <v>0.5557527371478661</v>
      </c>
      <c r="GT54" s="1097">
        <v>0.27625</v>
      </c>
      <c r="GU54" s="1097">
        <v>0.53666666666666663</v>
      </c>
      <c r="GV54" s="1097">
        <v>0.26600000000000001</v>
      </c>
      <c r="GW54" s="1097">
        <v>0.52298336992938943</v>
      </c>
      <c r="GX54" s="1097">
        <v>0.29012500000000002</v>
      </c>
      <c r="GY54" s="1097">
        <v>0.5043333333333333</v>
      </c>
      <c r="GZ54" s="1097">
        <v>0.28950000000000004</v>
      </c>
      <c r="IU54" s="1002">
        <v>5</v>
      </c>
      <c r="IV54" s="1002">
        <v>0.67338140470549968</v>
      </c>
      <c r="IW54" s="1002">
        <v>0.192</v>
      </c>
      <c r="IX54" s="1002">
        <v>0.62453282126433873</v>
      </c>
      <c r="IY54" s="1002">
        <v>0.22500000000000001</v>
      </c>
      <c r="IZ54" s="1002">
        <v>0.62067650792425078</v>
      </c>
      <c r="JA54" s="1002">
        <v>0.20499999999999999</v>
      </c>
      <c r="JB54" s="1002">
        <v>0.5619198911510368</v>
      </c>
      <c r="JC54" s="1002">
        <v>0.24783333333333332</v>
      </c>
      <c r="JD54" s="1002">
        <v>0.59128012046419698</v>
      </c>
      <c r="JE54" s="1002">
        <v>0.23699999999999999</v>
      </c>
      <c r="JF54" s="1002">
        <v>0.57276530162923822</v>
      </c>
      <c r="JG54" s="1002">
        <v>0.26433333333333331</v>
      </c>
      <c r="JH54" s="1002">
        <v>0.54572476023045213</v>
      </c>
      <c r="JI54" s="1002">
        <v>0.25966666666666671</v>
      </c>
      <c r="JJ54" s="1002">
        <v>0.5333619940941462</v>
      </c>
      <c r="JK54" s="1002">
        <v>0.27399999999999997</v>
      </c>
      <c r="JL54" s="1002">
        <v>0.49590006406149906</v>
      </c>
      <c r="JM54" s="1002">
        <v>0.28350000000000003</v>
      </c>
    </row>
    <row r="55" spans="20:273" x14ac:dyDescent="0.2">
      <c r="T55" s="564" t="s">
        <v>418</v>
      </c>
      <c r="U55" s="166"/>
      <c r="V55" s="346"/>
      <c r="W55" s="351"/>
      <c r="X55" s="347"/>
      <c r="Y55" s="351"/>
      <c r="Z55" s="351"/>
      <c r="AA55" s="351"/>
      <c r="AB55" s="351"/>
      <c r="AC55" s="351"/>
      <c r="AD55" s="351"/>
      <c r="AE55" s="351"/>
      <c r="AF55" s="1107"/>
      <c r="AG55" s="351"/>
      <c r="AH55" s="1107"/>
      <c r="AI55" s="350"/>
      <c r="AJ55" s="1107"/>
      <c r="AK55" s="351"/>
      <c r="AL55" s="1107"/>
      <c r="AM55" s="351"/>
      <c r="AN55" s="1107"/>
      <c r="AO55" s="351"/>
      <c r="AP55" s="1107"/>
      <c r="AQ55" s="351"/>
      <c r="AR55" s="1107"/>
      <c r="AS55" s="351"/>
      <c r="AT55" s="1107"/>
      <c r="AU55" s="351"/>
      <c r="AV55" s="1107"/>
      <c r="AW55" s="351"/>
      <c r="AX55" s="1107"/>
      <c r="AY55" s="351"/>
      <c r="AZ55" s="1107"/>
      <c r="BA55" s="277"/>
      <c r="BB55" s="277"/>
      <c r="BC55" s="293"/>
      <c r="BD55" s="293"/>
      <c r="BQ55" s="542" t="s">
        <v>693</v>
      </c>
      <c r="CW55" s="1055"/>
      <c r="CX55" s="1150"/>
      <c r="CY55" s="1150"/>
      <c r="CZ55" s="1150"/>
      <c r="DA55" s="1150"/>
      <c r="DB55" s="1150"/>
      <c r="DC55" s="1150"/>
      <c r="DD55" s="1150"/>
      <c r="DE55" s="1150"/>
      <c r="DF55" s="1150"/>
      <c r="DG55" s="1150"/>
      <c r="DM55" s="290"/>
      <c r="DN55" s="290"/>
      <c r="DO55" s="290"/>
      <c r="DP55" s="290"/>
      <c r="DQ55" s="290"/>
      <c r="DS55" s="290"/>
      <c r="DT55" s="290"/>
      <c r="DU55" s="290"/>
      <c r="DV55" s="290"/>
      <c r="DW55" s="290"/>
      <c r="EY55" s="1097"/>
      <c r="EZ55" s="1097"/>
      <c r="FA55" s="1097"/>
      <c r="FB55" s="1097"/>
      <c r="FC55" s="1097"/>
      <c r="FD55" s="1097"/>
      <c r="FE55" s="1097"/>
      <c r="FF55" s="1097"/>
      <c r="FG55" s="1097"/>
      <c r="FH55" s="1097"/>
      <c r="FI55" s="1097"/>
      <c r="FJ55" s="1097"/>
      <c r="FK55" s="1097"/>
      <c r="GH55" s="1097">
        <v>6</v>
      </c>
      <c r="GI55" s="1097">
        <v>0.70945945945945943</v>
      </c>
      <c r="GJ55" s="1097">
        <v>0.19</v>
      </c>
      <c r="GK55" s="1097">
        <v>0.68918918918918914</v>
      </c>
      <c r="GL55" s="1097">
        <v>0.2145</v>
      </c>
      <c r="GM55" s="1097">
        <v>0.65066666666666662</v>
      </c>
      <c r="GN55" s="1097">
        <v>0.19399999999999998</v>
      </c>
      <c r="GO55" s="1097">
        <v>0.61333333333333329</v>
      </c>
      <c r="GP55" s="1097">
        <v>0.221</v>
      </c>
      <c r="GQ55" s="1097">
        <v>0.64065900457721892</v>
      </c>
      <c r="GR55" s="1097">
        <v>0.21549999999999997</v>
      </c>
      <c r="GS55" s="1097">
        <v>0.59317517746343307</v>
      </c>
      <c r="GT55" s="1097">
        <v>0.25850000000000001</v>
      </c>
      <c r="GU55" s="1097">
        <v>0.57133333333333336</v>
      </c>
      <c r="GV55" s="1097">
        <v>0.25</v>
      </c>
      <c r="GW55" s="1097">
        <v>0.55443904165566282</v>
      </c>
      <c r="GX55" s="1097">
        <v>0.27275000000000005</v>
      </c>
      <c r="GY55" s="1097">
        <v>0.53533333333333333</v>
      </c>
      <c r="GZ55" s="1097">
        <v>0.27875000000000005</v>
      </c>
      <c r="IU55" s="1002">
        <v>6</v>
      </c>
      <c r="IV55" s="1002">
        <v>0.70757916311651492</v>
      </c>
      <c r="IW55" s="1002">
        <v>0.17499999999999996</v>
      </c>
      <c r="IX55" s="1002">
        <v>0.67005631635981844</v>
      </c>
      <c r="IY55" s="1002">
        <v>0.20933333333333334</v>
      </c>
      <c r="IZ55" s="1002">
        <v>0.65986397382048911</v>
      </c>
      <c r="JA55" s="1002">
        <v>0.18599999999999997</v>
      </c>
      <c r="JB55" s="1002">
        <v>0.60611974676796276</v>
      </c>
      <c r="JC55" s="1002">
        <v>0.23</v>
      </c>
      <c r="JD55" s="1002">
        <v>0.62396454005917246</v>
      </c>
      <c r="JE55" s="1002">
        <v>0.22400000000000003</v>
      </c>
      <c r="JF55" s="1002">
        <v>0.59566270365477758</v>
      </c>
      <c r="JG55" s="1002">
        <v>0.251</v>
      </c>
      <c r="JH55" s="1002">
        <v>0.57184815474187778</v>
      </c>
      <c r="JI55" s="1002">
        <v>0.24966666666666668</v>
      </c>
      <c r="JJ55" s="1002">
        <v>0.56321246598344032</v>
      </c>
      <c r="JK55" s="1002">
        <v>0.26800000000000002</v>
      </c>
      <c r="JL55" s="1002">
        <v>0.51723254324151191</v>
      </c>
      <c r="JM55" s="1002">
        <v>0.27549999999999997</v>
      </c>
    </row>
    <row r="56" spans="20:273" x14ac:dyDescent="0.2">
      <c r="T56" s="224"/>
      <c r="U56" s="166"/>
      <c r="V56" s="346" t="s">
        <v>416</v>
      </c>
      <c r="W56" s="387">
        <f>IF(RWDI_FACTORS!E8="inches",+RWDI_FACTORS!$D$8,+RWDI_FACTORS!$D$8*3.281*12)</f>
        <v>60</v>
      </c>
      <c r="X56" s="347">
        <f>MATCH($W$56,$V$8:$V$28,1)</f>
        <v>20</v>
      </c>
      <c r="Y56" s="351"/>
      <c r="Z56" s="351"/>
      <c r="AA56" s="351"/>
      <c r="AB56" s="351"/>
      <c r="AC56" s="351"/>
      <c r="AD56" s="351"/>
      <c r="AE56" s="351"/>
      <c r="AF56" s="1107"/>
      <c r="AG56" s="351"/>
      <c r="AH56" s="1107"/>
      <c r="AI56" s="350"/>
      <c r="AJ56" s="1107"/>
      <c r="AK56" s="351"/>
      <c r="AL56" s="1107"/>
      <c r="AM56" s="351"/>
      <c r="AN56" s="1107"/>
      <c r="AO56" s="351"/>
      <c r="AP56" s="1107"/>
      <c r="AQ56" s="351"/>
      <c r="AR56" s="1107"/>
      <c r="AS56" s="351"/>
      <c r="AT56" s="1107"/>
      <c r="AU56" s="351"/>
      <c r="AV56" s="1107"/>
      <c r="AW56" s="351"/>
      <c r="AX56" s="1107"/>
      <c r="AY56" s="351"/>
      <c r="AZ56" s="1107"/>
      <c r="BA56" s="277"/>
      <c r="BB56" s="277"/>
      <c r="BC56" s="293"/>
      <c r="BD56" s="293"/>
      <c r="BQ56" s="542" t="s">
        <v>694</v>
      </c>
      <c r="CW56" s="1055"/>
      <c r="CX56" s="1150"/>
      <c r="CY56" s="1150"/>
      <c r="CZ56" s="1150"/>
      <c r="DA56" s="1150"/>
      <c r="DB56" s="1150"/>
      <c r="DC56" s="1150"/>
      <c r="DD56" s="1150"/>
      <c r="DE56" s="1150"/>
      <c r="DF56" s="1150"/>
      <c r="DG56" s="1150"/>
      <c r="DM56" s="290"/>
      <c r="DN56" s="290"/>
      <c r="DO56" s="290"/>
      <c r="DP56" s="290"/>
      <c r="DQ56" s="290"/>
      <c r="DS56" s="290"/>
      <c r="DT56" s="290"/>
      <c r="DU56" s="290"/>
      <c r="DV56" s="290"/>
      <c r="DW56" s="290"/>
      <c r="EY56" s="1097"/>
      <c r="EZ56" s="1097"/>
      <c r="FA56" s="1097"/>
      <c r="FB56" s="1097"/>
      <c r="FC56" s="1097"/>
      <c r="FD56" s="1097"/>
      <c r="FE56" s="1097"/>
      <c r="FF56" s="1097"/>
      <c r="FG56" s="1097"/>
      <c r="FH56" s="1097"/>
      <c r="FI56" s="1097"/>
      <c r="FJ56" s="1097"/>
      <c r="FK56" s="1097"/>
      <c r="GH56" s="1097">
        <v>7</v>
      </c>
      <c r="GI56" s="1097">
        <v>0.7432432432432432</v>
      </c>
      <c r="GJ56" s="1097">
        <v>0.16899999999999998</v>
      </c>
      <c r="GK56" s="1097">
        <v>0.72635135135135132</v>
      </c>
      <c r="GL56" s="1097">
        <v>0.192</v>
      </c>
      <c r="GM56" s="1097">
        <v>0.68199999999999994</v>
      </c>
      <c r="GN56" s="1097">
        <v>0.17499999999999999</v>
      </c>
      <c r="GO56" s="1097">
        <v>0.64666666666666661</v>
      </c>
      <c r="GP56" s="1097">
        <v>0.20600000000000002</v>
      </c>
      <c r="GQ56" s="1097">
        <v>0.6670627269176701</v>
      </c>
      <c r="GR56" s="1097">
        <v>0.20175000000000001</v>
      </c>
      <c r="GS56" s="1097">
        <v>0.62438360461318987</v>
      </c>
      <c r="GT56" s="1097">
        <v>0.24049999999999996</v>
      </c>
      <c r="GU56" s="1097">
        <v>0.59933333333333327</v>
      </c>
      <c r="GV56" s="1097">
        <v>0.23899999999999999</v>
      </c>
      <c r="GW56" s="1097">
        <v>0.57993293547284819</v>
      </c>
      <c r="GX56" s="1097">
        <v>0.26079166666666664</v>
      </c>
      <c r="GY56" s="1097">
        <v>0.55699999999999994</v>
      </c>
      <c r="GZ56" s="1097">
        <v>0.26800000000000002</v>
      </c>
      <c r="IU56" s="1002">
        <v>7</v>
      </c>
      <c r="IV56" s="1002">
        <v>0.73874296395742667</v>
      </c>
      <c r="IW56" s="1002">
        <v>0.15933333333333333</v>
      </c>
      <c r="IX56" s="1002">
        <v>0.70986911920764062</v>
      </c>
      <c r="IY56" s="1002">
        <v>0.188</v>
      </c>
      <c r="IZ56" s="1002">
        <v>0.69100230843459454</v>
      </c>
      <c r="JA56" s="1002">
        <v>0.16599999999999998</v>
      </c>
      <c r="JB56" s="1002">
        <v>0.63849326361089254</v>
      </c>
      <c r="JC56" s="1002">
        <v>0.21299999999999999</v>
      </c>
      <c r="JD56" s="1002">
        <v>0.64664863294563912</v>
      </c>
      <c r="JE56" s="1002">
        <v>0.21266666666666667</v>
      </c>
      <c r="JF56" s="1002">
        <v>0.63621752531924269</v>
      </c>
      <c r="JG56" s="1002">
        <v>0.23666666666666669</v>
      </c>
      <c r="JH56" s="1002">
        <v>0.60249687127942197</v>
      </c>
      <c r="JI56" s="1002">
        <v>0.2426666666666667</v>
      </c>
      <c r="JJ56" s="1002">
        <v>0.58998407735510383</v>
      </c>
      <c r="JK56" s="1002">
        <v>0.251</v>
      </c>
      <c r="JL56" s="1002">
        <v>0.53667520819987191</v>
      </c>
      <c r="JM56" s="1002">
        <v>0.26524999999999999</v>
      </c>
    </row>
    <row r="57" spans="20:273" x14ac:dyDescent="0.2">
      <c r="T57" s="224"/>
      <c r="U57" s="166"/>
      <c r="V57" s="166"/>
      <c r="W57" s="166"/>
      <c r="X57" s="347">
        <f>+MIN(COUNT(V8:V27),X56+1)</f>
        <v>20</v>
      </c>
      <c r="Y57" s="166"/>
      <c r="Z57" s="166"/>
      <c r="AA57" s="166"/>
      <c r="AB57" s="166"/>
      <c r="AC57" s="166"/>
      <c r="AD57" s="166"/>
      <c r="AE57" s="166"/>
      <c r="AF57" s="166"/>
      <c r="AG57" s="166"/>
      <c r="AH57" s="166"/>
      <c r="AI57" s="224"/>
      <c r="AJ57" s="166"/>
      <c r="AK57" s="166"/>
      <c r="AL57" s="166"/>
      <c r="AM57" s="166"/>
      <c r="AN57" s="166"/>
      <c r="AO57" s="166"/>
      <c r="AP57" s="166"/>
      <c r="AQ57" s="166"/>
      <c r="AR57" s="166"/>
      <c r="AS57" s="166"/>
      <c r="AT57" s="166"/>
      <c r="AU57" s="166"/>
      <c r="AV57" s="166"/>
      <c r="AW57" s="166"/>
      <c r="AX57" s="166"/>
      <c r="AY57" s="166"/>
      <c r="AZ57" s="166"/>
      <c r="BA57" s="277"/>
      <c r="BB57" s="277"/>
      <c r="BC57" s="293"/>
      <c r="BD57" s="293"/>
      <c r="BQ57" s="542" t="s">
        <v>695</v>
      </c>
      <c r="CW57" s="1055"/>
      <c r="CX57" s="1150"/>
      <c r="CY57" s="1150"/>
      <c r="CZ57" s="1150"/>
      <c r="DA57" s="1150"/>
      <c r="DB57" s="1150"/>
      <c r="DC57" s="1150"/>
      <c r="DD57" s="1150"/>
      <c r="DE57" s="1150"/>
      <c r="DF57" s="1150"/>
      <c r="DG57" s="1150"/>
      <c r="DM57" s="290"/>
      <c r="DN57" s="290"/>
      <c r="DO57" s="290"/>
      <c r="DP57" s="290"/>
      <c r="DQ57" s="290"/>
      <c r="DS57" s="290"/>
      <c r="DT57" s="290"/>
      <c r="DU57" s="290"/>
      <c r="DV57" s="290"/>
      <c r="DW57" s="290"/>
      <c r="EY57" s="1097"/>
      <c r="EZ57" s="1097"/>
      <c r="FA57" s="1097"/>
      <c r="FB57" s="1097"/>
      <c r="FC57" s="1097"/>
      <c r="FD57" s="1097"/>
      <c r="FE57" s="1097"/>
      <c r="FF57" s="1097"/>
      <c r="FG57" s="1097"/>
      <c r="FH57" s="1097"/>
      <c r="FI57" s="1097"/>
      <c r="FJ57" s="1097"/>
      <c r="FK57" s="1097"/>
      <c r="GH57" s="1097">
        <v>8</v>
      </c>
      <c r="GI57" s="1097">
        <v>0.77702702702702697</v>
      </c>
      <c r="GJ57" s="1097">
        <v>0.14800000000000002</v>
      </c>
      <c r="GK57" s="1097">
        <v>0.76351351351351349</v>
      </c>
      <c r="GL57" s="1097">
        <v>0.16949999999999998</v>
      </c>
      <c r="GM57" s="1097">
        <v>0.71333333333333326</v>
      </c>
      <c r="GN57" s="1097">
        <v>0.156</v>
      </c>
      <c r="GO57" s="1097">
        <v>0.67999999999999994</v>
      </c>
      <c r="GP57" s="1097">
        <v>0.191</v>
      </c>
      <c r="GQ57" s="1097">
        <v>0.69346644925812129</v>
      </c>
      <c r="GR57" s="1097">
        <v>0.188</v>
      </c>
      <c r="GS57" s="1097">
        <v>0.65559203176294667</v>
      </c>
      <c r="GT57" s="1097">
        <v>0.2225</v>
      </c>
      <c r="GU57" s="1097">
        <v>0.6273333333333333</v>
      </c>
      <c r="GV57" s="1097">
        <v>0.22500000000000001</v>
      </c>
      <c r="GW57" s="1097">
        <v>0.60542682929003355</v>
      </c>
      <c r="GX57" s="1097">
        <v>0.24883333333333332</v>
      </c>
      <c r="GY57" s="1097">
        <v>0.57866666666666666</v>
      </c>
      <c r="GZ57" s="1097">
        <v>0.25650000000000001</v>
      </c>
      <c r="IU57" s="1002">
        <v>8</v>
      </c>
      <c r="IV57" s="1002">
        <v>0.76558758909089997</v>
      </c>
      <c r="IW57" s="1002">
        <v>0.14533333333333334</v>
      </c>
      <c r="IX57" s="1002">
        <v>0.74578301076355535</v>
      </c>
      <c r="IY57" s="1002">
        <v>0.16666666666666669</v>
      </c>
      <c r="IZ57" s="1002">
        <v>0.71397829731048879</v>
      </c>
      <c r="JA57" s="1002">
        <v>0.15566666666666668</v>
      </c>
      <c r="JB57" s="1002">
        <v>0.67811692831807457</v>
      </c>
      <c r="JC57" s="1002">
        <v>0.18866666666666668</v>
      </c>
      <c r="JD57" s="1002">
        <v>0.6693327258321059</v>
      </c>
      <c r="JE57" s="1002">
        <v>0.20133333333333334</v>
      </c>
      <c r="JF57" s="1002">
        <v>0.66358432408630552</v>
      </c>
      <c r="JG57" s="1002">
        <v>0.22033333333333333</v>
      </c>
      <c r="JH57" s="1002">
        <v>0.62775425821655872</v>
      </c>
      <c r="JI57" s="1002">
        <v>0.23</v>
      </c>
      <c r="JJ57" s="1002">
        <v>0.60615569451682016</v>
      </c>
      <c r="JK57" s="1002">
        <v>0.24399999999999999</v>
      </c>
      <c r="JL57" s="1002">
        <v>0.55611787315823191</v>
      </c>
      <c r="JM57" s="1002">
        <v>0.255</v>
      </c>
    </row>
    <row r="58" spans="20:273" x14ac:dyDescent="0.2">
      <c r="T58" s="224"/>
      <c r="U58" s="166"/>
      <c r="V58" s="166"/>
      <c r="W58" s="166"/>
      <c r="X58" s="166"/>
      <c r="Y58" s="166"/>
      <c r="Z58" s="166"/>
      <c r="AA58" s="166"/>
      <c r="AB58" s="166"/>
      <c r="AC58" s="166"/>
      <c r="AD58" s="166"/>
      <c r="AE58" s="166"/>
      <c r="AF58" s="166"/>
      <c r="AG58" s="166"/>
      <c r="AH58" s="166"/>
      <c r="AI58" s="224"/>
      <c r="AJ58" s="166"/>
      <c r="AK58" s="166"/>
      <c r="AL58" s="166"/>
      <c r="AM58" s="166"/>
      <c r="AN58" s="166"/>
      <c r="AO58" s="166"/>
      <c r="AP58" s="166"/>
      <c r="AQ58" s="166"/>
      <c r="AR58" s="166"/>
      <c r="AS58" s="166"/>
      <c r="AT58" s="166"/>
      <c r="AU58" s="166"/>
      <c r="AV58" s="166"/>
      <c r="AW58" s="166"/>
      <c r="AX58" s="166"/>
      <c r="AY58" s="166"/>
      <c r="AZ58" s="166"/>
      <c r="BA58" s="277"/>
      <c r="BB58" s="277"/>
      <c r="BC58" s="293"/>
      <c r="BD58" s="293"/>
      <c r="CW58" s="1055"/>
      <c r="CX58" s="1150"/>
      <c r="CY58" s="1150"/>
      <c r="CZ58" s="1150"/>
      <c r="DA58" s="1150"/>
      <c r="DB58" s="1150"/>
      <c r="DC58" s="1150"/>
      <c r="DD58" s="1150"/>
      <c r="DE58" s="1150"/>
      <c r="DF58" s="1150"/>
      <c r="DG58" s="1150"/>
      <c r="DM58" s="290"/>
      <c r="DN58" s="290"/>
      <c r="DO58" s="290"/>
      <c r="DP58" s="290"/>
      <c r="DQ58" s="290"/>
      <c r="DS58" s="290"/>
      <c r="DT58" s="290"/>
      <c r="DU58" s="290"/>
      <c r="DV58" s="290"/>
      <c r="DW58" s="290"/>
      <c r="EY58" s="1097"/>
      <c r="EZ58" s="1097"/>
      <c r="FA58" s="1097"/>
      <c r="FB58" s="1097"/>
      <c r="FC58" s="1097"/>
      <c r="FD58" s="1097"/>
      <c r="FE58" s="1097"/>
      <c r="FF58" s="1097"/>
      <c r="FG58" s="1097"/>
      <c r="FH58" s="1097"/>
      <c r="FI58" s="1097"/>
      <c r="FJ58" s="1097"/>
      <c r="FK58" s="1097"/>
      <c r="GH58" s="1097">
        <v>10</v>
      </c>
      <c r="GI58" s="1097">
        <v>0.82432432432432423</v>
      </c>
      <c r="GJ58" s="1097">
        <v>0.11699999999999999</v>
      </c>
      <c r="GK58" s="1097">
        <v>0.81081081081081074</v>
      </c>
      <c r="GL58" s="1097">
        <v>0.124</v>
      </c>
      <c r="GM58" s="1097">
        <v>0.74666666666666659</v>
      </c>
      <c r="GN58" s="1097">
        <v>0.13699999999999998</v>
      </c>
      <c r="GO58" s="1097">
        <v>0.73333333333333328</v>
      </c>
      <c r="GP58" s="1097">
        <v>0.156</v>
      </c>
      <c r="GQ58" s="1097">
        <v>0.73259687701164444</v>
      </c>
      <c r="GR58" s="1097">
        <v>0.16783333333333331</v>
      </c>
      <c r="GS58" s="1097">
        <v>0.70275089805950397</v>
      </c>
      <c r="GT58" s="1097">
        <v>0.19399999999999998</v>
      </c>
      <c r="GU58" s="1097">
        <v>0.66333333333333333</v>
      </c>
      <c r="GV58" s="1097">
        <v>0.20500000000000002</v>
      </c>
      <c r="GW58" s="1097">
        <v>0.64747260756625502</v>
      </c>
      <c r="GX58" s="1097">
        <v>0.22358333333333336</v>
      </c>
      <c r="GY58" s="1097">
        <v>0.61333333333333329</v>
      </c>
      <c r="GZ58" s="1097">
        <v>0.245</v>
      </c>
      <c r="IU58" s="1002">
        <v>10</v>
      </c>
      <c r="IV58" s="1002">
        <v>0.80562866550533518</v>
      </c>
      <c r="IW58" s="1002">
        <v>0.12066666666666669</v>
      </c>
      <c r="IX58" s="1002">
        <v>0.79186585139892551</v>
      </c>
      <c r="IY58" s="1002">
        <v>0.13466666666666666</v>
      </c>
      <c r="IZ58" s="1002">
        <v>0.75091435792070127</v>
      </c>
      <c r="JA58" s="1002">
        <v>0.13200000000000001</v>
      </c>
      <c r="JB58" s="1002">
        <v>0.72748965018895184</v>
      </c>
      <c r="JC58" s="1002">
        <v>0.15466666666666667</v>
      </c>
      <c r="JD58" s="1002">
        <v>0.71122646962905944</v>
      </c>
      <c r="JE58" s="1002">
        <v>0.18066666666666667</v>
      </c>
      <c r="JF58" s="1002">
        <v>0.70805812417437242</v>
      </c>
      <c r="JG58" s="1002">
        <v>0.19033333333333335</v>
      </c>
      <c r="JH58" s="1002">
        <v>0.65301164515369547</v>
      </c>
      <c r="JI58" s="1002">
        <v>0.2173333333333333</v>
      </c>
      <c r="JJ58" s="1002">
        <v>0.65972229459788079</v>
      </c>
      <c r="JK58" s="1002">
        <v>0.22399999999999998</v>
      </c>
      <c r="JL58" s="1002">
        <v>0.58736386931454199</v>
      </c>
      <c r="JM58" s="1002">
        <v>0.24299999999999999</v>
      </c>
    </row>
    <row r="59" spans="20:273" x14ac:dyDescent="0.2">
      <c r="T59" s="224"/>
      <c r="U59" s="353" t="s">
        <v>222</v>
      </c>
      <c r="V59" s="346">
        <f>+INDEX(V$8:V$27,$X56,0)</f>
        <v>60</v>
      </c>
      <c r="W59" s="558">
        <f ca="1">+INDEX(W$8:W$28,$X56,0)</f>
        <v>1</v>
      </c>
      <c r="X59" s="166"/>
      <c r="Y59" s="558">
        <f ca="1">+INDEX(Y$8:Y$28,$X56,0)</f>
        <v>1</v>
      </c>
      <c r="Z59" s="166"/>
      <c r="AA59" s="558">
        <f ca="1">+INDEX(AA$8:AA$28,$X56,0)</f>
        <v>1</v>
      </c>
      <c r="AB59" s="166"/>
      <c r="AC59" s="558">
        <f ca="1">+INDEX(AC$8:AC$28,$X56,0)</f>
        <v>1</v>
      </c>
      <c r="AD59" s="166"/>
      <c r="AE59" s="558">
        <f ca="1">+INDEX(AE$8:AE$28,$X56,0)</f>
        <v>1</v>
      </c>
      <c r="AF59" s="166"/>
      <c r="AG59" s="558">
        <f ca="1">+INDEX(AG$8:AG$28,$X56,0)</f>
        <v>1</v>
      </c>
      <c r="AH59" s="166"/>
      <c r="AI59" s="1162" t="e">
        <f ca="1">+INDEX(AI$8:AI$28,$X56,0)</f>
        <v>#REF!</v>
      </c>
      <c r="AJ59" s="166"/>
      <c r="AK59" s="558" t="e">
        <f ca="1">+INDEX(AK$8:AK$28,$X56,0)</f>
        <v>#REF!</v>
      </c>
      <c r="AL59" s="166"/>
      <c r="AM59" s="558" t="e">
        <f ca="1">+INDEX(AM$8:AM$28,$X56,0)</f>
        <v>#REF!</v>
      </c>
      <c r="AN59" s="166"/>
      <c r="AO59" s="558" t="e">
        <f ca="1">+INDEX(AO$8:AO$28,$X56,0)</f>
        <v>#REF!</v>
      </c>
      <c r="AP59" s="166"/>
      <c r="AQ59" s="558" t="e">
        <f ca="1">+INDEX(AQ$8:AQ$28,$X56,0)</f>
        <v>#REF!</v>
      </c>
      <c r="AR59" s="166"/>
      <c r="AS59" s="558" t="e">
        <f ca="1">+INDEX(AS$8:AS$28,$X56,0)</f>
        <v>#REF!</v>
      </c>
      <c r="AT59" s="166"/>
      <c r="AU59" s="558" t="e">
        <f ca="1">+INDEX(AU$8:AU$28,$X56,0)</f>
        <v>#REF!</v>
      </c>
      <c r="AV59" s="166"/>
      <c r="AW59" s="558" t="e">
        <f ca="1">+INDEX(AW$8:AW$28,$X56,0)</f>
        <v>#REF!</v>
      </c>
      <c r="AX59" s="166"/>
      <c r="AY59" s="558" t="e">
        <f ca="1">+INDEX(AY$8:AY$28,$X56,0)</f>
        <v>#REF!</v>
      </c>
      <c r="AZ59" s="166"/>
      <c r="BA59" s="277"/>
      <c r="BB59" s="277"/>
      <c r="BC59" s="293"/>
      <c r="BD59" s="293"/>
      <c r="CW59" s="1055"/>
      <c r="CX59" s="1150"/>
      <c r="CY59" s="1150"/>
      <c r="CZ59" s="1150"/>
      <c r="DA59" s="1150"/>
      <c r="DB59" s="1150"/>
      <c r="DC59" s="1150"/>
      <c r="DD59" s="1150"/>
      <c r="DE59" s="1150"/>
      <c r="DF59" s="1150"/>
      <c r="DG59" s="1150"/>
      <c r="DM59" s="290"/>
      <c r="DN59" s="290"/>
      <c r="DO59" s="290"/>
      <c r="DP59" s="290"/>
      <c r="DQ59" s="290"/>
      <c r="DS59" s="290"/>
      <c r="DT59" s="290"/>
      <c r="DU59" s="290"/>
      <c r="DV59" s="290"/>
      <c r="DW59" s="290"/>
      <c r="EY59" s="1097"/>
      <c r="EZ59" s="1097"/>
      <c r="FA59" s="1097"/>
      <c r="FB59" s="1097"/>
      <c r="FC59" s="1097"/>
      <c r="FD59" s="1097"/>
      <c r="FE59" s="1097"/>
      <c r="FF59" s="1097"/>
      <c r="FG59" s="1097"/>
      <c r="FH59" s="1097"/>
      <c r="FI59" s="1097"/>
      <c r="FJ59" s="1097"/>
      <c r="FK59" s="1097"/>
      <c r="GH59" s="1097">
        <v>12</v>
      </c>
      <c r="GI59" s="1097">
        <v>0.85135135135135132</v>
      </c>
      <c r="GJ59" s="1097">
        <v>0.10199999999999999</v>
      </c>
      <c r="GK59" s="1097">
        <v>0.84459459459459452</v>
      </c>
      <c r="GL59" s="1097">
        <v>0.107</v>
      </c>
      <c r="GM59" s="1097">
        <v>0.76666666666666672</v>
      </c>
      <c r="GN59" s="1097">
        <v>0.12300000000000001</v>
      </c>
      <c r="GO59" s="1097">
        <v>0.77999999999999992</v>
      </c>
      <c r="GP59" s="1097">
        <v>0.129</v>
      </c>
      <c r="GQ59" s="1097">
        <v>0.76483075304102965</v>
      </c>
      <c r="GR59" s="1097">
        <v>0.15316666666666667</v>
      </c>
      <c r="GS59" s="1097">
        <v>0.73621113421907514</v>
      </c>
      <c r="GT59" s="1097">
        <v>0.16899999999999998</v>
      </c>
      <c r="GU59" s="1097">
        <v>0.69333333333333336</v>
      </c>
      <c r="GV59" s="1097">
        <v>0.185</v>
      </c>
      <c r="GW59" s="1097">
        <v>0.68951838584247649</v>
      </c>
      <c r="GX59" s="1097">
        <v>0.20283333333333334</v>
      </c>
      <c r="GY59" s="1097">
        <v>0.64800000000000002</v>
      </c>
      <c r="GZ59" s="1097">
        <v>0.22899999999999998</v>
      </c>
      <c r="IU59" s="1002">
        <v>12</v>
      </c>
      <c r="IV59" s="1002">
        <v>0.83225037903400478</v>
      </c>
      <c r="IW59" s="1002">
        <v>0.10300000000000001</v>
      </c>
      <c r="IX59" s="1002">
        <v>0.83102677694117377</v>
      </c>
      <c r="IY59" s="1002">
        <v>0.10799999999999998</v>
      </c>
      <c r="IZ59" s="1002">
        <v>0.77689694412304033</v>
      </c>
      <c r="JA59" s="1002">
        <v>0.11766666666666666</v>
      </c>
      <c r="JB59" s="1002">
        <v>0.76724209789677777</v>
      </c>
      <c r="JC59" s="1002">
        <v>0.12966666666666668</v>
      </c>
      <c r="JD59" s="1002">
        <v>0.74180285407844071</v>
      </c>
      <c r="JE59" s="1002">
        <v>0.16600000000000001</v>
      </c>
      <c r="JF59" s="1002">
        <v>0.74592690444737997</v>
      </c>
      <c r="JG59" s="1002">
        <v>0.17199999999999999</v>
      </c>
      <c r="JH59" s="1002">
        <v>0.68446052687283176</v>
      </c>
      <c r="JI59" s="1002">
        <v>0.19966666666666666</v>
      </c>
      <c r="JJ59" s="1002">
        <v>0.68725102773435243</v>
      </c>
      <c r="JK59" s="1002">
        <v>0.20399999999999999</v>
      </c>
      <c r="JL59" s="1002">
        <v>0.61860986547085206</v>
      </c>
      <c r="JM59" s="1002">
        <v>0.23100000000000001</v>
      </c>
    </row>
    <row r="60" spans="20:273" x14ac:dyDescent="0.2">
      <c r="T60" s="224"/>
      <c r="U60" s="353" t="s">
        <v>223</v>
      </c>
      <c r="V60" s="346">
        <f>+INDEX(V$8:V$27,$X57,0)</f>
        <v>60</v>
      </c>
      <c r="W60" s="558">
        <f ca="1">+INDEX(W$8:W$28,$X57,0)</f>
        <v>1</v>
      </c>
      <c r="X60" s="166"/>
      <c r="Y60" s="558">
        <f ca="1">+INDEX(Y$8:Y$28,$X57,0)</f>
        <v>1</v>
      </c>
      <c r="Z60" s="166"/>
      <c r="AA60" s="558">
        <f ca="1">+INDEX(AA$8:AA$28,$X57,0)</f>
        <v>1</v>
      </c>
      <c r="AB60" s="166"/>
      <c r="AC60" s="558">
        <f ca="1">+INDEX(AC$8:AC$28,$X57,0)</f>
        <v>1</v>
      </c>
      <c r="AD60" s="166"/>
      <c r="AE60" s="558">
        <f ca="1">+INDEX(AE$8:AE$28,$X57,0)</f>
        <v>1</v>
      </c>
      <c r="AF60" s="166"/>
      <c r="AG60" s="558">
        <f ca="1">+INDEX(AG$8:AG$28,$X57,0)</f>
        <v>1</v>
      </c>
      <c r="AH60" s="166"/>
      <c r="AI60" s="1162" t="e">
        <f ca="1">+INDEX(AI$8:AI$28,$X57,0)</f>
        <v>#REF!</v>
      </c>
      <c r="AJ60" s="166"/>
      <c r="AK60" s="558" t="e">
        <f ca="1">+INDEX(AK$8:AK$28,$X57,0)</f>
        <v>#REF!</v>
      </c>
      <c r="AL60" s="166"/>
      <c r="AM60" s="558" t="e">
        <f ca="1">+INDEX(AM$8:AM$28,$X57,0)</f>
        <v>#REF!</v>
      </c>
      <c r="AN60" s="166"/>
      <c r="AO60" s="558" t="e">
        <f ca="1">+INDEX(AO$8:AO$28,$X57,0)</f>
        <v>#REF!</v>
      </c>
      <c r="AP60" s="166"/>
      <c r="AQ60" s="558" t="e">
        <f ca="1">+INDEX(AQ$8:AQ$28,$X57,0)</f>
        <v>#REF!</v>
      </c>
      <c r="AR60" s="166"/>
      <c r="AS60" s="558" t="e">
        <f ca="1">+INDEX(AS$8:AS$28,$X57,0)</f>
        <v>#REF!</v>
      </c>
      <c r="AT60" s="166"/>
      <c r="AU60" s="558" t="e">
        <f ca="1">+INDEX(AU$8:AU$28,$X57,0)</f>
        <v>#REF!</v>
      </c>
      <c r="AV60" s="166"/>
      <c r="AW60" s="558" t="e">
        <f ca="1">+INDEX(AW$8:AW$28,$X57,0)</f>
        <v>#REF!</v>
      </c>
      <c r="AX60" s="166"/>
      <c r="AY60" s="558" t="e">
        <f ca="1">+INDEX(AY$8:AY$28,$X57,0)</f>
        <v>#REF!</v>
      </c>
      <c r="AZ60" s="166"/>
      <c r="BA60" s="277"/>
      <c r="BB60" s="277"/>
      <c r="BC60" s="293"/>
      <c r="BD60" s="293"/>
      <c r="CW60" s="1055"/>
      <c r="CX60" s="1150"/>
      <c r="CY60" s="1150"/>
      <c r="CZ60" s="1150"/>
      <c r="DA60" s="1150"/>
      <c r="DB60" s="1150"/>
      <c r="DC60" s="1150"/>
      <c r="DD60" s="1150"/>
      <c r="DE60" s="1150"/>
      <c r="DF60" s="1150"/>
      <c r="DG60" s="1150"/>
      <c r="DM60" s="290"/>
      <c r="DN60" s="290"/>
      <c r="DO60" s="290"/>
      <c r="DP60" s="290"/>
      <c r="DQ60" s="290"/>
      <c r="DS60" s="290"/>
      <c r="DT60" s="290"/>
      <c r="DU60" s="290"/>
      <c r="DV60" s="290"/>
      <c r="DW60" s="290"/>
      <c r="EY60" s="1097"/>
      <c r="EZ60" s="1097"/>
      <c r="FA60" s="1097"/>
      <c r="FB60" s="1097"/>
      <c r="FC60" s="1097"/>
      <c r="FD60" s="1097"/>
      <c r="FE60" s="1097"/>
      <c r="FF60" s="1097"/>
      <c r="FG60" s="1097"/>
      <c r="FH60" s="1097"/>
      <c r="FI60" s="1097"/>
      <c r="FJ60" s="1097"/>
      <c r="FK60" s="1097"/>
      <c r="GH60" s="1097">
        <v>14</v>
      </c>
      <c r="GI60" s="1097">
        <v>0.8648648648648648</v>
      </c>
      <c r="GJ60" s="1097">
        <v>9.4200000000000006E-2</v>
      </c>
      <c r="GK60" s="1097">
        <v>0.85810810810810811</v>
      </c>
      <c r="GL60" s="1097">
        <v>9.820000000000001E-2</v>
      </c>
      <c r="GM60" s="1097">
        <v>0.78333333333333344</v>
      </c>
      <c r="GN60" s="1097">
        <v>0.11550000000000001</v>
      </c>
      <c r="GO60" s="1097">
        <v>0.8</v>
      </c>
      <c r="GP60" s="1097">
        <v>0.11800000000000001</v>
      </c>
      <c r="GQ60" s="1097">
        <v>0.78268425681982801</v>
      </c>
      <c r="GR60" s="1097">
        <v>0.14541666666666667</v>
      </c>
      <c r="GS60" s="1097">
        <v>0.76058764888881258</v>
      </c>
      <c r="GT60" s="1097">
        <v>0.15875</v>
      </c>
      <c r="GU60" s="1097">
        <v>0.72</v>
      </c>
      <c r="GV60" s="1097">
        <v>0.17299999999999996</v>
      </c>
      <c r="GW60" s="1097">
        <v>0.71793010086654863</v>
      </c>
      <c r="GX60" s="1097">
        <v>0.18725000000000003</v>
      </c>
      <c r="GY60" s="1097">
        <v>0.67733333333333334</v>
      </c>
      <c r="GZ60" s="1097">
        <v>0.21549999999999997</v>
      </c>
      <c r="IU60" s="1002">
        <v>14</v>
      </c>
      <c r="IV60" s="1002">
        <v>0.85021688582796273</v>
      </c>
      <c r="IW60" s="1002">
        <v>9.4600000000000004E-2</v>
      </c>
      <c r="IX60" s="1002">
        <v>0.85093009022970112</v>
      </c>
      <c r="IY60" s="1002">
        <v>9.7299999999999998E-2</v>
      </c>
      <c r="IZ60" s="1002">
        <v>0.79707903658801715</v>
      </c>
      <c r="JA60" s="1002">
        <v>0.10966666666666669</v>
      </c>
      <c r="JB60" s="1002">
        <v>0.79502423573029279</v>
      </c>
      <c r="JC60" s="1002">
        <v>0.11200000000000002</v>
      </c>
      <c r="JD60" s="1002">
        <v>0.76662416512731046</v>
      </c>
      <c r="JE60" s="1002">
        <v>0.15383333333333332</v>
      </c>
      <c r="JF60" s="1002">
        <v>0.77014531043593115</v>
      </c>
      <c r="JG60" s="1002">
        <v>0.154</v>
      </c>
      <c r="JH60" s="1002">
        <v>0.71758968565735071</v>
      </c>
      <c r="JI60" s="1002">
        <v>0.18133333333333332</v>
      </c>
      <c r="JJ60" s="1002">
        <v>0.72023116785362751</v>
      </c>
      <c r="JK60" s="1002">
        <v>0.187</v>
      </c>
      <c r="JL60" s="1002">
        <v>0.64606021780909684</v>
      </c>
      <c r="JM60" s="1002">
        <v>0.2235</v>
      </c>
    </row>
    <row r="61" spans="20:273" x14ac:dyDescent="0.2">
      <c r="T61" s="224"/>
      <c r="U61" s="166"/>
      <c r="V61" s="556"/>
      <c r="W61" s="557"/>
      <c r="X61" s="557"/>
      <c r="Y61" s="557"/>
      <c r="Z61" s="557"/>
      <c r="AA61" s="557"/>
      <c r="AB61" s="557"/>
      <c r="AC61" s="557"/>
      <c r="AD61" s="557"/>
      <c r="AE61" s="557"/>
      <c r="AF61" s="557"/>
      <c r="AG61" s="557"/>
      <c r="AH61" s="557"/>
      <c r="AI61" s="1159"/>
      <c r="AJ61" s="557"/>
      <c r="AK61" s="557"/>
      <c r="AL61" s="557"/>
      <c r="AM61" s="557"/>
      <c r="AN61" s="557"/>
      <c r="AO61" s="557"/>
      <c r="AP61" s="557"/>
      <c r="AQ61" s="557"/>
      <c r="AR61" s="557"/>
      <c r="AS61" s="557"/>
      <c r="AT61" s="557"/>
      <c r="AU61" s="557"/>
      <c r="AV61" s="557"/>
      <c r="AW61" s="557"/>
      <c r="AX61" s="557"/>
      <c r="AY61" s="557"/>
      <c r="AZ61" s="557"/>
      <c r="BA61" s="277"/>
      <c r="BB61" s="277"/>
      <c r="BC61" s="293"/>
      <c r="BD61" s="293"/>
      <c r="CW61" s="1055"/>
      <c r="CX61" s="412"/>
      <c r="CY61" s="412"/>
      <c r="CZ61" s="412"/>
      <c r="DA61" s="412"/>
      <c r="DB61" s="412"/>
      <c r="DC61" s="412"/>
      <c r="DD61" s="412"/>
      <c r="DE61" s="412"/>
      <c r="DF61" s="412"/>
      <c r="DG61" s="412"/>
      <c r="DM61" s="290"/>
      <c r="DN61" s="290"/>
      <c r="DO61" s="290"/>
      <c r="DP61" s="290"/>
      <c r="DQ61" s="290"/>
      <c r="EY61" s="1097"/>
      <c r="EZ61" s="1097"/>
      <c r="FA61" s="1097"/>
      <c r="FB61" s="1097"/>
      <c r="FC61" s="1097"/>
      <c r="FD61" s="1097"/>
      <c r="FE61" s="1097"/>
      <c r="FF61" s="1097"/>
      <c r="FG61" s="1097"/>
      <c r="FH61" s="1097"/>
      <c r="FI61" s="1097"/>
      <c r="FJ61" s="1097"/>
      <c r="FK61" s="1097"/>
      <c r="GH61" s="1097">
        <v>16</v>
      </c>
      <c r="GI61" s="1097">
        <v>0.87837837837837829</v>
      </c>
      <c r="GJ61" s="1097">
        <v>8.6400000000000005E-2</v>
      </c>
      <c r="GK61" s="1097">
        <v>0.8716216216216216</v>
      </c>
      <c r="GL61" s="1097">
        <v>8.9399999999999993E-2</v>
      </c>
      <c r="GM61" s="1097">
        <v>0.8</v>
      </c>
      <c r="GN61" s="1097">
        <v>0.10800000000000001</v>
      </c>
      <c r="GO61" s="1097">
        <v>0.82000000000000006</v>
      </c>
      <c r="GP61" s="1097">
        <v>0.107</v>
      </c>
      <c r="GQ61" s="1097">
        <v>0.80053776059862625</v>
      </c>
      <c r="GR61" s="1097">
        <v>0.13766666666666666</v>
      </c>
      <c r="GS61" s="1097">
        <v>0.78496416355855003</v>
      </c>
      <c r="GT61" s="1097">
        <v>0.14850000000000002</v>
      </c>
      <c r="GU61" s="1097">
        <v>0.74666666666666659</v>
      </c>
      <c r="GV61" s="1097">
        <v>0.16699999999999998</v>
      </c>
      <c r="GW61" s="1097">
        <v>0.74634181589062065</v>
      </c>
      <c r="GX61" s="1097">
        <v>0.17166666666666663</v>
      </c>
      <c r="GY61" s="1097">
        <v>0.70666666666666667</v>
      </c>
      <c r="GZ61" s="1097">
        <v>0.20199999999999999</v>
      </c>
      <c r="IU61" s="1002">
        <v>16</v>
      </c>
      <c r="IV61" s="1002">
        <v>0.86342007923685848</v>
      </c>
      <c r="IW61" s="1002">
        <v>9.0299999999999991E-2</v>
      </c>
      <c r="IX61" s="1002">
        <v>0.86412934233945904</v>
      </c>
      <c r="IY61" s="1002">
        <v>9.1266666666666663E-2</v>
      </c>
      <c r="IZ61" s="1002">
        <v>0.81361421478696216</v>
      </c>
      <c r="JA61" s="1002">
        <v>0.10199999999999999</v>
      </c>
      <c r="JB61" s="1002">
        <v>0.8052939178801698</v>
      </c>
      <c r="JC61" s="1002">
        <v>0.106</v>
      </c>
      <c r="JD61" s="1002">
        <v>0.79144547617618011</v>
      </c>
      <c r="JE61" s="1002">
        <v>0.14166666666666666</v>
      </c>
      <c r="JF61" s="1002">
        <v>0.79436371642448256</v>
      </c>
      <c r="JG61" s="1002">
        <v>0.14366666666666666</v>
      </c>
      <c r="JH61" s="1002">
        <v>0.75138952329810604</v>
      </c>
      <c r="JI61" s="1002">
        <v>0.16866666666666666</v>
      </c>
      <c r="JJ61" s="1002">
        <v>0.74461235597243913</v>
      </c>
      <c r="JK61" s="1002">
        <v>0.17199999999999999</v>
      </c>
      <c r="JL61" s="1002">
        <v>0.67232543241511844</v>
      </c>
      <c r="JM61" s="1002">
        <v>0.21450000000000002</v>
      </c>
    </row>
    <row r="62" spans="20:273" x14ac:dyDescent="0.2">
      <c r="T62" s="224"/>
      <c r="U62" s="166"/>
      <c r="V62" s="556"/>
      <c r="W62" s="557"/>
      <c r="X62" s="557"/>
      <c r="Y62" s="557"/>
      <c r="Z62" s="557"/>
      <c r="AA62" s="557"/>
      <c r="AB62" s="557"/>
      <c r="AC62" s="557"/>
      <c r="AD62" s="557"/>
      <c r="AE62" s="557"/>
      <c r="AF62" s="557"/>
      <c r="AG62" s="557"/>
      <c r="AH62" s="557"/>
      <c r="AI62" s="1159"/>
      <c r="AJ62" s="557"/>
      <c r="AK62" s="557"/>
      <c r="AL62" s="557"/>
      <c r="AM62" s="557"/>
      <c r="AN62" s="557"/>
      <c r="AO62" s="557"/>
      <c r="AP62" s="557"/>
      <c r="AQ62" s="557"/>
      <c r="AR62" s="557"/>
      <c r="AS62" s="557"/>
      <c r="AT62" s="557"/>
      <c r="AU62" s="557"/>
      <c r="AV62" s="557"/>
      <c r="AW62" s="557"/>
      <c r="AX62" s="557"/>
      <c r="AY62" s="557"/>
      <c r="AZ62" s="557"/>
      <c r="BA62" s="277"/>
      <c r="BB62" s="277"/>
      <c r="BC62" s="293"/>
      <c r="BD62" s="293"/>
      <c r="CW62" s="1055"/>
      <c r="CX62" s="412"/>
      <c r="CY62" s="412"/>
      <c r="CZ62" s="412"/>
      <c r="DA62" s="412"/>
      <c r="DB62" s="412"/>
      <c r="DC62" s="412"/>
      <c r="DD62" s="412"/>
      <c r="DE62" s="412"/>
      <c r="DF62" s="412"/>
      <c r="DG62" s="412"/>
      <c r="DM62" s="290"/>
      <c r="DN62" s="290"/>
      <c r="DO62" s="290"/>
      <c r="DP62" s="290"/>
      <c r="DQ62" s="290"/>
      <c r="EY62" s="1097"/>
      <c r="EZ62" s="1097"/>
      <c r="FA62" s="1097"/>
      <c r="FB62" s="1097"/>
      <c r="FC62" s="1097"/>
      <c r="FD62" s="1097"/>
      <c r="FE62" s="1097"/>
      <c r="FF62" s="1097"/>
      <c r="FG62" s="1097"/>
      <c r="FH62" s="1097"/>
      <c r="FI62" s="1097"/>
      <c r="FJ62" s="1097"/>
      <c r="FK62" s="1097"/>
      <c r="GH62" s="1097">
        <v>20</v>
      </c>
      <c r="GI62" s="1097">
        <v>0.89189189189189177</v>
      </c>
      <c r="GJ62" s="1097">
        <v>8.2200000000000009E-2</v>
      </c>
      <c r="GK62" s="1097">
        <v>0.88513513513513509</v>
      </c>
      <c r="GL62" s="1097">
        <v>8.6699999999999999E-2</v>
      </c>
      <c r="GM62" s="1097">
        <v>0.82666666666666666</v>
      </c>
      <c r="GN62" s="1097">
        <v>0.10099999999999999</v>
      </c>
      <c r="GO62" s="1097">
        <v>0.84666666666666657</v>
      </c>
      <c r="GP62" s="1097">
        <v>9.7899999999999987E-2</v>
      </c>
      <c r="GQ62" s="1097">
        <v>0.83079402892483278</v>
      </c>
      <c r="GR62" s="1097">
        <v>0.13308333333333333</v>
      </c>
      <c r="GS62" s="1097">
        <v>0.81400715010054825</v>
      </c>
      <c r="GT62" s="1097">
        <v>0.13850000000000001</v>
      </c>
      <c r="GU62" s="1097">
        <v>0.77999999999999992</v>
      </c>
      <c r="GV62" s="1097">
        <v>0.156</v>
      </c>
      <c r="GW62" s="1097">
        <v>0.78398412911716886</v>
      </c>
      <c r="GX62" s="1097">
        <v>0.15958333333333333</v>
      </c>
      <c r="GY62" s="1097">
        <v>0.75333333333333341</v>
      </c>
      <c r="GZ62" s="1097">
        <v>0.18600000000000003</v>
      </c>
      <c r="IU62" s="1002">
        <v>20</v>
      </c>
      <c r="IV62" s="1002">
        <v>0.88960945381178835</v>
      </c>
      <c r="IW62" s="1002">
        <v>8.3266666666666656E-2</v>
      </c>
      <c r="IX62" s="1002">
        <v>0.89030718524881947</v>
      </c>
      <c r="IY62" s="1002">
        <v>8.4166666666666667E-2</v>
      </c>
      <c r="IZ62" s="1002">
        <v>0.83874101539293144</v>
      </c>
      <c r="JA62" s="1002">
        <v>9.6133333333333321E-2</v>
      </c>
      <c r="JB62" s="1002">
        <v>0.83264677904487172</v>
      </c>
      <c r="JC62" s="1002">
        <v>9.6166666666666678E-2</v>
      </c>
      <c r="JD62" s="1002">
        <v>0.82647274897837375</v>
      </c>
      <c r="JE62" s="1002">
        <v>0.13166666666666665</v>
      </c>
      <c r="JF62" s="1002">
        <v>0.8306913254073095</v>
      </c>
      <c r="JG62" s="1002">
        <v>0.13100000000000001</v>
      </c>
      <c r="JH62" s="1002">
        <v>0.78518936093886127</v>
      </c>
      <c r="JI62" s="1002">
        <v>0.156</v>
      </c>
      <c r="JJ62" s="1002">
        <v>0.78659096172775167</v>
      </c>
      <c r="JK62" s="1002">
        <v>0.152</v>
      </c>
      <c r="JL62" s="1002">
        <v>0.71973094170403595</v>
      </c>
      <c r="JM62" s="1002">
        <v>0.19450000000000001</v>
      </c>
    </row>
    <row r="63" spans="20:273" x14ac:dyDescent="0.2">
      <c r="T63" s="349"/>
      <c r="U63" s="225"/>
      <c r="V63" s="563" t="s">
        <v>224</v>
      </c>
      <c r="W63" s="566">
        <f ca="1">+TREND(W59:W60,$V$59:$V$60,$W$56)</f>
        <v>1</v>
      </c>
      <c r="X63" s="566"/>
      <c r="Y63" s="566">
        <f ca="1">+TREND(Y59:Y60,$V$59:$V$60,$W$56)</f>
        <v>1</v>
      </c>
      <c r="Z63" s="566"/>
      <c r="AA63" s="566">
        <f ca="1">+TREND(AA59:AA60,$V$59:$V$60,$W$56)</f>
        <v>1</v>
      </c>
      <c r="AB63" s="566"/>
      <c r="AC63" s="566">
        <f ca="1">+TREND(AC59:AC60,$V$59:$V$60,$W$56)</f>
        <v>1</v>
      </c>
      <c r="AD63" s="566"/>
      <c r="AE63" s="566">
        <f ca="1">+TREND(AE59:AE60,$V$59:$V$60,$W$56)</f>
        <v>1</v>
      </c>
      <c r="AF63" s="1110"/>
      <c r="AG63" s="566">
        <f ca="1">+TREND(AG59:AG60,$V$59:$V$60,$W$56)</f>
        <v>1</v>
      </c>
      <c r="AH63" s="1110"/>
      <c r="AI63" s="1165" t="e">
        <f ca="1">+TREND(AI59:AI60,$V$59:$V$60,$W$56)</f>
        <v>#VALUE!</v>
      </c>
      <c r="AJ63" s="1110"/>
      <c r="AK63" s="566" t="e">
        <f ca="1">+TREND(AK59:AK60,$V$59:$V$60,$W$56)</f>
        <v>#VALUE!</v>
      </c>
      <c r="AL63" s="1110"/>
      <c r="AM63" s="566" t="e">
        <f ca="1">+TREND(AM59:AM60,$V$59:$V$60,$W$56)</f>
        <v>#VALUE!</v>
      </c>
      <c r="AN63" s="1110"/>
      <c r="AO63" s="566" t="e">
        <f ca="1">+TREND(AO59:AO60,$V$59:$V$60,$W$56)</f>
        <v>#VALUE!</v>
      </c>
      <c r="AP63" s="1110"/>
      <c r="AQ63" s="566" t="e">
        <f ca="1">+TREND(AQ59:AQ60,$V$59:$V$60,$W$56)</f>
        <v>#VALUE!</v>
      </c>
      <c r="AR63" s="1110"/>
      <c r="AS63" s="566" t="e">
        <f ca="1">+TREND(AS59:AS60,$V$59:$V$60,$W$56)</f>
        <v>#VALUE!</v>
      </c>
      <c r="AT63" s="1110"/>
      <c r="AU63" s="566" t="e">
        <f ca="1">+TREND(AU59:AU60,$V$59:$V$60,$W$56)</f>
        <v>#VALUE!</v>
      </c>
      <c r="AV63" s="1110"/>
      <c r="AW63" s="566" t="e">
        <f ca="1">+TREND(AW59:AW60,$V$59:$V$60,$W$56)</f>
        <v>#VALUE!</v>
      </c>
      <c r="AX63" s="1110"/>
      <c r="AY63" s="566" t="e">
        <f ca="1">+TREND(AY59:AY60,$V$59:$V$60,$W$56)</f>
        <v>#VALUE!</v>
      </c>
      <c r="AZ63" s="1110"/>
      <c r="BA63" s="277"/>
      <c r="BB63" s="277"/>
      <c r="BC63" s="293"/>
      <c r="BD63" s="293"/>
      <c r="CW63" s="1055"/>
      <c r="CX63" s="412"/>
      <c r="CY63" s="412"/>
      <c r="CZ63" s="412"/>
      <c r="DA63" s="412"/>
      <c r="DB63" s="412"/>
      <c r="DC63" s="412"/>
      <c r="DD63" s="412"/>
      <c r="DE63" s="412"/>
      <c r="DF63" s="412"/>
      <c r="DG63" s="412"/>
      <c r="DM63" s="290"/>
      <c r="DN63" s="290"/>
      <c r="DO63" s="290"/>
      <c r="DP63" s="290"/>
      <c r="DQ63" s="290"/>
      <c r="EY63" s="1097"/>
      <c r="EZ63" s="1097"/>
      <c r="FA63" s="1097"/>
      <c r="FB63" s="1097"/>
      <c r="FC63" s="1097"/>
      <c r="FD63" s="1097"/>
      <c r="FE63" s="1097"/>
      <c r="FF63" s="1097"/>
      <c r="FG63" s="1097"/>
      <c r="FH63" s="1097"/>
      <c r="FI63" s="1097"/>
      <c r="FJ63" s="1097"/>
      <c r="FK63" s="1097"/>
      <c r="GH63" s="1097">
        <v>24</v>
      </c>
      <c r="GI63" s="1097">
        <v>0.90540540540540537</v>
      </c>
      <c r="GJ63" s="1097">
        <v>7.8600000000000003E-2</v>
      </c>
      <c r="GK63" s="1097">
        <v>0.89864864864864868</v>
      </c>
      <c r="GL63" s="1097">
        <v>8.2299999999999998E-2</v>
      </c>
      <c r="GM63" s="1097">
        <v>0.85333333333333339</v>
      </c>
      <c r="GN63" s="1097">
        <v>9.9600000000000008E-2</v>
      </c>
      <c r="GO63" s="1097">
        <v>0.8666666666666667</v>
      </c>
      <c r="GP63" s="1097">
        <v>9.8000000000000004E-2</v>
      </c>
      <c r="GQ63" s="1097">
        <v>0.85415374552690149</v>
      </c>
      <c r="GR63" s="1097">
        <v>0.13100000000000001</v>
      </c>
      <c r="GS63" s="1097">
        <v>0.83962547910829999</v>
      </c>
      <c r="GT63" s="1097">
        <v>0.13399999999999998</v>
      </c>
      <c r="GU63" s="1097">
        <v>0.80666666666666664</v>
      </c>
      <c r="GV63" s="1097">
        <v>0.14699999999999999</v>
      </c>
      <c r="GW63" s="1097">
        <v>0.8148237212552818</v>
      </c>
      <c r="GX63" s="1097">
        <v>0.14749999999999999</v>
      </c>
      <c r="GY63" s="1097">
        <v>0.79333333333333333</v>
      </c>
      <c r="GZ63" s="1097">
        <v>0.17300000000000001</v>
      </c>
      <c r="IU63" s="1002">
        <v>24</v>
      </c>
      <c r="IV63" s="1002">
        <v>0.90887382023295737</v>
      </c>
      <c r="IW63" s="1002">
        <v>7.9799999999999996E-2</v>
      </c>
      <c r="IX63" s="1002">
        <v>0.91043003688918089</v>
      </c>
      <c r="IY63" s="1002">
        <v>7.8833333333333325E-2</v>
      </c>
      <c r="IZ63" s="1002">
        <v>0.85935459871972597</v>
      </c>
      <c r="JA63" s="1002">
        <v>9.1933333333333339E-2</v>
      </c>
      <c r="JB63" s="1002">
        <v>0.85594348379027407</v>
      </c>
      <c r="JC63" s="1002">
        <v>9.3366666666666681E-2</v>
      </c>
      <c r="JD63" s="1002">
        <v>0.85328963091945775</v>
      </c>
      <c r="JE63" s="1002">
        <v>0.12433333333333332</v>
      </c>
      <c r="JF63" s="1002">
        <v>0.85909291061206516</v>
      </c>
      <c r="JG63" s="1002">
        <v>0.12199999999999997</v>
      </c>
      <c r="JH63" s="1002">
        <v>0.82076757449697235</v>
      </c>
      <c r="JI63" s="1002">
        <v>0.14766666666666667</v>
      </c>
      <c r="JJ63" s="1002">
        <v>0.82175974176365008</v>
      </c>
      <c r="JK63" s="1002">
        <v>0.14699999999999999</v>
      </c>
      <c r="JL63" s="1002">
        <v>0.76745675848814865</v>
      </c>
      <c r="JM63" s="1002">
        <v>0.17950000000000002</v>
      </c>
    </row>
    <row r="64" spans="20:273" x14ac:dyDescent="0.2">
      <c r="BA64" s="277"/>
      <c r="BB64" s="277"/>
      <c r="BC64" s="293"/>
      <c r="BD64" s="293"/>
      <c r="CW64" s="1055"/>
      <c r="CX64" s="1151"/>
      <c r="CY64" s="412"/>
      <c r="CZ64" s="548"/>
      <c r="DA64" s="548"/>
      <c r="DB64" s="548"/>
      <c r="DC64" s="548"/>
      <c r="DD64" s="548"/>
      <c r="DE64" s="412"/>
      <c r="DF64" s="412"/>
      <c r="DG64" s="412"/>
      <c r="DM64" s="290"/>
      <c r="DN64" s="290"/>
      <c r="DO64" s="290"/>
      <c r="DP64" s="290"/>
      <c r="DQ64" s="290"/>
      <c r="EY64" s="1097"/>
      <c r="EZ64" s="1097"/>
      <c r="FA64" s="1097"/>
      <c r="FB64" s="1097"/>
      <c r="FC64" s="1097"/>
      <c r="FD64" s="1097"/>
      <c r="FE64" s="1097"/>
      <c r="FF64" s="1097"/>
      <c r="FG64" s="1097"/>
      <c r="FH64" s="1097"/>
      <c r="FI64" s="1097"/>
      <c r="FJ64" s="1097"/>
      <c r="FK64" s="1097"/>
      <c r="GH64" s="1097">
        <v>28</v>
      </c>
      <c r="GI64" s="1097">
        <v>0.91891891891891886</v>
      </c>
      <c r="GJ64" s="1097">
        <v>7.7333333333333337E-2</v>
      </c>
      <c r="GK64" s="1097">
        <v>0.90843843843843841</v>
      </c>
      <c r="GL64" s="1097">
        <v>7.9300000000000009E-2</v>
      </c>
      <c r="GM64" s="1097">
        <v>0.87555555555555564</v>
      </c>
      <c r="GN64" s="1097">
        <v>9.5799999999999996E-2</v>
      </c>
      <c r="GO64" s="1097">
        <v>0.87712418300653594</v>
      </c>
      <c r="GP64" s="1097">
        <v>9.2533333333333342E-2</v>
      </c>
      <c r="GQ64" s="1097">
        <v>0.87667076617558126</v>
      </c>
      <c r="GR64" s="1097">
        <v>0.12683333333333333</v>
      </c>
      <c r="GS64" s="1097">
        <v>0.86025936302229256</v>
      </c>
      <c r="GT64" s="1097">
        <v>0.13183333333333333</v>
      </c>
      <c r="GU64" s="1097">
        <v>0.83777777777777784</v>
      </c>
      <c r="GV64" s="1097">
        <v>0.14166666666666666</v>
      </c>
      <c r="GW64" s="1097">
        <v>0.8392092852353521</v>
      </c>
      <c r="GX64" s="1097">
        <v>0.14277777777777778</v>
      </c>
      <c r="GY64" s="1097">
        <v>0.82888888888888879</v>
      </c>
      <c r="GZ64" s="1097">
        <v>0.16133333333333333</v>
      </c>
      <c r="IU64" s="1002">
        <v>28</v>
      </c>
      <c r="IV64" s="1002">
        <v>0.9240275955296321</v>
      </c>
      <c r="IW64" s="1002">
        <v>7.4866666666666679E-2</v>
      </c>
      <c r="IX64" s="1002">
        <v>0.92643949219824717</v>
      </c>
      <c r="IY64" s="1002">
        <v>7.406666666666667E-2</v>
      </c>
      <c r="IZ64" s="1002">
        <v>0.87996762849826926</v>
      </c>
      <c r="JA64" s="1002">
        <v>8.8499999999999995E-2</v>
      </c>
      <c r="JB64" s="1002">
        <v>0.87773772019483065</v>
      </c>
      <c r="JC64" s="1002">
        <v>8.8033333333333325E-2</v>
      </c>
      <c r="JD64" s="1002">
        <v>0.87723118365021113</v>
      </c>
      <c r="JE64" s="1002">
        <v>0.11833333333333335</v>
      </c>
      <c r="JF64" s="1002">
        <v>0.88110964332893005</v>
      </c>
      <c r="JG64" s="1002">
        <v>0.11733333333333335</v>
      </c>
      <c r="JH64" s="1002">
        <v>0.84589671545613976</v>
      </c>
      <c r="JI64" s="1002">
        <v>0.13700000000000001</v>
      </c>
      <c r="JJ64" s="1002">
        <v>0.84813632679057382</v>
      </c>
      <c r="JK64" s="1002">
        <v>0.13500000000000001</v>
      </c>
      <c r="JL64" s="1002">
        <v>0.809096732863549</v>
      </c>
      <c r="JM64" s="1002">
        <v>0.16550000000000001</v>
      </c>
    </row>
    <row r="65" spans="15:273" x14ac:dyDescent="0.2">
      <c r="Q65">
        <v>1.5</v>
      </c>
      <c r="W65">
        <f ca="1">(($S70/$U70)*INDEX(W$8:W$27,$Q70,1)+($T70/$U70)*INDEX(W$8:W$27,$R70,1))/(($S70/$U70)+($T70/$U70))</f>
        <v>0.89373173833055974</v>
      </c>
      <c r="Y65">
        <f t="shared" ref="Y65:AU65" ca="1" si="115">(($S70/$U70)*INDEX(Y$8:Y$27,$Q70,1)+($T70/$U70)*INDEX(Y$8:Y$27,$R70,1))/(($S70/$U70)+($T70/$U70))</f>
        <v>0.84536261063535345</v>
      </c>
      <c r="AA65">
        <f t="shared" ca="1" si="115"/>
        <v>0.79708191761408898</v>
      </c>
      <c r="AC65">
        <f t="shared" ca="1" si="115"/>
        <v>0.74596375834993545</v>
      </c>
      <c r="AE65">
        <f t="shared" ca="1" si="115"/>
        <v>0.74168160533534877</v>
      </c>
      <c r="AG65">
        <f t="shared" ca="1" si="115"/>
        <v>0.70621856424325558</v>
      </c>
      <c r="AI65" t="e">
        <f t="shared" ca="1" si="115"/>
        <v>#REF!</v>
      </c>
      <c r="AK65" t="e">
        <f t="shared" ca="1" si="115"/>
        <v>#REF!</v>
      </c>
      <c r="AM65" t="e">
        <f t="shared" ca="1" si="115"/>
        <v>#REF!</v>
      </c>
      <c r="AO65" t="e">
        <f t="shared" ca="1" si="115"/>
        <v>#REF!</v>
      </c>
      <c r="AQ65" t="e">
        <f t="shared" ca="1" si="115"/>
        <v>#REF!</v>
      </c>
      <c r="AS65" t="e">
        <f t="shared" ca="1" si="115"/>
        <v>#REF!</v>
      </c>
      <c r="AU65" t="e">
        <f t="shared" ca="1" si="115"/>
        <v>#REF!</v>
      </c>
      <c r="AW65" t="e">
        <f t="shared" ref="AW65:AY65" ca="1" si="116">(($S70/$U70)*INDEX(AW$8:AW$27,$Q70,1)+($T70/$U70)*INDEX(AW$8:AW$27,$R70,1))/(($S70/$U70)+($T70/$U70))</f>
        <v>#REF!</v>
      </c>
      <c r="AY65" t="e">
        <f t="shared" ca="1" si="116"/>
        <v>#REF!</v>
      </c>
      <c r="BA65" s="277"/>
      <c r="BB65" s="277"/>
      <c r="BC65" s="293"/>
      <c r="BD65" s="293"/>
      <c r="CW65" s="1055"/>
      <c r="CX65" s="866"/>
      <c r="CY65" s="412"/>
      <c r="CZ65" s="548"/>
      <c r="DA65" s="548"/>
      <c r="DB65" s="548"/>
      <c r="DC65" s="548"/>
      <c r="DD65" s="548"/>
      <c r="DE65" s="412"/>
      <c r="DF65" s="412"/>
      <c r="DG65" s="412"/>
      <c r="DM65" s="290"/>
      <c r="DN65" s="290"/>
      <c r="DO65" s="290"/>
      <c r="DP65" s="290"/>
      <c r="DQ65" s="290"/>
      <c r="EY65" s="1097"/>
      <c r="EZ65" s="1097"/>
      <c r="FA65" s="1097"/>
      <c r="FB65" s="1097"/>
      <c r="FC65" s="1097"/>
      <c r="FD65" s="1097"/>
      <c r="FE65" s="1097"/>
      <c r="FF65" s="1097"/>
      <c r="FG65" s="1097"/>
      <c r="FH65" s="1097"/>
      <c r="FI65" s="1097"/>
      <c r="FJ65" s="1097"/>
      <c r="FK65" s="1097"/>
      <c r="GH65" s="1097">
        <v>32</v>
      </c>
      <c r="GI65" s="1097">
        <v>0.93243243243243235</v>
      </c>
      <c r="GJ65" s="1097">
        <v>7.5499999999999998E-2</v>
      </c>
      <c r="GK65" s="1097">
        <v>0.92</v>
      </c>
      <c r="GL65" s="1097">
        <v>7.6366666666666666E-2</v>
      </c>
      <c r="GM65" s="1097">
        <v>0.89555555555555555</v>
      </c>
      <c r="GN65" s="1097">
        <v>9.0533333333333341E-2</v>
      </c>
      <c r="GO65" s="1097">
        <v>0.89106753812636164</v>
      </c>
      <c r="GP65" s="1097">
        <v>8.716666666666667E-2</v>
      </c>
      <c r="GQ65" s="1097">
        <v>0.89803836153690453</v>
      </c>
      <c r="GR65" s="1097">
        <v>0.12300000000000001</v>
      </c>
      <c r="GS65" s="1097">
        <v>0.88203479944770058</v>
      </c>
      <c r="GT65" s="1097">
        <v>0.12866666666666668</v>
      </c>
      <c r="GU65" s="1097">
        <v>0.86444444444444446</v>
      </c>
      <c r="GV65" s="1097">
        <v>0.13666666666666666</v>
      </c>
      <c r="GW65" s="1097">
        <v>0.86472863606349493</v>
      </c>
      <c r="GX65" s="1097">
        <v>0.13805555555555557</v>
      </c>
      <c r="GY65" s="1097">
        <v>0.86222222222222211</v>
      </c>
      <c r="GZ65" s="1097">
        <v>0.14966666666666667</v>
      </c>
      <c r="IU65" s="1002">
        <v>32</v>
      </c>
      <c r="IV65" s="1002">
        <v>0.9348487108630007</v>
      </c>
      <c r="IW65" s="1002">
        <v>7.0933333333333334E-2</v>
      </c>
      <c r="IX65" s="1002">
        <v>0.93963537543304076</v>
      </c>
      <c r="IY65" s="1002">
        <v>7.063333333333334E-2</v>
      </c>
      <c r="IZ65" s="1002">
        <v>0.9007961269335959</v>
      </c>
      <c r="JA65" s="1002">
        <v>8.3799999999999986E-2</v>
      </c>
      <c r="JB65" s="1002">
        <v>0.89889628107157671</v>
      </c>
      <c r="JC65" s="1002">
        <v>8.2799999999999999E-2</v>
      </c>
      <c r="JD65" s="1002">
        <v>0.89672714600397219</v>
      </c>
      <c r="JE65" s="1002">
        <v>0.11699999999999998</v>
      </c>
      <c r="JF65" s="1002">
        <v>0.90400704535446919</v>
      </c>
      <c r="JG65" s="1002">
        <v>0.11433333333333331</v>
      </c>
      <c r="JH65" s="1002">
        <v>0.87591505328666075</v>
      </c>
      <c r="JI65" s="1002">
        <v>0.13500000000000001</v>
      </c>
      <c r="JJ65" s="1002">
        <v>0.87736378901047996</v>
      </c>
      <c r="JK65" s="1002">
        <v>0.13100000000000001</v>
      </c>
      <c r="JL65" s="1002">
        <v>0.84048686739269707</v>
      </c>
      <c r="JM65" s="1002">
        <v>0.15600000000000003</v>
      </c>
    </row>
    <row r="66" spans="15:273" x14ac:dyDescent="0.2">
      <c r="O66">
        <f>'Wind speed'!B21</f>
        <v>54.3</v>
      </c>
      <c r="P66" t="b">
        <f>ISERROR(MATCH(O66,$S$8:$S$27,1))</f>
        <v>0</v>
      </c>
      <c r="Q66">
        <f t="shared" ref="Q66:Q70" si="117">IF(ISERROR(MATCH(U76,$S$8:$S$27,1))=TRUE,1,MATCH(U76,$S$8:$S$27,1))</f>
        <v>4</v>
      </c>
      <c r="R66">
        <f t="shared" ref="R66:R70" si="118">Q66+1</f>
        <v>5</v>
      </c>
      <c r="S66">
        <f>INDEX(S$8:S$27,Q66,1)</f>
        <v>50.797521080971251</v>
      </c>
      <c r="T66">
        <f>INDEX(S$8:S$27,R66,1)</f>
        <v>60.957025297165487</v>
      </c>
      <c r="U66">
        <f>U76</f>
        <v>54.3</v>
      </c>
      <c r="W66">
        <f ca="1">((($S66/$U66)*INDEX(W$8:W$27,$Q66,1)+($T66/$U66)*INDEX(W$8:W$27,$R66,1))/(($S66/$U66)+($T66/$U66)))/W$65</f>
        <v>0.87321001107033613</v>
      </c>
      <c r="X66">
        <f ca="1">(($S66/$U66)*INDEX(X$8:X$27,$Q66,1)+($T66/$U66)*INDEX(X$8:X$27,$R66,1))/(($S66/$U66)+($T66/$U66))</f>
        <v>0.11792424242424243</v>
      </c>
      <c r="Y66">
        <f ca="1">((($S66/$U66)*INDEX(Y$8:Y$27,$Q66,1)+($T66/$U66)*INDEX(Y$8:Y$27,$R66,1))/(($S66/$U66)+($T66/$U66)))/Y$65</f>
        <v>0.84869995246179997</v>
      </c>
      <c r="Z66">
        <f ca="1">(($S66/$U66)*INDEX(Z$8:Z$27,$Q66,1)+($T66/$U66)*INDEX(Z$8:Z$27,$R66,1))/(($S66/$U66)+($T66/$U66))</f>
        <v>0.14004545454545456</v>
      </c>
      <c r="AA66">
        <f ca="1">((($S66/$U66)*INDEX(AA$8:AA$27,$Q66,1)+($T66/$U66)*INDEX(AA$8:AA$27,$R66,1))/(($S66/$U66)+($T66/$U66)))/AA$65</f>
        <v>0.80927257546183728</v>
      </c>
      <c r="AB66">
        <f ca="1">(($S66/$U66)*INDEX(AB$8:AB$27,$Q66,1)+($T66/$U66)*INDEX(AB$8:AB$27,$R66,1))/(($S66/$U66)+($T66/$U66))</f>
        <v>0.18143939393939393</v>
      </c>
      <c r="AC66">
        <f ca="1">((($S66/$U66)*INDEX(AC$8:AC$27,$Q66,1)+($T66/$U66)*INDEX(AC$8:AC$27,$R66,1))/(($S66/$U66)+($T66/$U66)))/AC$65</f>
        <v>0.77860675079372466</v>
      </c>
      <c r="AD66">
        <f ca="1">(($S66/$U66)*INDEX(AD$8:AD$27,$Q66,1)+($T66/$U66)*INDEX(AD$8:AD$27,$R66,1))/(($S66/$U66)+($T66/$U66))</f>
        <v>0.21396969696969698</v>
      </c>
      <c r="AE66">
        <f ca="1">((($S66/$U66)*INDEX(AE$8:AE$27,$Q66,1)+($T66/$U66)*INDEX(AE$8:AE$27,$R66,1))/(($S66/$U66)+($T66/$U66)))/AE$65</f>
        <v>0.74719753474266226</v>
      </c>
      <c r="AF66">
        <f ca="1">(($S66/$U66)*INDEX(AF$8:AF$27,$Q66,1)+($T66/$U66)*INDEX(AF$8:AF$27,$R66,1))/(($S66/$U66)+($T66/$U66))</f>
        <v>0.23787634445806602</v>
      </c>
      <c r="AG66">
        <f ca="1">((($S66/$U66)*INDEX(AG$8:AG$27,$Q66,1)+($T66/$U66)*INDEX(AG$8:AG$27,$R66,1))/(($S66/$U66)+($T66/$U66)))/AG$65</f>
        <v>0.73227140292533621</v>
      </c>
      <c r="AH66">
        <f ca="1">(($S66/$U66)*INDEX(AH$8:AH$27,$Q66,1)+($T66/$U66)*INDEX(AH$8:AH$27,$R66,1))/(($S66/$U66)+($T66/$U66))</f>
        <v>0.25604545454545458</v>
      </c>
      <c r="AI66" t="e">
        <f ca="1">((($S66/$U66)*INDEX(AI$8:AI$27,$Q66,1)+($T66/$U66)*INDEX(AI$8:AI$27,$R66,1))/(($S66/$U66)+($T66/$U66)))/AI$65</f>
        <v>#REF!</v>
      </c>
      <c r="AJ66" t="e">
        <f ca="1">(($S66/$U66)*INDEX(AJ$8:AJ$27,$Q66,1)+($T66/$U66)*INDEX(AJ$8:AJ$27,$R66,1))/(($S66/$U66)+($T66/$U66))</f>
        <v>#REF!</v>
      </c>
      <c r="AK66" t="e">
        <f ca="1">((($S66/$U66)*INDEX(AK$8:AK$27,$Q66,1)+($T66/$U66)*INDEX(AK$8:AK$27,$R66,1))/(($S66/$U66)+($T66/$U66)))/AK$65</f>
        <v>#REF!</v>
      </c>
      <c r="AL66" t="e">
        <f ca="1">(($S66/$U66)*INDEX(AL$8:AL$27,$Q66,1)+($T66/$U66)*INDEX(AL$8:AL$27,$R66,1))/(($S66/$U66)+($T66/$U66))</f>
        <v>#REF!</v>
      </c>
      <c r="AM66" t="e">
        <f ca="1">((($S66/$U66)*INDEX(AM$8:AM$27,$Q66,1)+($T66/$U66)*INDEX(AM$8:AM$27,$R66,1))/(($S66/$U66)+($T66/$U66)))/AM$65</f>
        <v>#REF!</v>
      </c>
      <c r="AN66" t="e">
        <f ca="1">(($S66/$U66)*INDEX(AN$8:AN$27,$Q66,1)+($T66/$U66)*INDEX(AN$8:AN$27,$R66,1))/(($S66/$U66)+($T66/$U66))</f>
        <v>#REF!</v>
      </c>
      <c r="AO66" t="e">
        <f ca="1">((($S66/$U66)*INDEX(AO$8:AO$27,$Q66,1)+($T66/$U66)*INDEX(AO$8:AO$27,$R66,1))/(($S66/$U66)+($T66/$U66)))/AO$65</f>
        <v>#REF!</v>
      </c>
      <c r="AP66" t="e">
        <f ca="1">(($S66/$U66)*INDEX(AP$8:AP$27,$Q66,1)+($T66/$U66)*INDEX(AP$8:AP$27,$R66,1))/(($S66/$U66)+($T66/$U66))</f>
        <v>#REF!</v>
      </c>
      <c r="AQ66" t="e">
        <f ca="1">((($S66/$U66)*INDEX(AQ$8:AQ$27,$Q66,1)+($T66/$U66)*INDEX(AQ$8:AQ$27,$R66,1))/(($S66/$U66)+($T66/$U66)))/AQ$65</f>
        <v>#REF!</v>
      </c>
      <c r="AR66" t="e">
        <f ca="1">(($S66/$U66)*INDEX(AR$8:AR$27,$Q66,1)+($T66/$U66)*INDEX(AR$8:AR$27,$R66,1))/(($S66/$U66)+($T66/$U66))</f>
        <v>#REF!</v>
      </c>
      <c r="AS66" t="e">
        <f ca="1">((($S66/$U66)*INDEX(AS$8:AS$27,$Q66,1)+($T66/$U66)*INDEX(AS$8:AS$27,$R66,1))/(($S66/$U66)+($T66/$U66)))/AS$65</f>
        <v>#REF!</v>
      </c>
      <c r="AT66" t="e">
        <f ca="1">(($S66/$U66)*INDEX(AT$8:AT$27,$Q66,1)+($T66/$U66)*INDEX(AT$8:AT$27,$R66,1))/(($S66/$U66)+($T66/$U66))</f>
        <v>#REF!</v>
      </c>
      <c r="AU66" t="e">
        <f ca="1">((($S66/$U66)*INDEX(AU$8:AU$27,$Q66,1)+($T66/$U66)*INDEX(AU$8:AU$27,$R66,1))/(($S66/$U66)+($T66/$U66)))/AU$65</f>
        <v>#REF!</v>
      </c>
      <c r="AV66" t="e">
        <f ca="1">(($S66/$U66)*INDEX(AV$8:AV$27,$Q66,1)+($T66/$U66)*INDEX(AV$8:AV$27,$R66,1))/(($S66/$U66)+($T66/$U66))</f>
        <v>#REF!</v>
      </c>
      <c r="AW66" t="e">
        <f ca="1">((($S66/$U66)*INDEX(AW$8:AW$27,$Q66,1)+($T66/$U66)*INDEX(AW$8:AW$27,$R66,1))/(($S66/$U66)+($T66/$U66)))/AW$65</f>
        <v>#REF!</v>
      </c>
      <c r="AX66" t="e">
        <f ca="1">(($S66/$U66)*INDEX(AX$8:AX$27,$Q66,1)+($T66/$U66)*INDEX(AX$8:AX$27,$R66,1))/(($S66/$U66)+($T66/$U66))</f>
        <v>#REF!</v>
      </c>
      <c r="AY66" t="e">
        <f ca="1">((($S66/$U66)*INDEX(AY$8:AY$27,$Q66,1)+($T66/$U66)*INDEX(AY$8:AY$27,$R66,1))/(($S66/$U66)+($T66/$U66)))/AY$65</f>
        <v>#REF!</v>
      </c>
      <c r="AZ66" t="e">
        <f ca="1">(($S66/$U66)*INDEX(AZ$8:AZ$27,$Q66,1)+($T66/$U66)*INDEX(AZ$8:AZ$27,$R66,1))/(($S66/$U66)+($T66/$U66))</f>
        <v>#REF!</v>
      </c>
      <c r="BA66" s="277"/>
      <c r="BB66" s="277"/>
      <c r="BC66" s="293"/>
      <c r="BD66" s="293"/>
      <c r="CW66" s="1055"/>
      <c r="CX66" s="866"/>
      <c r="CY66" s="412"/>
      <c r="CZ66" s="548"/>
      <c r="DA66" s="548"/>
      <c r="DB66" s="548"/>
      <c r="DC66" s="548"/>
      <c r="DD66" s="548"/>
      <c r="DE66" s="412"/>
      <c r="DF66" s="412"/>
      <c r="DG66" s="412"/>
      <c r="DM66" s="290"/>
      <c r="DN66" s="290"/>
      <c r="DO66" s="290"/>
      <c r="DP66" s="290"/>
      <c r="DQ66" s="290"/>
      <c r="EY66" s="1097"/>
      <c r="EZ66" s="1097"/>
      <c r="FA66" s="1097"/>
      <c r="FB66" s="1097"/>
      <c r="FC66" s="1097"/>
      <c r="FD66" s="1097"/>
      <c r="FE66" s="1097"/>
      <c r="FF66" s="1097"/>
      <c r="FG66" s="1097"/>
      <c r="FH66" s="1097"/>
      <c r="FI66" s="1097"/>
      <c r="FJ66" s="1097"/>
      <c r="FK66" s="1097"/>
      <c r="GH66" s="1097">
        <v>36</v>
      </c>
      <c r="GI66" s="1097">
        <v>0.94594594594594594</v>
      </c>
      <c r="GJ66" s="1097">
        <v>7.3099999999999998E-2</v>
      </c>
      <c r="GK66" s="1097">
        <v>0.93333333333333335</v>
      </c>
      <c r="GL66" s="1097">
        <v>7.3499999999999996E-2</v>
      </c>
      <c r="GM66" s="1097">
        <v>0.91333333333333333</v>
      </c>
      <c r="GN66" s="1097">
        <v>8.3800000000000013E-2</v>
      </c>
      <c r="GO66" s="1097">
        <v>0.90849673202614378</v>
      </c>
      <c r="GP66" s="1097">
        <v>8.1900000000000001E-2</v>
      </c>
      <c r="GQ66" s="1097">
        <v>0.91825653161087162</v>
      </c>
      <c r="GR66" s="1097">
        <v>0.1195</v>
      </c>
      <c r="GS66" s="1097">
        <v>0.90495178838452417</v>
      </c>
      <c r="GT66" s="1097">
        <v>0.1245</v>
      </c>
      <c r="GU66" s="1097">
        <v>0.88666666666666671</v>
      </c>
      <c r="GV66" s="1097">
        <v>0.13200000000000001</v>
      </c>
      <c r="GW66" s="1097">
        <v>0.89138177373971039</v>
      </c>
      <c r="GX66" s="1097">
        <v>0.13333333333333336</v>
      </c>
      <c r="GY66" s="1097">
        <v>0.89333333333333331</v>
      </c>
      <c r="GZ66" s="1097">
        <v>0.14300000000000002</v>
      </c>
      <c r="IU66" s="1002">
        <v>36</v>
      </c>
      <c r="IV66" s="1002">
        <v>0.94675151634671062</v>
      </c>
      <c r="IW66" s="1002">
        <v>6.8199999999999997E-2</v>
      </c>
      <c r="IX66" s="1002">
        <v>0.95002161694768705</v>
      </c>
      <c r="IY66" s="1002">
        <v>6.6400000000000001E-2</v>
      </c>
      <c r="IZ66" s="1002">
        <v>0.91840366648219662</v>
      </c>
      <c r="JA66" s="1002">
        <v>7.7700000000000005E-2</v>
      </c>
      <c r="JB66" s="1002">
        <v>0.91728926202726535</v>
      </c>
      <c r="JC66" s="1002">
        <v>7.7899999999999997E-2</v>
      </c>
      <c r="JD66" s="1002">
        <v>0.91600912900100206</v>
      </c>
      <c r="JE66" s="1002">
        <v>0.11266666666666665</v>
      </c>
      <c r="JF66" s="1002">
        <v>0.92250110083663583</v>
      </c>
      <c r="JG66" s="1002">
        <v>0.11</v>
      </c>
      <c r="JH66" s="1002">
        <v>0.89415187348159575</v>
      </c>
      <c r="JI66" s="1002">
        <v>0.12800000000000003</v>
      </c>
      <c r="JJ66" s="1002">
        <v>0.90264098778298862</v>
      </c>
      <c r="JK66" s="1002">
        <v>0.126</v>
      </c>
      <c r="JL66" s="1002">
        <v>0.87123638693145422</v>
      </c>
      <c r="JM66" s="1002">
        <v>0.14800000000000002</v>
      </c>
    </row>
    <row r="67" spans="15:273" x14ac:dyDescent="0.2">
      <c r="O67">
        <f>'Wind speed'!B22</f>
        <v>90.5</v>
      </c>
      <c r="P67" t="b">
        <f t="shared" ref="P67:P70" si="119">ISERROR(MATCH(O67,$S$8:$S$27,1))</f>
        <v>0</v>
      </c>
      <c r="Q67">
        <f t="shared" si="117"/>
        <v>7</v>
      </c>
      <c r="R67">
        <f t="shared" si="118"/>
        <v>8</v>
      </c>
      <c r="S67">
        <f>INDEX(S$8:S$27,Q67,1)</f>
        <v>81.276033729553987</v>
      </c>
      <c r="T67">
        <f>INDEX(S$8:S$27,R67,1)</f>
        <v>101.5950421619425</v>
      </c>
      <c r="U67">
        <f t="shared" ref="U67:U70" si="120">U77</f>
        <v>90.5</v>
      </c>
      <c r="W67">
        <f t="shared" ref="W67:AY70" ca="1" si="121">((($S67/$U67)*INDEX(W$8:W$27,$Q67,1)+($T67/$U67)*INDEX(W$8:W$27,$R67,1))/(($S67/$U67)+($T67/$U67)))/W$65</f>
        <v>0.92849868612759257</v>
      </c>
      <c r="X67">
        <f ca="1">(($S67/$U67)*INDEX(X$8:X$27,$Q67,1)+($T67/$U67)*INDEX(X$8:X$27,$R67,1))/(($S67/$U67)+($T67/$U67))</f>
        <v>0.1042037037037037</v>
      </c>
      <c r="Y67">
        <f t="shared" ca="1" si="121"/>
        <v>0.90939744452368276</v>
      </c>
      <c r="Z67">
        <f ca="1">(($S67/$U67)*INDEX(Z$8:Z$27,$Q67,1)+($T67/$U67)*INDEX(Z$8:Z$27,$R67,1))/(($S67/$U67)+($T67/$U67))</f>
        <v>0.12711111111111112</v>
      </c>
      <c r="AA67">
        <f t="shared" ca="1" si="121"/>
        <v>0.89133818195103454</v>
      </c>
      <c r="AB67">
        <f ca="1">(($S67/$U67)*INDEX(AB$8:AB$27,$Q67,1)+($T67/$U67)*INDEX(AB$8:AB$27,$R67,1))/(($S67/$U67)+($T67/$U67))</f>
        <v>0.1633148148148148</v>
      </c>
      <c r="AC67">
        <f t="shared" ca="1" si="121"/>
        <v>0.87289137126825678</v>
      </c>
      <c r="AD67">
        <f ca="1">(($S67/$U67)*INDEX(AD$8:AD$27,$Q67,1)+($T67/$U67)*INDEX(AD$8:AD$27,$R67,1))/(($S67/$U67)+($T67/$U67))</f>
        <v>0.1917777777777778</v>
      </c>
      <c r="AE67">
        <f t="shared" ca="1" si="121"/>
        <v>0.84571910512999493</v>
      </c>
      <c r="AF67">
        <f ca="1">(($S67/$U67)*INDEX(AF$8:AF$27,$Q67,1)+($T67/$U67)*INDEX(AF$8:AF$27,$R67,1))/(($S67/$U67)+($T67/$U67))</f>
        <v>0.21911111111111109</v>
      </c>
      <c r="AG67">
        <f t="shared" ca="1" si="121"/>
        <v>0.83755260602136627</v>
      </c>
      <c r="AH67">
        <f ca="1">(($S67/$U67)*INDEX(AH$8:AH$27,$Q67,1)+($T67/$U67)*INDEX(AH$8:AH$27,$R67,1))/(($S67/$U67)+($T67/$U67))</f>
        <v>0.24033333333333329</v>
      </c>
      <c r="AI67" t="e">
        <f t="shared" ca="1" si="121"/>
        <v>#REF!</v>
      </c>
      <c r="AJ67" t="e">
        <f ca="1">(($S67/$U67)*INDEX(AJ$8:AJ$27,$Q67,1)+($T67/$U67)*INDEX(AJ$8:AJ$27,$R67,1))/(($S67/$U67)+($T67/$U67))</f>
        <v>#REF!</v>
      </c>
      <c r="AK67" t="e">
        <f t="shared" ca="1" si="121"/>
        <v>#REF!</v>
      </c>
      <c r="AL67" t="e">
        <f ca="1">(($S67/$U67)*INDEX(AL$8:AL$27,$Q67,1)+($T67/$U67)*INDEX(AL$8:AL$27,$R67,1))/(($S67/$U67)+($T67/$U67))</f>
        <v>#REF!</v>
      </c>
      <c r="AM67" t="e">
        <f t="shared" ca="1" si="121"/>
        <v>#REF!</v>
      </c>
      <c r="AN67" t="e">
        <f ca="1">(($S67/$U67)*INDEX(AN$8:AN$27,$Q67,1)+($T67/$U67)*INDEX(AN$8:AN$27,$R67,1))/(($S67/$U67)+($T67/$U67))</f>
        <v>#REF!</v>
      </c>
      <c r="AO67" t="e">
        <f t="shared" ca="1" si="121"/>
        <v>#REF!</v>
      </c>
      <c r="AP67" t="e">
        <f ca="1">(($S67/$U67)*INDEX(AP$8:AP$27,$Q67,1)+($T67/$U67)*INDEX(AP$8:AP$27,$R67,1))/(($S67/$U67)+($T67/$U67))</f>
        <v>#REF!</v>
      </c>
      <c r="AQ67" t="e">
        <f t="shared" ca="1" si="121"/>
        <v>#REF!</v>
      </c>
      <c r="AR67" t="e">
        <f ca="1">(($S67/$U67)*INDEX(AR$8:AR$27,$Q67,1)+($T67/$U67)*INDEX(AR$8:AR$27,$R67,1))/(($S67/$U67)+($T67/$U67))</f>
        <v>#REF!</v>
      </c>
      <c r="AS67" t="e">
        <f t="shared" ca="1" si="121"/>
        <v>#REF!</v>
      </c>
      <c r="AT67" t="e">
        <f ca="1">(($S67/$U67)*INDEX(AT$8:AT$27,$Q67,1)+($T67/$U67)*INDEX(AT$8:AT$27,$R67,1))/(($S67/$U67)+($T67/$U67))</f>
        <v>#REF!</v>
      </c>
      <c r="AU67" t="e">
        <f t="shared" ca="1" si="121"/>
        <v>#REF!</v>
      </c>
      <c r="AV67" t="e">
        <f ca="1">(($S67/$U67)*INDEX(AV$8:AV$27,$Q67,1)+($T67/$U67)*INDEX(AV$8:AV$27,$R67,1))/(($S67/$U67)+($T67/$U67))</f>
        <v>#REF!</v>
      </c>
      <c r="AW67" t="e">
        <f t="shared" ca="1" si="121"/>
        <v>#REF!</v>
      </c>
      <c r="AX67" t="e">
        <f ca="1">(($S67/$U67)*INDEX(AX$8:AX$27,$Q67,1)+($T67/$U67)*INDEX(AX$8:AX$27,$R67,1))/(($S67/$U67)+($T67/$U67))</f>
        <v>#REF!</v>
      </c>
      <c r="AY67" t="e">
        <f t="shared" ca="1" si="121"/>
        <v>#REF!</v>
      </c>
      <c r="AZ67" t="e">
        <f ca="1">(($S67/$U67)*INDEX(AZ$8:AZ$27,$Q67,1)+($T67/$U67)*INDEX(AZ$8:AZ$27,$R67,1))/(($S67/$U67)+($T67/$U67))</f>
        <v>#REF!</v>
      </c>
      <c r="BA67" s="277"/>
      <c r="BB67" s="277"/>
      <c r="BC67" s="293"/>
      <c r="BD67" s="293"/>
      <c r="BF67" s="290"/>
      <c r="CW67" s="1055"/>
      <c r="CX67" s="866"/>
      <c r="CY67" s="412"/>
      <c r="CZ67" s="548"/>
      <c r="DA67" s="548"/>
      <c r="DB67" s="548"/>
      <c r="DC67" s="548"/>
      <c r="DD67" s="548"/>
      <c r="DE67" s="412"/>
      <c r="DF67" s="412"/>
      <c r="DG67" s="412"/>
      <c r="DM67" s="290"/>
      <c r="DN67" s="290"/>
      <c r="DO67" s="290"/>
      <c r="DP67" s="290"/>
      <c r="DQ67" s="290"/>
      <c r="EY67" s="1097"/>
      <c r="EZ67" s="1097"/>
      <c r="FA67" s="1097"/>
      <c r="FB67" s="1097"/>
      <c r="FC67" s="1097"/>
      <c r="FD67" s="1097"/>
      <c r="FE67" s="1097"/>
      <c r="FF67" s="1097"/>
      <c r="FG67" s="1097"/>
      <c r="FH67" s="1097"/>
      <c r="FI67" s="1097"/>
      <c r="FJ67" s="1097"/>
      <c r="FK67" s="1097"/>
      <c r="GH67" s="1097">
        <v>40</v>
      </c>
      <c r="GI67" s="1097">
        <v>0.95495495495495486</v>
      </c>
      <c r="GJ67" s="1097">
        <v>7.1433333333333321E-2</v>
      </c>
      <c r="GK67" s="1097">
        <v>0.94666666666666666</v>
      </c>
      <c r="GL67" s="1097">
        <v>7.1833333333333332E-2</v>
      </c>
      <c r="GM67" s="1097">
        <v>0.93555555555555558</v>
      </c>
      <c r="GN67" s="1097">
        <v>8.0333333333333326E-2</v>
      </c>
      <c r="GO67" s="1097">
        <v>0.93028322440087141</v>
      </c>
      <c r="GP67" s="1097">
        <v>7.9433333333333328E-2</v>
      </c>
      <c r="GQ67" s="1097">
        <v>0.9425109318885746</v>
      </c>
      <c r="GR67" s="1097">
        <v>0.11316666666666667</v>
      </c>
      <c r="GS67" s="1097">
        <v>0.93161570501251845</v>
      </c>
      <c r="GT67" s="1097">
        <v>0.11983333333333335</v>
      </c>
      <c r="GU67" s="1097">
        <v>0.90888888888888897</v>
      </c>
      <c r="GV67" s="1097">
        <v>0.1225</v>
      </c>
      <c r="GW67" s="1097">
        <v>0.91145279753046538</v>
      </c>
      <c r="GX67" s="1097">
        <v>0.127</v>
      </c>
      <c r="GY67" s="1097">
        <v>0.92</v>
      </c>
      <c r="GZ67" s="1097">
        <v>0.13633333333333333</v>
      </c>
      <c r="IU67" s="1002">
        <v>40</v>
      </c>
      <c r="IV67" s="1002">
        <v>0.95692580878145306</v>
      </c>
      <c r="IW67" s="1002">
        <v>6.5100000000000005E-2</v>
      </c>
      <c r="IX67" s="1002">
        <v>0.95651231604539</v>
      </c>
      <c r="IY67" s="1002">
        <v>6.486666666666667E-2</v>
      </c>
      <c r="IZ67" s="1002">
        <v>0.93794488845933532</v>
      </c>
      <c r="JA67" s="1002">
        <v>7.3933333333333337E-2</v>
      </c>
      <c r="JB67" s="1002">
        <v>0.93374775148149192</v>
      </c>
      <c r="JC67" s="1002">
        <v>7.513333333333333E-2</v>
      </c>
      <c r="JD67" s="1002">
        <v>0.94016995906430678</v>
      </c>
      <c r="JE67" s="1002">
        <v>0.10766666666666666</v>
      </c>
      <c r="JF67" s="1002">
        <v>0.93747247908410392</v>
      </c>
      <c r="JG67" s="1002">
        <v>0.10566666666666669</v>
      </c>
      <c r="JH67" s="1002">
        <v>0.91816975230931153</v>
      </c>
      <c r="JI67" s="1002">
        <v>0.12366666666666667</v>
      </c>
      <c r="JJ67" s="1002">
        <v>0.92395634300272123</v>
      </c>
      <c r="JK67" s="1002">
        <v>0.12</v>
      </c>
      <c r="JL67" s="1002">
        <v>0.90006406149903917</v>
      </c>
      <c r="JM67" s="1002">
        <v>0.13800000000000001</v>
      </c>
    </row>
    <row r="68" spans="15:273" x14ac:dyDescent="0.2">
      <c r="O68">
        <f>'Wind speed'!B23</f>
        <v>120.7</v>
      </c>
      <c r="P68" t="b">
        <f t="shared" si="119"/>
        <v>0</v>
      </c>
      <c r="Q68">
        <f t="shared" si="117"/>
        <v>8</v>
      </c>
      <c r="R68">
        <f t="shared" si="118"/>
        <v>9</v>
      </c>
      <c r="S68">
        <f>INDEX(S$8:S$27,Q68,1)</f>
        <v>101.5950421619425</v>
      </c>
      <c r="T68">
        <f>INDEX(S$8:S$27,R68,1)</f>
        <v>121.91405059433097</v>
      </c>
      <c r="U68">
        <f t="shared" si="120"/>
        <v>120.7</v>
      </c>
      <c r="W68">
        <f t="shared" ca="1" si="121"/>
        <v>0.94963825071315555</v>
      </c>
      <c r="X68">
        <f ca="1">(($S68/$U68)*INDEX(X$8:X$27,$Q68,1)+($T68/$U68)*INDEX(X$8:X$27,$R68,1))/(($S68/$U68)+($T68/$U68))</f>
        <v>9.7900000000000001E-2</v>
      </c>
      <c r="Y68">
        <f t="shared" ca="1" si="121"/>
        <v>0.93768582683710178</v>
      </c>
      <c r="Z68">
        <f ca="1">(($S68/$U68)*INDEX(Z$8:Z$27,$Q68,1)+($T68/$U68)*INDEX(Z$8:Z$27,$R68,1))/(($S68/$U68)+($T68/$U68))</f>
        <v>0.12154545454545454</v>
      </c>
      <c r="AA68">
        <f t="shared" ca="1" si="121"/>
        <v>0.92275924847068846</v>
      </c>
      <c r="AB68">
        <f ca="1">(($S68/$U68)*INDEX(AB$8:AB$27,$Q68,1)+($T68/$U68)*INDEX(AB$8:AB$27,$R68,1))/(($S68/$U68)+($T68/$U68))</f>
        <v>0.15556060606060607</v>
      </c>
      <c r="AC68">
        <f t="shared" ca="1" si="121"/>
        <v>0.90418750129541847</v>
      </c>
      <c r="AD68">
        <f ca="1">(($S68/$U68)*INDEX(AD$8:AD$27,$Q68,1)+($T68/$U68)*INDEX(AD$8:AD$27,$R68,1))/(($S68/$U68)+($T68/$U68))</f>
        <v>0.18296969696969698</v>
      </c>
      <c r="AE68">
        <f t="shared" ca="1" si="121"/>
        <v>0.87903143808807538</v>
      </c>
      <c r="AF68">
        <f ca="1">(($S68/$U68)*INDEX(AF$8:AF$27,$Q68,1)+($T68/$U68)*INDEX(AF$8:AF$27,$R68,1))/(($S68/$U68)+($T68/$U68))</f>
        <v>0.20977272727272728</v>
      </c>
      <c r="AG68">
        <f t="shared" ca="1" si="121"/>
        <v>0.88190941463845318</v>
      </c>
      <c r="AH68">
        <f ca="1">(($S68/$U68)*INDEX(AH$8:AH$27,$Q68,1)+($T68/$U68)*INDEX(AH$8:AH$27,$R68,1))/(($S68/$U68)+($T68/$U68))</f>
        <v>0.23063636363636361</v>
      </c>
      <c r="AI68" t="e">
        <f t="shared" ca="1" si="121"/>
        <v>#REF!</v>
      </c>
      <c r="AJ68" t="e">
        <f ca="1">(($S68/$U68)*INDEX(AJ$8:AJ$27,$Q68,1)+($T68/$U68)*INDEX(AJ$8:AJ$27,$R68,1))/(($S68/$U68)+($T68/$U68))</f>
        <v>#REF!</v>
      </c>
      <c r="AK68" t="e">
        <f t="shared" ca="1" si="121"/>
        <v>#REF!</v>
      </c>
      <c r="AL68" t="e">
        <f ca="1">(($S68/$U68)*INDEX(AL$8:AL$27,$Q68,1)+($T68/$U68)*INDEX(AL$8:AL$27,$R68,1))/(($S68/$U68)+($T68/$U68))</f>
        <v>#REF!</v>
      </c>
      <c r="AM68" t="e">
        <f t="shared" ca="1" si="121"/>
        <v>#REF!</v>
      </c>
      <c r="AN68" t="e">
        <f ca="1">(($S68/$U68)*INDEX(AN$8:AN$27,$Q68,1)+($T68/$U68)*INDEX(AN$8:AN$27,$R68,1))/(($S68/$U68)+($T68/$U68))</f>
        <v>#REF!</v>
      </c>
      <c r="AO68" t="e">
        <f t="shared" ca="1" si="121"/>
        <v>#REF!</v>
      </c>
      <c r="AP68" t="e">
        <f ca="1">(($S68/$U68)*INDEX(AP$8:AP$27,$Q68,1)+($T68/$U68)*INDEX(AP$8:AP$27,$R68,1))/(($S68/$U68)+($T68/$U68))</f>
        <v>#REF!</v>
      </c>
      <c r="AQ68" t="e">
        <f t="shared" ca="1" si="121"/>
        <v>#REF!</v>
      </c>
      <c r="AR68" t="e">
        <f ca="1">(($S68/$U68)*INDEX(AR$8:AR$27,$Q68,1)+($T68/$U68)*INDEX(AR$8:AR$27,$R68,1))/(($S68/$U68)+($T68/$U68))</f>
        <v>#REF!</v>
      </c>
      <c r="AS68" t="e">
        <f t="shared" ca="1" si="121"/>
        <v>#REF!</v>
      </c>
      <c r="AT68" t="e">
        <f ca="1">(($S68/$U68)*INDEX(AT$8:AT$27,$Q68,1)+($T68/$U68)*INDEX(AT$8:AT$27,$R68,1))/(($S68/$U68)+($T68/$U68))</f>
        <v>#REF!</v>
      </c>
      <c r="AU68" t="e">
        <f t="shared" ca="1" si="121"/>
        <v>#REF!</v>
      </c>
      <c r="AV68" t="e">
        <f ca="1">(($S68/$U68)*INDEX(AV$8:AV$27,$Q68,1)+($T68/$U68)*INDEX(AV$8:AV$27,$R68,1))/(($S68/$U68)+($T68/$U68))</f>
        <v>#REF!</v>
      </c>
      <c r="AW68" t="e">
        <f t="shared" ca="1" si="121"/>
        <v>#REF!</v>
      </c>
      <c r="AX68" t="e">
        <f ca="1">(($S68/$U68)*INDEX(AX$8:AX$27,$Q68,1)+($T68/$U68)*INDEX(AX$8:AX$27,$R68,1))/(($S68/$U68)+($T68/$U68))</f>
        <v>#REF!</v>
      </c>
      <c r="AY68" t="e">
        <f t="shared" ca="1" si="121"/>
        <v>#REF!</v>
      </c>
      <c r="AZ68" t="e">
        <f ca="1">(($S68/$U68)*INDEX(AZ$8:AZ$27,$Q68,1)+($T68/$U68)*INDEX(AZ$8:AZ$27,$R68,1))/(($S68/$U68)+($T68/$U68))</f>
        <v>#REF!</v>
      </c>
      <c r="BA68" s="277"/>
      <c r="BB68" s="277"/>
      <c r="BC68" s="293"/>
      <c r="BD68" s="293"/>
      <c r="BF68" s="290"/>
      <c r="CW68" s="1055"/>
      <c r="CX68" s="866"/>
      <c r="CY68" s="412"/>
      <c r="CZ68" s="548"/>
      <c r="DA68" s="548"/>
      <c r="DB68" s="548"/>
      <c r="DC68" s="548"/>
      <c r="DD68" s="548"/>
      <c r="DE68" s="412"/>
      <c r="DF68" s="412"/>
      <c r="DG68" s="412"/>
      <c r="DM68" s="290"/>
      <c r="DN68" s="290"/>
      <c r="DO68" s="290"/>
      <c r="DP68" s="290"/>
      <c r="DQ68" s="290"/>
      <c r="EY68" s="1097"/>
      <c r="EZ68" s="1097"/>
      <c r="FA68" s="1097"/>
      <c r="FB68" s="1097"/>
      <c r="FC68" s="1097"/>
      <c r="FD68" s="1097"/>
      <c r="FE68" s="1097"/>
      <c r="FF68" s="1097"/>
      <c r="FG68" s="1097"/>
      <c r="FH68" s="1097"/>
      <c r="FI68" s="1097"/>
      <c r="FJ68" s="1097"/>
      <c r="FK68" s="1097"/>
      <c r="GH68" s="1097">
        <v>48</v>
      </c>
      <c r="GI68" s="1097">
        <v>0.97972972972972971</v>
      </c>
      <c r="GJ68" s="1097">
        <v>6.8400000000000002E-2</v>
      </c>
      <c r="GK68" s="1097">
        <v>0.97333333333333327</v>
      </c>
      <c r="GL68" s="1097">
        <v>6.9900000000000004E-2</v>
      </c>
      <c r="GM68" s="1097">
        <v>0.97333333333333327</v>
      </c>
      <c r="GN68" s="1097">
        <v>7.3700000000000002E-2</v>
      </c>
      <c r="GO68" s="1097">
        <v>0.9673202614379085</v>
      </c>
      <c r="GP68" s="1097">
        <v>7.0400000000000004E-2</v>
      </c>
      <c r="GQ68" s="1097">
        <v>0.97773837958816479</v>
      </c>
      <c r="GR68" s="1097">
        <v>0.10316666666666667</v>
      </c>
      <c r="GS68" s="1097">
        <v>0.97621216548357714</v>
      </c>
      <c r="GT68" s="1097">
        <v>0.107</v>
      </c>
      <c r="GU68" s="1097">
        <v>0.94666666666666666</v>
      </c>
      <c r="GV68" s="1097">
        <v>0.113</v>
      </c>
      <c r="GW68" s="1097">
        <v>0.95405914657542901</v>
      </c>
      <c r="GX68" s="1097">
        <v>0.11516666666666665</v>
      </c>
      <c r="GY68" s="1097">
        <v>0.96666666666666667</v>
      </c>
      <c r="GZ68" s="1097">
        <v>0.121</v>
      </c>
      <c r="IU68" s="1002">
        <v>48</v>
      </c>
      <c r="IV68" s="1002">
        <v>0.97294173368763204</v>
      </c>
      <c r="IW68" s="1002">
        <v>6.3600000000000004E-2</v>
      </c>
      <c r="IX68" s="1002">
        <v>0.97468683499811914</v>
      </c>
      <c r="IY68" s="1002">
        <v>6.4033333333333331E-2</v>
      </c>
      <c r="IZ68" s="1002">
        <v>0.96671694268658281</v>
      </c>
      <c r="JA68" s="1002">
        <v>6.9566666666666666E-2</v>
      </c>
      <c r="JB68" s="1002">
        <v>0.96194543352480488</v>
      </c>
      <c r="JC68" s="1002">
        <v>7.0166666666666669E-2</v>
      </c>
      <c r="JD68" s="1002">
        <v>0.96432372515985165</v>
      </c>
      <c r="JE68" s="1002">
        <v>0.10066666666666667</v>
      </c>
      <c r="JF68" s="1002">
        <v>0.9687362395420519</v>
      </c>
      <c r="JG68" s="1002">
        <v>0.1</v>
      </c>
      <c r="JH68" s="1002">
        <v>0.95974842487022782</v>
      </c>
      <c r="JI68" s="1002">
        <v>0.11200000000000002</v>
      </c>
      <c r="JJ68" s="1002">
        <v>0.95846578078860512</v>
      </c>
      <c r="JK68" s="1002">
        <v>0.111</v>
      </c>
      <c r="JL68" s="1002">
        <v>0.94778987828315187</v>
      </c>
      <c r="JM68" s="1002">
        <v>0.1255</v>
      </c>
    </row>
    <row r="69" spans="15:273" x14ac:dyDescent="0.2">
      <c r="O69">
        <f>'Wind speed'!B24</f>
        <v>144.80000000000001</v>
      </c>
      <c r="P69" t="b">
        <f t="shared" si="119"/>
        <v>0</v>
      </c>
      <c r="Q69">
        <f t="shared" si="117"/>
        <v>10</v>
      </c>
      <c r="R69">
        <f t="shared" si="118"/>
        <v>11</v>
      </c>
      <c r="S69">
        <f>INDEX(S$8:S$27,Q69,1)</f>
        <v>142.2330590267195</v>
      </c>
      <c r="T69">
        <f>INDEX(S$8:S$27,R69,1)</f>
        <v>162.55206745910797</v>
      </c>
      <c r="U69">
        <f t="shared" si="120"/>
        <v>144.80000000000001</v>
      </c>
      <c r="W69">
        <f t="shared" ca="1" si="121"/>
        <v>0.98402892505222883</v>
      </c>
      <c r="X69">
        <f ca="1">(($S69/$U69)*INDEX(X$8:X$27,$Q69,1)+($T69/$U69)*INDEX(X$8:X$27,$R69,1))/(($S69/$U69)+($T69/$U69))</f>
        <v>8.7997777777777772E-2</v>
      </c>
      <c r="Y69">
        <f t="shared" ca="1" si="121"/>
        <v>0.97636519369761832</v>
      </c>
      <c r="Z69">
        <f ca="1">(($S69/$U69)*INDEX(Z$8:Z$27,$Q69,1)+($T69/$U69)*INDEX(Z$8:Z$27,$R69,1))/(($S69/$U69)+($T69/$U69))</f>
        <v>0.11248000000000001</v>
      </c>
      <c r="AA69">
        <f t="shared" ca="1" si="121"/>
        <v>0.96950706795041219</v>
      </c>
      <c r="AB69">
        <f ca="1">(($S69/$U69)*INDEX(AB$8:AB$27,$Q69,1)+($T69/$U69)*INDEX(AB$8:AB$27,$R69,1))/(($S69/$U69)+($T69/$U69))</f>
        <v>0.14273933333333333</v>
      </c>
      <c r="AC69">
        <f t="shared" ca="1" si="121"/>
        <v>0.9609907636713878</v>
      </c>
      <c r="AD69">
        <f ca="1">(($S69/$U69)*INDEX(AD$8:AD$27,$Q69,1)+($T69/$U69)*INDEX(AD$8:AD$27,$R69,1))/(($S69/$U69)+($T69/$U69))</f>
        <v>0.17074074074074075</v>
      </c>
      <c r="AE69">
        <f t="shared" ca="1" si="121"/>
        <v>0.9511145682711194</v>
      </c>
      <c r="AF69">
        <f ca="1">(($S69/$U69)*INDEX(AF$8:AF$27,$Q69,1)+($T69/$U69)*INDEX(AF$8:AF$27,$R69,1))/(($S69/$U69)+($T69/$U69))</f>
        <v>0.19628333333333337</v>
      </c>
      <c r="AG69">
        <f t="shared" ca="1" si="121"/>
        <v>0.94893493039818722</v>
      </c>
      <c r="AH69">
        <f ca="1">(($S69/$U69)*INDEX(AH$8:AH$27,$Q69,1)+($T69/$U69)*INDEX(AH$8:AH$27,$R69,1))/(($S69/$U69)+($T69/$U69))</f>
        <v>0.21933333333333338</v>
      </c>
      <c r="AI69" t="e">
        <f t="shared" ca="1" si="121"/>
        <v>#REF!</v>
      </c>
      <c r="AJ69" t="e">
        <f ca="1">(($S69/$U69)*INDEX(AJ$8:AJ$27,$Q69,1)+($T69/$U69)*INDEX(AJ$8:AJ$27,$R69,1))/(($S69/$U69)+($T69/$U69))</f>
        <v>#REF!</v>
      </c>
      <c r="AK69" t="e">
        <f t="shared" ca="1" si="121"/>
        <v>#REF!</v>
      </c>
      <c r="AL69" t="e">
        <f ca="1">(($S69/$U69)*INDEX(AL$8:AL$27,$Q69,1)+($T69/$U69)*INDEX(AL$8:AL$27,$R69,1))/(($S69/$U69)+($T69/$U69))</f>
        <v>#REF!</v>
      </c>
      <c r="AM69" t="e">
        <f t="shared" ca="1" si="121"/>
        <v>#REF!</v>
      </c>
      <c r="AN69" t="e">
        <f ca="1">(($S69/$U69)*INDEX(AN$8:AN$27,$Q69,1)+($T69/$U69)*INDEX(AN$8:AN$27,$R69,1))/(($S69/$U69)+($T69/$U69))</f>
        <v>#REF!</v>
      </c>
      <c r="AO69" t="e">
        <f t="shared" ca="1" si="121"/>
        <v>#REF!</v>
      </c>
      <c r="AP69" t="e">
        <f ca="1">(($S69/$U69)*INDEX(AP$8:AP$27,$Q69,1)+($T69/$U69)*INDEX(AP$8:AP$27,$R69,1))/(($S69/$U69)+($T69/$U69))</f>
        <v>#REF!</v>
      </c>
      <c r="AQ69" t="e">
        <f t="shared" ca="1" si="121"/>
        <v>#REF!</v>
      </c>
      <c r="AR69" t="e">
        <f ca="1">(($S69/$U69)*INDEX(AR$8:AR$27,$Q69,1)+($T69/$U69)*INDEX(AR$8:AR$27,$R69,1))/(($S69/$U69)+($T69/$U69))</f>
        <v>#REF!</v>
      </c>
      <c r="AS69" t="e">
        <f t="shared" ca="1" si="121"/>
        <v>#REF!</v>
      </c>
      <c r="AT69" t="e">
        <f ca="1">(($S69/$U69)*INDEX(AT$8:AT$27,$Q69,1)+($T69/$U69)*INDEX(AT$8:AT$27,$R69,1))/(($S69/$U69)+($T69/$U69))</f>
        <v>#REF!</v>
      </c>
      <c r="AU69" t="e">
        <f t="shared" ca="1" si="121"/>
        <v>#REF!</v>
      </c>
      <c r="AV69" t="e">
        <f ca="1">(($S69/$U69)*INDEX(AV$8:AV$27,$Q69,1)+($T69/$U69)*INDEX(AV$8:AV$27,$R69,1))/(($S69/$U69)+($T69/$U69))</f>
        <v>#REF!</v>
      </c>
      <c r="AW69" t="e">
        <f t="shared" ca="1" si="121"/>
        <v>#REF!</v>
      </c>
      <c r="AX69" t="e">
        <f ca="1">(($S69/$U69)*INDEX(AX$8:AX$27,$Q69,1)+($T69/$U69)*INDEX(AX$8:AX$27,$R69,1))/(($S69/$U69)+($T69/$U69))</f>
        <v>#REF!</v>
      </c>
      <c r="AY69" t="e">
        <f t="shared" ca="1" si="121"/>
        <v>#REF!</v>
      </c>
      <c r="AZ69" t="e">
        <f ca="1">(($S69/$U69)*INDEX(AZ$8:AZ$27,$Q69,1)+($T69/$U69)*INDEX(AZ$8:AZ$27,$R69,1))/(($S69/$U69)+($T69/$U69))</f>
        <v>#REF!</v>
      </c>
      <c r="BA69" s="277"/>
      <c r="BB69" s="277"/>
      <c r="BC69" s="293"/>
      <c r="BD69" s="293"/>
      <c r="BF69" s="290"/>
      <c r="CW69" s="1055"/>
      <c r="CX69" s="866"/>
      <c r="CY69" s="412"/>
      <c r="CZ69" s="548"/>
      <c r="DA69" s="548"/>
      <c r="DB69" s="548"/>
      <c r="DC69" s="548"/>
      <c r="DD69" s="548"/>
      <c r="DE69" s="412"/>
      <c r="DF69" s="412"/>
      <c r="DG69" s="412"/>
      <c r="DM69" s="290"/>
      <c r="DN69" s="290"/>
      <c r="DO69" s="290"/>
      <c r="DP69" s="290"/>
      <c r="DQ69" s="290"/>
      <c r="EY69" s="1097"/>
      <c r="EZ69" s="1097"/>
      <c r="FA69" s="1097"/>
      <c r="FB69" s="1097"/>
      <c r="FC69" s="1097"/>
      <c r="FD69" s="1097"/>
      <c r="FE69" s="1097"/>
      <c r="FF69" s="1097"/>
      <c r="FG69" s="1097"/>
      <c r="FH69" s="1097"/>
      <c r="FI69" s="1097"/>
      <c r="FJ69" s="1097"/>
      <c r="FK69" s="1097"/>
      <c r="GH69" s="1097">
        <v>54</v>
      </c>
      <c r="GI69" s="1097">
        <v>1</v>
      </c>
      <c r="GJ69" s="1097">
        <v>6.7699999999999996E-2</v>
      </c>
      <c r="GK69" s="1097">
        <v>0.98</v>
      </c>
      <c r="GL69" s="1097">
        <v>6.8099999999999994E-2</v>
      </c>
      <c r="GM69" s="1097">
        <v>0.98666666666666669</v>
      </c>
      <c r="GN69" s="1097">
        <v>6.9199999999999998E-2</v>
      </c>
      <c r="GO69" s="1097">
        <v>0.98039215686274506</v>
      </c>
      <c r="GP69" s="1097">
        <v>6.7799999999999999E-2</v>
      </c>
      <c r="GQ69" s="1097">
        <v>0.99317194672214915</v>
      </c>
      <c r="GR69" s="1097">
        <v>9.6283333333333332E-2</v>
      </c>
      <c r="GS69" s="1097">
        <v>0.98873343531393409</v>
      </c>
      <c r="GT69" s="1097">
        <v>9.8599999999999993E-2</v>
      </c>
      <c r="GU69" s="1097">
        <v>0.98</v>
      </c>
      <c r="GV69" s="1097">
        <v>0.106</v>
      </c>
      <c r="GW69" s="1097">
        <v>0.97994078143909724</v>
      </c>
      <c r="GX69" s="1097">
        <v>0.10566666666666666</v>
      </c>
      <c r="GY69" s="1097">
        <v>0.98666666666666669</v>
      </c>
      <c r="GZ69" s="1097">
        <v>0.1099</v>
      </c>
      <c r="IU69" s="1002">
        <v>54</v>
      </c>
      <c r="IV69" s="1002">
        <v>0.98701213330198223</v>
      </c>
      <c r="IW69" s="1002">
        <v>6.3733333333333322E-2</v>
      </c>
      <c r="IX69" s="1002">
        <v>0.99069685178634581</v>
      </c>
      <c r="IY69" s="1002">
        <v>6.3166666666666663E-2</v>
      </c>
      <c r="IZ69" s="1002">
        <v>0.98260848265643386</v>
      </c>
      <c r="JA69" s="1002">
        <v>6.773333333333334E-2</v>
      </c>
      <c r="JB69" s="1002">
        <v>0.98310674089335404</v>
      </c>
      <c r="JC69" s="1002">
        <v>6.6733333333333325E-2</v>
      </c>
      <c r="JD69" s="1002">
        <v>0.98759508394937023</v>
      </c>
      <c r="JE69" s="1002">
        <v>9.3733333333333335E-2</v>
      </c>
      <c r="JF69" s="1002">
        <v>0.9889916336415675</v>
      </c>
      <c r="JG69" s="1002">
        <v>9.2466666666666683E-2</v>
      </c>
      <c r="JH69" s="1002">
        <v>0.98376273862761143</v>
      </c>
      <c r="JI69" s="1002">
        <v>0.105</v>
      </c>
      <c r="JJ69" s="1002">
        <v>0.98153841699959454</v>
      </c>
      <c r="JK69" s="1002">
        <v>0.105</v>
      </c>
      <c r="JL69" s="1002">
        <v>0.97885970531710464</v>
      </c>
      <c r="JM69" s="1002">
        <v>0.114</v>
      </c>
    </row>
    <row r="70" spans="15:273" x14ac:dyDescent="0.2">
      <c r="O70">
        <f>'Wind speed'!B25</f>
        <v>181</v>
      </c>
      <c r="P70" t="b">
        <f t="shared" si="119"/>
        <v>0</v>
      </c>
      <c r="Q70">
        <f t="shared" si="117"/>
        <v>11</v>
      </c>
      <c r="R70">
        <f t="shared" si="118"/>
        <v>12</v>
      </c>
      <c r="S70">
        <f>INDEX(S$8:S$27,Q70,1)</f>
        <v>162.55206745910797</v>
      </c>
      <c r="T70">
        <f>INDEX(S$8:S$27,R70,1)</f>
        <v>203.190084323885</v>
      </c>
      <c r="U70">
        <f t="shared" si="120"/>
        <v>181</v>
      </c>
      <c r="W70">
        <f t="shared" ca="1" si="121"/>
        <v>1</v>
      </c>
      <c r="X70">
        <f ca="1">(($S70/$U70)*INDEX(X$8:X$27,$Q70,1)+($T70/$U70)*INDEX(X$8:X$27,$R70,1))/(($S70/$U70)+($T70/$U70))</f>
        <v>8.3435185185185182E-2</v>
      </c>
      <c r="Y70">
        <f t="shared" ca="1" si="121"/>
        <v>1</v>
      </c>
      <c r="Z70">
        <f ca="1">(($S70/$U70)*INDEX(Z$8:Z$27,$Q70,1)+($T70/$U70)*INDEX(Z$8:Z$27,$R70,1))/(($S70/$U70)+($T70/$U70))</f>
        <v>0.10765</v>
      </c>
      <c r="AA70">
        <f t="shared" ca="1" si="121"/>
        <v>1</v>
      </c>
      <c r="AB70">
        <f ca="1">(($S70/$U70)*INDEX(AB$8:AB$27,$Q70,1)+($T70/$U70)*INDEX(AB$8:AB$27,$R70,1))/(($S70/$U70)+($T70/$U70))</f>
        <v>0.13676444444444441</v>
      </c>
      <c r="AC70">
        <f t="shared" ca="1" si="121"/>
        <v>1</v>
      </c>
      <c r="AD70">
        <f ca="1">(($S70/$U70)*INDEX(AD$8:AD$27,$Q70,1)+($T70/$U70)*INDEX(AD$8:AD$27,$R70,1))/(($S70/$U70)+($T70/$U70))</f>
        <v>0.16246296296296298</v>
      </c>
      <c r="AE70">
        <f t="shared" ca="1" si="121"/>
        <v>1</v>
      </c>
      <c r="AF70">
        <f ca="1">(($S70/$U70)*INDEX(AF$8:AF$27,$Q70,1)+($T70/$U70)*INDEX(AF$8:AF$27,$R70,1))/(($S70/$U70)+($T70/$U70))</f>
        <v>0.18463888888888888</v>
      </c>
      <c r="AG70">
        <f t="shared" ca="1" si="121"/>
        <v>1</v>
      </c>
      <c r="AH70">
        <f ca="1">(($S70/$U70)*INDEX(AH$8:AH$27,$Q70,1)+($T70/$U70)*INDEX(AH$8:AH$27,$R70,1))/(($S70/$U70)+($T70/$U70))</f>
        <v>0.21033333333333334</v>
      </c>
      <c r="AI70" t="e">
        <f t="shared" ca="1" si="121"/>
        <v>#REF!</v>
      </c>
      <c r="AJ70" t="e">
        <f ca="1">(($S70/$U70)*INDEX(AJ$8:AJ$27,$Q70,1)+($T70/$U70)*INDEX(AJ$8:AJ$27,$R70,1))/(($S70/$U70)+($T70/$U70))</f>
        <v>#REF!</v>
      </c>
      <c r="AK70" t="e">
        <f t="shared" ca="1" si="121"/>
        <v>#REF!</v>
      </c>
      <c r="AL70" t="e">
        <f ca="1">(($S70/$U70)*INDEX(AL$8:AL$27,$Q70,1)+($T70/$U70)*INDEX(AL$8:AL$27,$R70,1))/(($S70/$U70)+($T70/$U70))</f>
        <v>#REF!</v>
      </c>
      <c r="AM70" t="e">
        <f t="shared" ca="1" si="121"/>
        <v>#REF!</v>
      </c>
      <c r="AN70" t="e">
        <f ca="1">(($S70/$U70)*INDEX(AN$8:AN$27,$Q70,1)+($T70/$U70)*INDEX(AN$8:AN$27,$R70,1))/(($S70/$U70)+($T70/$U70))</f>
        <v>#REF!</v>
      </c>
      <c r="AO70" t="e">
        <f t="shared" ca="1" si="121"/>
        <v>#REF!</v>
      </c>
      <c r="AP70" t="e">
        <f ca="1">(($S70/$U70)*INDEX(AP$8:AP$27,$Q70,1)+($T70/$U70)*INDEX(AP$8:AP$27,$R70,1))/(($S70/$U70)+($T70/$U70))</f>
        <v>#REF!</v>
      </c>
      <c r="AQ70" t="e">
        <f t="shared" ca="1" si="121"/>
        <v>#REF!</v>
      </c>
      <c r="AR70" t="e">
        <f ca="1">(($S70/$U70)*INDEX(AR$8:AR$27,$Q70,1)+($T70/$U70)*INDEX(AR$8:AR$27,$R70,1))/(($S70/$U70)+($T70/$U70))</f>
        <v>#REF!</v>
      </c>
      <c r="AS70" t="e">
        <f t="shared" ca="1" si="121"/>
        <v>#REF!</v>
      </c>
      <c r="AT70" t="e">
        <f ca="1">(($S70/$U70)*INDEX(AT$8:AT$27,$Q70,1)+($T70/$U70)*INDEX(AT$8:AT$27,$R70,1))/(($S70/$U70)+($T70/$U70))</f>
        <v>#REF!</v>
      </c>
      <c r="AU70" t="e">
        <f t="shared" ca="1" si="121"/>
        <v>#REF!</v>
      </c>
      <c r="AV70" t="e">
        <f ca="1">(($S70/$U70)*INDEX(AV$8:AV$27,$Q70,1)+($T70/$U70)*INDEX(AV$8:AV$27,$R70,1))/(($S70/$U70)+($T70/$U70))</f>
        <v>#REF!</v>
      </c>
      <c r="AW70" t="e">
        <f t="shared" ca="1" si="121"/>
        <v>#REF!</v>
      </c>
      <c r="AX70" t="e">
        <f ca="1">(($S70/$U70)*INDEX(AX$8:AX$27,$Q70,1)+($T70/$U70)*INDEX(AX$8:AX$27,$R70,1))/(($S70/$U70)+($T70/$U70))</f>
        <v>#REF!</v>
      </c>
      <c r="AY70" t="e">
        <f t="shared" ca="1" si="121"/>
        <v>#REF!</v>
      </c>
      <c r="AZ70" t="e">
        <f ca="1">(($S70/$U70)*INDEX(AZ$8:AZ$27,$Q70,1)+($T70/$U70)*INDEX(AZ$8:AZ$27,$R70,1))/(($S70/$U70)+($T70/$U70))</f>
        <v>#REF!</v>
      </c>
      <c r="BA70" s="277"/>
      <c r="BB70" s="277"/>
      <c r="BC70" s="293"/>
      <c r="BD70" s="293"/>
      <c r="BF70" s="290"/>
      <c r="CW70" s="1055"/>
      <c r="CX70" s="412"/>
      <c r="CY70" s="412"/>
      <c r="CZ70" s="412"/>
      <c r="DA70" s="412"/>
      <c r="DB70" s="1150"/>
      <c r="DC70" s="1150"/>
      <c r="DD70" s="1150"/>
      <c r="DE70" s="412"/>
      <c r="DF70" s="412"/>
      <c r="DG70" s="412"/>
      <c r="DM70" s="290"/>
      <c r="DN70" s="290"/>
      <c r="DO70" s="290"/>
      <c r="DP70" s="290"/>
      <c r="DQ70" s="290"/>
      <c r="EY70" s="1097"/>
      <c r="EZ70" s="1097"/>
      <c r="FA70" s="1097"/>
      <c r="FB70" s="1097"/>
      <c r="FC70" s="1097"/>
      <c r="FD70" s="1097"/>
      <c r="FE70" s="1097"/>
      <c r="FF70" s="1097"/>
      <c r="FG70" s="1097"/>
      <c r="FH70" s="1097"/>
      <c r="FI70" s="1097"/>
      <c r="FJ70" s="1097"/>
      <c r="FK70" s="1097"/>
      <c r="GH70" s="1097">
        <v>60</v>
      </c>
      <c r="GI70" s="1097">
        <v>1</v>
      </c>
      <c r="GJ70" s="1097">
        <v>6.7400000000000002E-2</v>
      </c>
      <c r="GK70" s="1097">
        <v>1</v>
      </c>
      <c r="GL70" s="1097">
        <v>6.6600000000000006E-2</v>
      </c>
      <c r="GM70" s="1097">
        <v>1</v>
      </c>
      <c r="GN70" s="1097">
        <v>6.8900000000000003E-2</v>
      </c>
      <c r="GO70" s="1097">
        <v>1</v>
      </c>
      <c r="GP70" s="1097">
        <v>6.6400000000000001E-2</v>
      </c>
      <c r="GQ70" s="1097">
        <v>1</v>
      </c>
      <c r="GR70" s="1097">
        <v>8.8500000000000009E-2</v>
      </c>
      <c r="GS70" s="1097">
        <v>1</v>
      </c>
      <c r="GT70" s="1097">
        <v>9.1899999999999996E-2</v>
      </c>
      <c r="GU70" s="1097">
        <v>1</v>
      </c>
      <c r="GV70" s="1097">
        <v>9.7799999999999998E-2</v>
      </c>
      <c r="GW70" s="1097">
        <v>1</v>
      </c>
      <c r="GX70" s="1097">
        <v>9.636666666666667E-2</v>
      </c>
      <c r="GY70" s="1097">
        <v>1</v>
      </c>
      <c r="GZ70" s="1097">
        <v>9.8800000000000013E-2</v>
      </c>
      <c r="IU70" s="1002">
        <v>60</v>
      </c>
      <c r="IV70" s="1002">
        <v>1</v>
      </c>
      <c r="IW70" s="1002">
        <v>6.2833333333333338E-2</v>
      </c>
      <c r="IX70" s="1002">
        <v>1</v>
      </c>
      <c r="IY70" s="1002">
        <v>6.2333333333333331E-2</v>
      </c>
      <c r="IZ70" s="1002">
        <v>1</v>
      </c>
      <c r="JA70" s="1002">
        <v>6.4199999999999993E-2</v>
      </c>
      <c r="JB70" s="1002">
        <v>1</v>
      </c>
      <c r="JC70" s="1002">
        <v>6.5433333333333329E-2</v>
      </c>
      <c r="JD70" s="1002">
        <v>1</v>
      </c>
      <c r="JE70" s="1002">
        <v>8.7533333333333338E-2</v>
      </c>
      <c r="JF70" s="1002">
        <v>1</v>
      </c>
      <c r="JG70" s="1002">
        <v>8.7333333333333318E-2</v>
      </c>
      <c r="JH70" s="1002">
        <v>1</v>
      </c>
      <c r="JI70" s="1002">
        <v>9.583333333333334E-2</v>
      </c>
      <c r="JJ70" s="1002">
        <v>1</v>
      </c>
      <c r="JK70" s="1002">
        <v>9.5700000000000007E-2</v>
      </c>
      <c r="JL70" s="1002">
        <v>1</v>
      </c>
      <c r="JM70" s="1002">
        <v>0.106</v>
      </c>
    </row>
    <row r="71" spans="15:273" x14ac:dyDescent="0.2">
      <c r="BA71" s="277"/>
      <c r="BB71" s="277"/>
      <c r="BC71" s="293"/>
      <c r="BD71" s="293"/>
      <c r="BF71" s="290"/>
      <c r="CW71" s="1055"/>
      <c r="CX71" s="412"/>
      <c r="CY71" s="412"/>
      <c r="CZ71" s="412"/>
      <c r="DA71" s="412"/>
      <c r="DB71" s="412"/>
      <c r="DC71" s="412"/>
      <c r="DD71" s="412"/>
      <c r="DE71" s="412"/>
      <c r="DF71" s="412"/>
      <c r="DG71" s="412"/>
      <c r="DM71" s="290"/>
      <c r="DN71" s="290"/>
      <c r="DO71" s="290"/>
      <c r="DP71" s="290"/>
      <c r="DQ71" s="290"/>
    </row>
    <row r="72" spans="15:273" x14ac:dyDescent="0.2">
      <c r="BF72" s="290"/>
      <c r="CW72" s="1152"/>
      <c r="CX72" s="412"/>
      <c r="CY72" s="412"/>
      <c r="CZ72" s="412"/>
      <c r="DA72" s="412"/>
      <c r="DB72" s="412"/>
      <c r="DC72" s="412"/>
      <c r="DD72" s="412"/>
      <c r="DE72" s="412"/>
      <c r="DF72" s="412"/>
      <c r="DG72" s="412"/>
      <c r="DM72" s="290"/>
      <c r="DN72" s="290"/>
      <c r="DO72" s="290"/>
      <c r="DP72" s="290"/>
      <c r="DQ72" s="290"/>
    </row>
    <row r="73" spans="15:273" x14ac:dyDescent="0.2">
      <c r="BF73" s="290"/>
      <c r="CW73" s="1055"/>
      <c r="CX73" s="1150"/>
      <c r="CY73" s="1150"/>
      <c r="CZ73" s="1150"/>
      <c r="DA73" s="1150"/>
      <c r="DB73" s="1150"/>
      <c r="DC73" s="1150"/>
      <c r="DD73" s="1150"/>
      <c r="DE73" s="1150"/>
      <c r="DF73" s="1150"/>
      <c r="DG73" s="1150"/>
      <c r="DM73" s="290"/>
      <c r="DN73" s="290"/>
      <c r="DO73" s="290"/>
      <c r="DP73" s="290"/>
      <c r="DQ73" s="290"/>
    </row>
    <row r="74" spans="15:273" ht="18.75" x14ac:dyDescent="0.3">
      <c r="BA74" s="277"/>
      <c r="BB74" s="277"/>
      <c r="BC74" s="293"/>
      <c r="BD74" s="293"/>
      <c r="CW74" s="1055"/>
      <c r="CX74" s="1150"/>
      <c r="CY74" s="1150"/>
      <c r="CZ74" s="1150"/>
      <c r="DA74" s="1150"/>
      <c r="DB74" s="1150"/>
      <c r="DC74" s="1150"/>
      <c r="DD74" s="1150"/>
      <c r="DE74" s="1150"/>
      <c r="DF74" s="1150"/>
      <c r="DG74" s="1150"/>
      <c r="DM74" s="290"/>
      <c r="DN74" s="290"/>
      <c r="DO74" s="290"/>
      <c r="DP74" s="290"/>
      <c r="DQ74" s="290"/>
      <c r="GH74" s="1224" t="s">
        <v>542</v>
      </c>
      <c r="GI74" s="1224" t="s">
        <v>642</v>
      </c>
      <c r="GJ74" s="1225" t="s">
        <v>551</v>
      </c>
      <c r="GK74" s="1225"/>
      <c r="GL74" s="1225"/>
      <c r="GM74" s="1225"/>
      <c r="GN74" s="1225"/>
      <c r="GO74" s="1225"/>
      <c r="GP74" s="1225"/>
      <c r="GQ74" s="1225"/>
      <c r="GR74" s="1225"/>
      <c r="GS74" s="1225"/>
      <c r="GT74" s="1225"/>
      <c r="GU74" s="1225"/>
      <c r="GV74" s="1225"/>
      <c r="GW74" s="1225"/>
      <c r="GX74" s="1225"/>
      <c r="GY74" s="1225"/>
      <c r="GZ74" s="1224" t="s">
        <v>643</v>
      </c>
      <c r="IU74" s="1222" t="s">
        <v>542</v>
      </c>
      <c r="IV74" s="1222" t="s">
        <v>642</v>
      </c>
      <c r="IW74" s="1223" t="s">
        <v>551</v>
      </c>
      <c r="IX74" s="1223"/>
      <c r="IY74" s="1223"/>
      <c r="IZ74" s="1223"/>
      <c r="JA74" s="1223"/>
      <c r="JB74" s="1223"/>
      <c r="JC74" s="1223"/>
      <c r="JD74" s="1223"/>
      <c r="JE74" s="1223"/>
      <c r="JF74" s="1223"/>
      <c r="JG74" s="1223"/>
      <c r="JH74" s="1223"/>
      <c r="JI74" s="1223"/>
      <c r="JJ74" s="1223"/>
      <c r="JK74" s="1223"/>
      <c r="JL74" s="1223"/>
      <c r="JM74" s="1222" t="s">
        <v>643</v>
      </c>
    </row>
    <row r="75" spans="15:273" ht="18.75" x14ac:dyDescent="0.3">
      <c r="W75">
        <v>1</v>
      </c>
      <c r="Y75">
        <f>W75+1</f>
        <v>2</v>
      </c>
      <c r="AA75">
        <f>Y75+1</f>
        <v>3</v>
      </c>
      <c r="AC75">
        <f>AA75+1</f>
        <v>4</v>
      </c>
      <c r="AE75">
        <f>AC75+1</f>
        <v>5</v>
      </c>
      <c r="AG75">
        <f>AE75+1</f>
        <v>6</v>
      </c>
      <c r="AI75">
        <f>AG75+1</f>
        <v>7</v>
      </c>
      <c r="AK75">
        <f>AI75+1</f>
        <v>8</v>
      </c>
      <c r="AM75">
        <f>AK75+1</f>
        <v>9</v>
      </c>
      <c r="AO75">
        <f>AM75+1</f>
        <v>10</v>
      </c>
      <c r="AQ75">
        <f>AO75+1</f>
        <v>11</v>
      </c>
      <c r="AS75">
        <f>AQ75+1</f>
        <v>12</v>
      </c>
      <c r="AU75">
        <f>AS75+1</f>
        <v>13</v>
      </c>
      <c r="AW75">
        <f>AU75+1</f>
        <v>14</v>
      </c>
      <c r="AY75">
        <f>AW75+1</f>
        <v>15</v>
      </c>
      <c r="BA75">
        <f>AY75+1</f>
        <v>16</v>
      </c>
      <c r="BC75">
        <f>BA75+1</f>
        <v>17</v>
      </c>
      <c r="BE75">
        <f>BC75+1</f>
        <v>18</v>
      </c>
      <c r="BG75">
        <f>BE75+1</f>
        <v>19</v>
      </c>
      <c r="BI75">
        <f>BG75+1</f>
        <v>20</v>
      </c>
      <c r="BK75">
        <f>BI75+1</f>
        <v>21</v>
      </c>
      <c r="CW75" s="1055"/>
      <c r="CX75" s="1150"/>
      <c r="CY75" s="1150"/>
      <c r="CZ75" s="1150"/>
      <c r="DA75" s="1150"/>
      <c r="DB75" s="1150"/>
      <c r="DC75" s="1150"/>
      <c r="DD75" s="1150"/>
      <c r="DE75" s="1150"/>
      <c r="DF75" s="1150"/>
      <c r="DG75" s="1150"/>
      <c r="DM75" s="290"/>
      <c r="DN75" s="290"/>
      <c r="DO75" s="290"/>
      <c r="DP75" s="290"/>
      <c r="DQ75" s="290"/>
      <c r="GH75" s="1224"/>
      <c r="GI75" s="1224"/>
      <c r="GJ75" s="1139">
        <v>1</v>
      </c>
      <c r="GK75" s="1139">
        <v>2</v>
      </c>
      <c r="GL75" s="1139">
        <v>3</v>
      </c>
      <c r="GM75" s="1139">
        <v>4</v>
      </c>
      <c r="GN75" s="1139">
        <v>5</v>
      </c>
      <c r="GO75" s="1139">
        <v>6</v>
      </c>
      <c r="GP75" s="1139">
        <v>7</v>
      </c>
      <c r="GQ75" s="1139">
        <v>8</v>
      </c>
      <c r="GR75" s="1139">
        <v>9</v>
      </c>
      <c r="GS75" s="1139">
        <v>10</v>
      </c>
      <c r="GT75" s="1139">
        <v>11</v>
      </c>
      <c r="GU75" s="1139">
        <v>12</v>
      </c>
      <c r="GV75" s="1139">
        <v>13</v>
      </c>
      <c r="GW75" s="1139">
        <v>14</v>
      </c>
      <c r="GX75" s="1139">
        <v>15</v>
      </c>
      <c r="GY75" s="1139">
        <v>16</v>
      </c>
      <c r="GZ75" s="1224"/>
      <c r="IU75" s="1222"/>
      <c r="IV75" s="1222"/>
      <c r="IW75" s="1170">
        <v>1</v>
      </c>
      <c r="IX75" s="1170">
        <v>2</v>
      </c>
      <c r="IY75" s="1170">
        <v>3</v>
      </c>
      <c r="IZ75" s="1170">
        <v>4</v>
      </c>
      <c r="JA75" s="1170">
        <v>5</v>
      </c>
      <c r="JB75" s="1170">
        <v>6</v>
      </c>
      <c r="JC75" s="1170">
        <v>7</v>
      </c>
      <c r="JD75" s="1170">
        <v>8</v>
      </c>
      <c r="JE75" s="1170">
        <v>9</v>
      </c>
      <c r="JF75" s="1170">
        <v>10</v>
      </c>
      <c r="JG75" s="1170">
        <v>11</v>
      </c>
      <c r="JH75" s="1170">
        <v>12</v>
      </c>
      <c r="JI75" s="1170">
        <v>13</v>
      </c>
      <c r="JJ75" s="1170">
        <v>14</v>
      </c>
      <c r="JK75" s="1170">
        <v>15</v>
      </c>
      <c r="JL75" s="1170">
        <v>16</v>
      </c>
      <c r="JM75" s="1222"/>
    </row>
    <row r="76" spans="15:273" x14ac:dyDescent="0.2">
      <c r="R76">
        <v>1</v>
      </c>
      <c r="S76">
        <f>IF(P66=TRUE,R76+1,R76)</f>
        <v>1</v>
      </c>
      <c r="T76">
        <f>S76+1</f>
        <v>2</v>
      </c>
      <c r="U76">
        <f>INDEX('Wind speed'!$B$21:$B$25,'Profile Data'!S76,1)</f>
        <v>54.3</v>
      </c>
      <c r="W76">
        <f>INDEX('Wind speed'!$C$20:$M$25,$T76,W$75)/INDEX('Wind speed'!$C$20:$M$25,$T$80,W$75)</f>
        <v>0.86787380587932605</v>
      </c>
      <c r="X76">
        <f>INDEX('u-component turbulence'!$C$20:$M$25,$T76,W$75)</f>
        <v>0.11876168260726419</v>
      </c>
      <c r="Y76">
        <f>INDEX('Wind speed'!$C$20:$M$25,$T76,Y$75)/INDEX('Wind speed'!$C$20:$M$25,$T$80,Y$75)</f>
        <v>0.84993459564857088</v>
      </c>
      <c r="Z76">
        <f>INDEX('u-component turbulence'!$C$20:$M$25,$T76,Y$75)</f>
        <v>0.13885112574490491</v>
      </c>
      <c r="AA76">
        <f>INDEX('Wind speed'!$C$20:$M$25,$T76,AA$75)/INDEX('Wind speed'!$C$20:$M$25,$T$80,AA$75)</f>
        <v>0.82092827772943755</v>
      </c>
      <c r="AB76">
        <f>INDEX('u-component turbulence'!$C$20:$M$25,$T76,AA$75)</f>
        <v>0.17156086620290423</v>
      </c>
      <c r="AC76">
        <f>INDEX('Wind speed'!$C$20:$M$25,$T76,AC$75)/INDEX('Wind speed'!$C$20:$M$25,$T$80,AC$75)</f>
        <v>0.78617383326549217</v>
      </c>
      <c r="AD76">
        <f>INDEX('u-component turbulence'!$C$20:$M$25,$T76,AC$75)</f>
        <v>0.20915595286716224</v>
      </c>
      <c r="AE76">
        <f>INDEX('Wind speed'!$C$20:$M$25,$T76,AE$75)/INDEX('Wind speed'!$C$20:$M$25,$T$80,AE$75)</f>
        <v>0.70069125342053973</v>
      </c>
      <c r="AF76">
        <f>INDEX('u-component turbulence'!$C$20:$M$25,$T76,AE$75)</f>
        <v>0.28780788720106526</v>
      </c>
      <c r="AG76">
        <f>INDEX('Wind speed'!$C$20:$M$25,$T76,AG$75)/INDEX('Wind speed'!$C$20:$M$25,$T$80,AG$75)</f>
        <v>0.86787380587932605</v>
      </c>
      <c r="AH76">
        <f>INDEX('u-component turbulence'!$C$20:$M$25,$T76,AG$75)</f>
        <v>0.11876168260726419</v>
      </c>
      <c r="AI76">
        <f>INDEX('Wind speed'!$C$20:$M$25,$T76,AI$75)/INDEX('Wind speed'!$C$20:$M$25,$T$80,AI$75)</f>
        <v>0.84993459564857088</v>
      </c>
      <c r="AJ76">
        <f>INDEX('u-component turbulence'!$C$20:$M$25,$T76,AI$75)</f>
        <v>0.13885112574490491</v>
      </c>
      <c r="AK76">
        <f>INDEX('Wind speed'!$C$20:$M$25,$T76,AK$75)/INDEX('Wind speed'!$C$20:$M$25,$T$80,AK$75)</f>
        <v>0.82092827772943755</v>
      </c>
      <c r="AL76">
        <f>INDEX('u-component turbulence'!$C$20:$M$25,$T76,AK$75)</f>
        <v>0.17156086620290423</v>
      </c>
      <c r="AM76">
        <f>INDEX('Wind speed'!$C$20:$M$25,$T76,AM$75)/INDEX('Wind speed'!$C$20:$M$25,$T$80,AM$75)</f>
        <v>0.78617383326549217</v>
      </c>
      <c r="AN76">
        <f>INDEX('u-component turbulence'!$C$20:$M$25,$T76,AM$75)</f>
        <v>0.20915595286716224</v>
      </c>
      <c r="AO76">
        <f>INDEX('Wind speed'!$C$20:$M$25,$T76,AO$75)/INDEX('Wind speed'!$C$20:$M$25,$T$80,AO$75)</f>
        <v>0.70069125342053973</v>
      </c>
      <c r="AP76">
        <f>INDEX('u-component turbulence'!$C$20:$M$25,$T76,AO$75)</f>
        <v>0.28780788720106526</v>
      </c>
      <c r="AQ76">
        <f>INDEX('Wind speed'!$C$20:$M$25,$T76,AQ$75)/INDEX('Wind speed'!$C$20:$M$25,$T$80,AQ$75)</f>
        <v>0.86787380587932605</v>
      </c>
      <c r="AR76">
        <f>INDEX('u-component turbulence'!$C$20:$M$25,$T76,AQ$75)</f>
        <v>0.11876168260726419</v>
      </c>
      <c r="AS76">
        <f>INDEX('Wind speed'!$C$20:$AA$25,$T76,AS$75)/INDEX('Wind speed'!$C$20:$AA$25,$T$80,AS$75)</f>
        <v>0.84993459564857088</v>
      </c>
      <c r="AT76">
        <f>INDEX('u-component turbulence'!$C$20:$AA$25,$T76,AS$75)</f>
        <v>0.13885112574490491</v>
      </c>
      <c r="AU76">
        <f>INDEX('Wind speed'!$C$20:$AA$25,$T76,AU$75)/INDEX('Wind speed'!$C$20:$AA$25,$T$80,AU$75)</f>
        <v>0.82092827772943755</v>
      </c>
      <c r="AV76">
        <f>INDEX('u-component turbulence'!$C$20:$AA$25,$T76,AU$75)</f>
        <v>0.17156086620290423</v>
      </c>
      <c r="AW76">
        <f>INDEX('Wind speed'!$C$20:$AA$25,$T76,AW$75)/INDEX('Wind speed'!$C$20:$AA$25,$T$80,AW$75)</f>
        <v>0.78617383326549217</v>
      </c>
      <c r="AX76">
        <f>INDEX('u-component turbulence'!$C$20:$AA$25,$T76,AW$75)</f>
        <v>0.20915595286716224</v>
      </c>
      <c r="AY76">
        <f>INDEX('Wind speed'!$C$20:$AA$25,$T76,AY$75)/INDEX('Wind speed'!$C$20:$AA$25,$T$80,AY$75)</f>
        <v>0.70069125342053973</v>
      </c>
      <c r="AZ76">
        <f>INDEX('u-component turbulence'!$C$20:$AA$25,$T76,AY$75)</f>
        <v>0.28780788720106526</v>
      </c>
      <c r="BA76">
        <f>INDEX('Wind speed'!$C$20:$AA$25,$T76,BA$75)/INDEX('Wind speed'!$C$20:$AA$25,$T$80,BA$75)</f>
        <v>0.74123947910992816</v>
      </c>
      <c r="BB76">
        <f>INDEX('u-component turbulence'!$C$20:$AA$25,$T76,BA$75)</f>
        <v>0.25027839599239898</v>
      </c>
      <c r="BC76">
        <f>INDEX('Wind speed'!$C$20:$AA$25,$T76,BC$75)/INDEX('Wind speed'!$C$20:$AA$25,$T$80,BC$75)</f>
        <v>0.77496761455787033</v>
      </c>
      <c r="BD76">
        <f>INDEX('u-component turbulence'!$C$20:$AA$25,$T76,BC$75)</f>
        <v>0.2203684352481885</v>
      </c>
      <c r="BE76" t="e">
        <f>INDEX('Wind speed'!$C$20:$AA$25,$T76,BE$75)/INDEX('Wind speed'!$C$20:$AA$25,$T$80,BE$75)</f>
        <v>#DIV/0!</v>
      </c>
      <c r="BF76">
        <f>INDEX('u-component turbulence'!$C$20:$AA$25,$T76,BE$75)</f>
        <v>0</v>
      </c>
      <c r="BG76" t="e">
        <f>INDEX('Wind speed'!$C$20:$AA$25,$T76,BG$75)/INDEX('Wind speed'!$C$20:$AA$25,$T$80,BG$75)</f>
        <v>#DIV/0!</v>
      </c>
      <c r="BH76">
        <f>INDEX('u-component turbulence'!$C$20:$AA$25,$T76,BG$75)</f>
        <v>0</v>
      </c>
      <c r="BI76" t="e">
        <f>INDEX('Wind speed'!$C$20:$AA$25,$T76,BI$75)/INDEX('Wind speed'!$C$20:$AA$25,$T$80,BI$75)</f>
        <v>#DIV/0!</v>
      </c>
      <c r="BJ76">
        <f>INDEX('u-component turbulence'!$C$20:$AA$25,$T76,BI$75)</f>
        <v>0</v>
      </c>
      <c r="BK76" t="e">
        <f>INDEX('Wind speed'!$C$20:$AA$25,$T76,BK$75)/INDEX('Wind speed'!$C$20:$AA$25,$T$80,BK$75)</f>
        <v>#DIV/0!</v>
      </c>
      <c r="BL76">
        <f>INDEX('u-component turbulence'!$C$20:$AA$25,$T76,BK$75)</f>
        <v>0</v>
      </c>
      <c r="CW76" s="1055"/>
      <c r="CX76" s="1150"/>
      <c r="CY76" s="1150"/>
      <c r="CZ76" s="1150"/>
      <c r="DA76" s="1150"/>
      <c r="DB76" s="1150"/>
      <c r="DC76" s="1150"/>
      <c r="DD76" s="1150"/>
      <c r="DE76" s="1150"/>
      <c r="DF76" s="1150"/>
      <c r="DG76" s="1150"/>
      <c r="DM76" s="290"/>
      <c r="DN76" s="290"/>
      <c r="DO76" s="290"/>
      <c r="DP76" s="290"/>
      <c r="DQ76" s="290"/>
      <c r="GH76" s="1025" t="s">
        <v>699</v>
      </c>
      <c r="GI76" s="1065">
        <v>55</v>
      </c>
      <c r="GJ76" s="1065">
        <v>0</v>
      </c>
      <c r="GK76" s="1065">
        <v>7</v>
      </c>
      <c r="GL76" s="1065">
        <v>7</v>
      </c>
      <c r="GM76" s="1065">
        <v>7</v>
      </c>
      <c r="GN76" s="1065">
        <v>7</v>
      </c>
      <c r="GO76" s="1065">
        <v>7</v>
      </c>
      <c r="GP76" s="1065">
        <v>7</v>
      </c>
      <c r="GQ76" s="1065">
        <v>7</v>
      </c>
      <c r="GR76" s="1065">
        <v>5</v>
      </c>
      <c r="GS76" s="1065">
        <v>5</v>
      </c>
      <c r="GT76" s="1065">
        <v>5</v>
      </c>
      <c r="GU76" s="1065">
        <v>5</v>
      </c>
      <c r="GV76" s="1065">
        <v>5</v>
      </c>
      <c r="GW76" s="1065">
        <v>5</v>
      </c>
      <c r="GX76" s="1065">
        <v>5</v>
      </c>
      <c r="GY76" s="1065">
        <v>5</v>
      </c>
      <c r="GZ76" s="1065">
        <v>40</v>
      </c>
      <c r="IU76" s="1025" t="s">
        <v>780</v>
      </c>
      <c r="IV76" s="1065">
        <v>56</v>
      </c>
      <c r="IW76" s="1065">
        <v>0</v>
      </c>
      <c r="IX76" s="1065">
        <v>9</v>
      </c>
      <c r="IY76" s="1065">
        <v>9</v>
      </c>
      <c r="IZ76" s="1065">
        <v>9</v>
      </c>
      <c r="JA76" s="1065">
        <v>9</v>
      </c>
      <c r="JB76" s="1065">
        <v>9</v>
      </c>
      <c r="JC76" s="1065">
        <v>9</v>
      </c>
      <c r="JD76" s="1065">
        <v>9</v>
      </c>
      <c r="JE76" s="1065">
        <v>0</v>
      </c>
      <c r="JF76" s="1065">
        <v>0</v>
      </c>
      <c r="JG76" s="1065">
        <v>0</v>
      </c>
      <c r="JH76" s="1065">
        <v>0</v>
      </c>
      <c r="JI76" s="1065">
        <v>0</v>
      </c>
      <c r="JJ76" s="1065">
        <v>0</v>
      </c>
      <c r="JK76" s="1065">
        <v>0</v>
      </c>
      <c r="JL76" s="1065">
        <v>0</v>
      </c>
      <c r="JM76" s="1065">
        <v>28</v>
      </c>
    </row>
    <row r="77" spans="15:273" x14ac:dyDescent="0.2">
      <c r="R77">
        <v>2</v>
      </c>
      <c r="S77">
        <f t="shared" ref="S77:S80" si="122">IF(P67=TRUE,R77+1,R77)</f>
        <v>2</v>
      </c>
      <c r="T77">
        <f t="shared" ref="T77:T80" si="123">S77+1</f>
        <v>3</v>
      </c>
      <c r="U77">
        <f>INDEX('Wind speed'!$B$21:$B$25,'Profile Data'!S77,1)</f>
        <v>90.5</v>
      </c>
      <c r="W77">
        <f>INDEX('Wind speed'!$C$20:$M$25,$T77,W$75)/INDEX('Wind speed'!$C$20:$M$25,$T$80,W$75)</f>
        <v>0.92110277748430969</v>
      </c>
      <c r="X77">
        <f>INDEX('u-component turbulence'!$C$20:$M$25,$T77,W$75)</f>
        <v>0.10831853440350793</v>
      </c>
      <c r="Y77">
        <f>INDEX('Wind speed'!$C$20:$M$25,$T77,Y$75)/INDEX('Wind speed'!$C$20:$M$25,$T$80,Y$75)</f>
        <v>0.91060049992037162</v>
      </c>
      <c r="Z77">
        <f>INDEX('u-component turbulence'!$C$20:$M$25,$T77,Y$75)</f>
        <v>0.12771035885288606</v>
      </c>
      <c r="AA77">
        <f>INDEX('Wind speed'!$C$20:$M$25,$T77,AA$75)/INDEX('Wind speed'!$C$20:$M$25,$T$80,AA$75)</f>
        <v>0.89362044591418988</v>
      </c>
      <c r="AB77">
        <f>INDEX('u-component turbulence'!$C$20:$M$25,$T77,AA$75)</f>
        <v>0.15865955979843302</v>
      </c>
      <c r="AC77">
        <f>INDEX('Wind speed'!$C$20:$M$25,$T77,AC$75)/INDEX('Wind speed'!$C$20:$M$25,$T$80,AC$75)</f>
        <v>0.87132822043563241</v>
      </c>
      <c r="AD77">
        <f>INDEX('u-component turbulence'!$C$20:$M$25,$T77,AC$75)</f>
        <v>0.19219132769084138</v>
      </c>
      <c r="AE77">
        <f>INDEX('Wind speed'!$C$20:$M$25,$T77,AE$75)/INDEX('Wind speed'!$C$20:$M$25,$T$80,AE$75)</f>
        <v>0.82778054224254483</v>
      </c>
      <c r="AF77">
        <f>INDEX('u-component turbulence'!$C$20:$M$25,$T77,AE$75)</f>
        <v>0.25349746759784308</v>
      </c>
      <c r="AG77">
        <f>INDEX('Wind speed'!$C$20:$M$25,$T77,AG$75)/INDEX('Wind speed'!$C$20:$M$25,$T$80,AG$75)</f>
        <v>0.92110277748430969</v>
      </c>
      <c r="AH77">
        <f>INDEX('u-component turbulence'!$C$20:$M$25,$T77,AG$75)</f>
        <v>0.10831853440350793</v>
      </c>
      <c r="AI77">
        <f>INDEX('Wind speed'!$C$20:$M$25,$T77,AI$75)/INDEX('Wind speed'!$C$20:$M$25,$T$80,AI$75)</f>
        <v>0.91060049992037162</v>
      </c>
      <c r="AJ77">
        <f>INDEX('u-component turbulence'!$C$20:$M$25,$T77,AI$75)</f>
        <v>0.12771035885288606</v>
      </c>
      <c r="AK77">
        <f>INDEX('Wind speed'!$C$20:$M$25,$T77,AK$75)/INDEX('Wind speed'!$C$20:$M$25,$T$80,AK$75)</f>
        <v>0.89362044591418988</v>
      </c>
      <c r="AL77">
        <f>INDEX('u-component turbulence'!$C$20:$M$25,$T77,AK$75)</f>
        <v>0.15865955979843302</v>
      </c>
      <c r="AM77">
        <f>INDEX('Wind speed'!$C$20:$M$25,$T77,AM$75)/INDEX('Wind speed'!$C$20:$M$25,$T$80,AM$75)</f>
        <v>0.87132822043563241</v>
      </c>
      <c r="AN77">
        <f>INDEX('u-component turbulence'!$C$20:$M$25,$T77,AM$75)</f>
        <v>0.19219132769084138</v>
      </c>
      <c r="AO77">
        <f>INDEX('Wind speed'!$C$20:$M$25,$T77,AO$75)/INDEX('Wind speed'!$C$20:$M$25,$T$80,AO$75)</f>
        <v>0.82778054224254483</v>
      </c>
      <c r="AP77">
        <f>INDEX('u-component turbulence'!$C$20:$M$25,$T77,AO$75)</f>
        <v>0.25349746759784308</v>
      </c>
      <c r="AQ77">
        <f>INDEX('Wind speed'!$C$20:$M$25,$T77,AQ$75)/INDEX('Wind speed'!$C$20:$M$25,$T$80,AQ$75)</f>
        <v>0.92110277748430969</v>
      </c>
      <c r="AR77">
        <f>INDEX('u-component turbulence'!$C$20:$M$25,$T77,AQ$75)</f>
        <v>0.10831853440350793</v>
      </c>
      <c r="AS77">
        <f>INDEX('Wind speed'!$C$20:$AA$25,$T77,AS$75)/INDEX('Wind speed'!$C$20:$AA$25,$T$80,AS$75)</f>
        <v>0.91060049992037162</v>
      </c>
      <c r="AT77">
        <f>INDEX('u-component turbulence'!$C$20:$AA$25,$T77,AS$75)</f>
        <v>0.12771035885288606</v>
      </c>
      <c r="AU77">
        <f>INDEX('Wind speed'!$C$20:$AA$25,$T77,AU$75)/INDEX('Wind speed'!$C$20:$AA$25,$T$80,AU$75)</f>
        <v>0.89362044591418988</v>
      </c>
      <c r="AV77">
        <f>INDEX('u-component turbulence'!$C$20:$AA$25,$T77,AU$75)</f>
        <v>0.15865955979843302</v>
      </c>
      <c r="AW77">
        <f>INDEX('Wind speed'!$C$20:$AA$25,$T77,AW$75)/INDEX('Wind speed'!$C$20:$AA$25,$T$80,AW$75)</f>
        <v>0.87132822043563241</v>
      </c>
      <c r="AX77">
        <f>INDEX('u-component turbulence'!$C$20:$AA$25,$T77,AW$75)</f>
        <v>0.19219132769084138</v>
      </c>
      <c r="AY77">
        <f>INDEX('Wind speed'!$C$20:$AA$25,$T77,AY$75)/INDEX('Wind speed'!$C$20:$AA$25,$T$80,AY$75)</f>
        <v>0.82778054224254483</v>
      </c>
      <c r="AZ77">
        <f>INDEX('u-component turbulence'!$C$20:$AA$25,$T77,AY$75)</f>
        <v>0.25349746759784308</v>
      </c>
      <c r="BA77">
        <f>INDEX('Wind speed'!$C$20:$AA$25,$T77,BA$75)/INDEX('Wind speed'!$C$20:$AA$25,$T$80,BA$75)</f>
        <v>0.84741847415272831</v>
      </c>
      <c r="BB77">
        <f>INDEX('u-component turbulence'!$C$20:$AA$25,$T77,BA$75)</f>
        <v>0.22628156778788744</v>
      </c>
      <c r="BC77">
        <f>INDEX('Wind speed'!$C$20:$AA$25,$T77,BC$75)/INDEX('Wind speed'!$C$20:$AA$25,$T$80,BC$75)</f>
        <v>0.86652834218292007</v>
      </c>
      <c r="BD77">
        <f>INDEX('u-component turbulence'!$C$20:$AA$25,$T77,BC$75)</f>
        <v>0.20145727326186952</v>
      </c>
      <c r="BE77" t="e">
        <f>INDEX('Wind speed'!$C$20:$AA$25,$T77,BE$75)/INDEX('Wind speed'!$C$20:$AA$25,$T$80,BE$75)</f>
        <v>#DIV/0!</v>
      </c>
      <c r="BF77">
        <f>INDEX('u-component turbulence'!$C$20:$AA$25,$T77,BE$75)</f>
        <v>0</v>
      </c>
      <c r="BG77" t="e">
        <f>INDEX('Wind speed'!$C$20:$AA$25,$T77,BG$75)/INDEX('Wind speed'!$C$20:$AA$25,$T$80,BG$75)</f>
        <v>#DIV/0!</v>
      </c>
      <c r="BH77">
        <f>INDEX('u-component turbulence'!$C$20:$AA$25,$T77,BG$75)</f>
        <v>0</v>
      </c>
      <c r="BI77" t="e">
        <f>INDEX('Wind speed'!$C$20:$AA$25,$T77,BI$75)/INDEX('Wind speed'!$C$20:$AA$25,$T$80,BI$75)</f>
        <v>#DIV/0!</v>
      </c>
      <c r="BJ77">
        <f>INDEX('u-component turbulence'!$C$20:$AA$25,$T77,BI$75)</f>
        <v>0</v>
      </c>
      <c r="BK77" t="e">
        <f>INDEX('Wind speed'!$C$20:$AA$25,$T77,BK$75)/INDEX('Wind speed'!$C$20:$AA$25,$T$80,BK$75)</f>
        <v>#DIV/0!</v>
      </c>
      <c r="BL77">
        <f>INDEX('u-component turbulence'!$C$20:$AA$25,$T77,BK$75)</f>
        <v>0</v>
      </c>
      <c r="CW77" s="1055"/>
      <c r="CX77" s="1150"/>
      <c r="CY77" s="1150"/>
      <c r="CZ77" s="1150"/>
      <c r="DA77" s="1150"/>
      <c r="DB77" s="1150"/>
      <c r="DC77" s="1150"/>
      <c r="DD77" s="1150"/>
      <c r="DE77" s="1150"/>
      <c r="DF77" s="1150"/>
      <c r="DG77" s="1150"/>
      <c r="DM77" s="290"/>
      <c r="DN77" s="290"/>
      <c r="DO77" s="290"/>
      <c r="DP77" s="290"/>
      <c r="DQ77" s="290"/>
      <c r="GH77" s="1025" t="s">
        <v>700</v>
      </c>
      <c r="GI77" s="1065">
        <v>55</v>
      </c>
      <c r="GJ77" s="1065">
        <v>0</v>
      </c>
      <c r="GK77" s="1065">
        <v>7</v>
      </c>
      <c r="GL77" s="1065">
        <v>7</v>
      </c>
      <c r="GM77" s="1065">
        <v>7</v>
      </c>
      <c r="GN77" s="1065">
        <v>7</v>
      </c>
      <c r="GO77" s="1065">
        <v>7</v>
      </c>
      <c r="GP77" s="1065">
        <v>7</v>
      </c>
      <c r="GQ77" s="1065">
        <v>7</v>
      </c>
      <c r="GR77" s="1065">
        <v>5</v>
      </c>
      <c r="GS77" s="1065">
        <v>5</v>
      </c>
      <c r="GT77" s="1065">
        <v>5</v>
      </c>
      <c r="GU77" s="1065">
        <v>5</v>
      </c>
      <c r="GV77" s="1065">
        <v>5</v>
      </c>
      <c r="GW77" s="1065">
        <v>5</v>
      </c>
      <c r="GX77" s="1065">
        <v>5</v>
      </c>
      <c r="GY77" s="1065">
        <v>5</v>
      </c>
      <c r="GZ77" s="1065">
        <v>65</v>
      </c>
      <c r="IU77" s="1025" t="s">
        <v>781</v>
      </c>
      <c r="IV77" s="1065">
        <v>56</v>
      </c>
      <c r="IW77" s="1065">
        <v>0</v>
      </c>
      <c r="IX77" s="1065">
        <v>9</v>
      </c>
      <c r="IY77" s="1065">
        <v>9</v>
      </c>
      <c r="IZ77" s="1065">
        <v>9</v>
      </c>
      <c r="JA77" s="1065">
        <v>9</v>
      </c>
      <c r="JB77" s="1065">
        <v>9</v>
      </c>
      <c r="JC77" s="1065">
        <v>9</v>
      </c>
      <c r="JD77" s="1065">
        <v>9</v>
      </c>
      <c r="JE77" s="1065">
        <v>0</v>
      </c>
      <c r="JF77" s="1065">
        <v>0</v>
      </c>
      <c r="JG77" s="1065">
        <v>0</v>
      </c>
      <c r="JH77" s="1065">
        <v>0</v>
      </c>
      <c r="JI77" s="1065">
        <v>0</v>
      </c>
      <c r="JJ77" s="1065">
        <v>0</v>
      </c>
      <c r="JK77" s="1065">
        <v>0</v>
      </c>
      <c r="JL77" s="1065">
        <v>0</v>
      </c>
      <c r="JM77" s="1065">
        <v>50</v>
      </c>
    </row>
    <row r="78" spans="15:273" ht="15" x14ac:dyDescent="0.25">
      <c r="R78">
        <v>3</v>
      </c>
      <c r="S78">
        <f t="shared" si="122"/>
        <v>3</v>
      </c>
      <c r="T78">
        <f t="shared" si="123"/>
        <v>4</v>
      </c>
      <c r="U78">
        <f>INDEX('Wind speed'!$B$21:$B$25,'Profile Data'!S78,1)</f>
        <v>120.7</v>
      </c>
      <c r="W78">
        <f>INDEX('Wind speed'!$C$20:$M$25,$T78,W$75)/INDEX('Wind speed'!$C$20:$M$25,$T$80,W$75)</f>
        <v>0.95270099144088338</v>
      </c>
      <c r="X78">
        <f>INDEX('u-component turbulence'!$C$20:$M$25,$T78,W$75)</f>
        <v>0.10136646185266636</v>
      </c>
      <c r="Y78">
        <f>INDEX('Wind speed'!$C$20:$M$25,$T78,Y$75)/INDEX('Wind speed'!$C$20:$M$25,$T$80,Y$75)</f>
        <v>0.94648777851755006</v>
      </c>
      <c r="Z78">
        <f>INDEX('u-component turbulence'!$C$20:$M$25,$T78,Y$75)</f>
        <v>0.12033426426237992</v>
      </c>
      <c r="AA78">
        <f>INDEX('Wind speed'!$C$20:$M$25,$T78,AA$75)/INDEX('Wind speed'!$C$20:$M$25,$T$80,AA$75)</f>
        <v>0.93644320316623231</v>
      </c>
      <c r="AB78">
        <f>INDEX('u-component turbulence'!$C$20:$M$25,$T78,AA$75)</f>
        <v>0.15041439697904124</v>
      </c>
      <c r="AC78">
        <f>INDEX('Wind speed'!$C$20:$M$25,$T78,AC$75)/INDEX('Wind speed'!$C$20:$M$25,$T$80,AC$75)</f>
        <v>0.92205785336130397</v>
      </c>
      <c r="AD78">
        <f>INDEX('u-component turbulence'!$C$20:$M$25,$T78,AC$75)</f>
        <v>0.1811554897459601</v>
      </c>
      <c r="AE78">
        <f>INDEX('Wind speed'!$C$20:$M$25,$T78,AE$75)/INDEX('Wind speed'!$C$20:$M$25,$T$80,AE$75)</f>
        <v>0.89604606972087075</v>
      </c>
      <c r="AF78">
        <f>INDEX('u-component turbulence'!$C$20:$M$25,$T78,AE$75)</f>
        <v>0.23667254275369529</v>
      </c>
      <c r="AG78">
        <f>INDEX('Wind speed'!$C$20:$M$25,$T78,AG$75)/INDEX('Wind speed'!$C$20:$M$25,$T$80,AG$75)</f>
        <v>0.95270099144088338</v>
      </c>
      <c r="AH78">
        <f>INDEX('u-component turbulence'!$C$20:$M$25,$T78,AG$75)</f>
        <v>0.10136646185266636</v>
      </c>
      <c r="AI78">
        <f>INDEX('Wind speed'!$C$20:$M$25,$T78,AI$75)/INDEX('Wind speed'!$C$20:$M$25,$T$80,AI$75)</f>
        <v>0.94648777851755006</v>
      </c>
      <c r="AJ78">
        <f>INDEX('u-component turbulence'!$C$20:$M$25,$T78,AI$75)</f>
        <v>0.12033426426237992</v>
      </c>
      <c r="AK78">
        <f>INDEX('Wind speed'!$C$20:$M$25,$T78,AK$75)/INDEX('Wind speed'!$C$20:$M$25,$T$80,AK$75)</f>
        <v>0.93644320316623231</v>
      </c>
      <c r="AL78">
        <f>INDEX('u-component turbulence'!$C$20:$M$25,$T78,AK$75)</f>
        <v>0.15041439697904124</v>
      </c>
      <c r="AM78">
        <f>INDEX('Wind speed'!$C$20:$M$25,$T78,AM$75)/INDEX('Wind speed'!$C$20:$M$25,$T$80,AM$75)</f>
        <v>0.92205785336130397</v>
      </c>
      <c r="AN78">
        <f>INDEX('u-component turbulence'!$C$20:$M$25,$T78,AM$75)</f>
        <v>0.1811554897459601</v>
      </c>
      <c r="AO78">
        <f>INDEX('Wind speed'!$C$20:$M$25,$T78,AO$75)/INDEX('Wind speed'!$C$20:$M$25,$T$80,AO$75)</f>
        <v>0.89604606972087075</v>
      </c>
      <c r="AP78">
        <f>INDEX('u-component turbulence'!$C$20:$M$25,$T78,AO$75)</f>
        <v>0.23667254275369529</v>
      </c>
      <c r="AQ78">
        <f>INDEX('Wind speed'!$C$20:$M$25,$T78,AQ$75)/INDEX('Wind speed'!$C$20:$M$25,$T$80,AQ$75)</f>
        <v>0.95270099144088338</v>
      </c>
      <c r="AR78">
        <f>INDEX('u-component turbulence'!$C$20:$M$25,$T78,AQ$75)</f>
        <v>0.10136646185266636</v>
      </c>
      <c r="AS78">
        <f>INDEX('Wind speed'!$C$20:$AA$25,$T78,AS$75)/INDEX('Wind speed'!$C$20:$AA$25,$T$80,AS$75)</f>
        <v>0.94648777851755006</v>
      </c>
      <c r="AT78">
        <f>INDEX('u-component turbulence'!$C$20:$AA$25,$T78,AS$75)</f>
        <v>0.12033426426237992</v>
      </c>
      <c r="AU78">
        <f>INDEX('Wind speed'!$C$20:$AA$25,$T78,AU$75)/INDEX('Wind speed'!$C$20:$AA$25,$T$80,AU$75)</f>
        <v>0.93644320316623231</v>
      </c>
      <c r="AV78">
        <f>INDEX('u-component turbulence'!$C$20:$AA$25,$T78,AU$75)</f>
        <v>0.15041439697904124</v>
      </c>
      <c r="AW78">
        <f>INDEX('Wind speed'!$C$20:$AA$25,$T78,AW$75)/INDEX('Wind speed'!$C$20:$AA$25,$T$80,AW$75)</f>
        <v>0.92205785336130397</v>
      </c>
      <c r="AX78">
        <f>INDEX('u-component turbulence'!$C$20:$AA$25,$T78,AW$75)</f>
        <v>0.1811554897459601</v>
      </c>
      <c r="AY78">
        <f>INDEX('Wind speed'!$C$20:$AA$25,$T78,AY$75)/INDEX('Wind speed'!$C$20:$AA$25,$T$80,AY$75)</f>
        <v>0.89604606972087075</v>
      </c>
      <c r="AZ78">
        <f>INDEX('u-component turbulence'!$C$20:$AA$25,$T78,AY$75)</f>
        <v>0.23667254275369529</v>
      </c>
      <c r="BA78">
        <f>INDEX('Wind speed'!$C$20:$AA$25,$T78,BA$75)/INDEX('Wind speed'!$C$20:$AA$25,$T$80,BA$75)</f>
        <v>0.90891182200215537</v>
      </c>
      <c r="BB78">
        <f>INDEX('u-component turbulence'!$C$20:$AA$25,$T78,BA$75)</f>
        <v>0.21244327899944421</v>
      </c>
      <c r="BC78">
        <f>INDEX('Wind speed'!$C$20:$AA$25,$T78,BC$75)/INDEX('Wind speed'!$C$20:$AA$25,$T$80,BC$75)</f>
        <v>0.91847408514705686</v>
      </c>
      <c r="BD78">
        <f>INDEX('u-component turbulence'!$C$20:$AA$25,$T78,BC$75)</f>
        <v>0.18996455122229031</v>
      </c>
      <c r="BE78" t="e">
        <f>INDEX('Wind speed'!$C$20:$AA$25,$T78,BE$75)/INDEX('Wind speed'!$C$20:$AA$25,$T$80,BE$75)</f>
        <v>#DIV/0!</v>
      </c>
      <c r="BF78">
        <f>INDEX('u-component turbulence'!$C$20:$AA$25,$T78,BE$75)</f>
        <v>0</v>
      </c>
      <c r="BG78" t="e">
        <f>INDEX('Wind speed'!$C$20:$AA$25,$T78,BG$75)/INDEX('Wind speed'!$C$20:$AA$25,$T$80,BG$75)</f>
        <v>#DIV/0!</v>
      </c>
      <c r="BH78">
        <f>INDEX('u-component turbulence'!$C$20:$AA$25,$T78,BG$75)</f>
        <v>0</v>
      </c>
      <c r="BI78" t="e">
        <f>INDEX('Wind speed'!$C$20:$AA$25,$T78,BI$75)/INDEX('Wind speed'!$C$20:$AA$25,$T$80,BI$75)</f>
        <v>#DIV/0!</v>
      </c>
      <c r="BJ78">
        <f>INDEX('u-component turbulence'!$C$20:$AA$25,$T78,BI$75)</f>
        <v>0</v>
      </c>
      <c r="BK78" t="e">
        <f>INDEX('Wind speed'!$C$20:$AA$25,$T78,BK$75)/INDEX('Wind speed'!$C$20:$AA$25,$T$80,BK$75)</f>
        <v>#DIV/0!</v>
      </c>
      <c r="BL78">
        <f>INDEX('u-component turbulence'!$C$20:$AA$25,$T78,BK$75)</f>
        <v>0</v>
      </c>
      <c r="CW78" s="1055"/>
      <c r="CX78" s="1150"/>
      <c r="CY78" s="1150"/>
      <c r="CZ78" s="1150"/>
      <c r="DA78" s="1150"/>
      <c r="DB78" s="1150"/>
      <c r="DC78" s="1150"/>
      <c r="DD78" s="1150"/>
      <c r="DE78" s="1150"/>
      <c r="DF78" s="1150"/>
      <c r="DG78" s="1150"/>
      <c r="DM78" s="290"/>
      <c r="DN78" s="290"/>
      <c r="DO78" s="290"/>
      <c r="DP78" s="290"/>
      <c r="DQ78" s="290"/>
      <c r="GH78" s="1025" t="s">
        <v>701</v>
      </c>
      <c r="GI78" s="1065">
        <v>45</v>
      </c>
      <c r="GJ78" s="1065">
        <v>10</v>
      </c>
      <c r="GK78" s="1065">
        <v>10</v>
      </c>
      <c r="GL78" s="1065">
        <v>10</v>
      </c>
      <c r="GM78" s="1065">
        <v>10</v>
      </c>
      <c r="GN78" s="1065">
        <v>10</v>
      </c>
      <c r="GO78" s="1065">
        <v>10</v>
      </c>
      <c r="GP78" s="1065">
        <v>10</v>
      </c>
      <c r="GQ78" s="1065">
        <v>10</v>
      </c>
      <c r="GR78" s="1065">
        <v>10</v>
      </c>
      <c r="GS78" s="1065">
        <v>5</v>
      </c>
      <c r="GT78" s="1065">
        <v>5</v>
      </c>
      <c r="GU78" s="1065">
        <v>5</v>
      </c>
      <c r="GV78" s="1065">
        <v>5</v>
      </c>
      <c r="GW78" s="1065">
        <v>5</v>
      </c>
      <c r="GX78" s="1065">
        <v>5</v>
      </c>
      <c r="GY78" s="1065">
        <v>5</v>
      </c>
      <c r="GZ78" s="1065">
        <v>50</v>
      </c>
      <c r="IU78" s="1025" t="s">
        <v>782</v>
      </c>
      <c r="IV78" s="1141">
        <v>43</v>
      </c>
      <c r="IW78" s="1141">
        <v>16</v>
      </c>
      <c r="IX78" s="1141">
        <v>16</v>
      </c>
      <c r="IY78" s="1141">
        <v>16</v>
      </c>
      <c r="IZ78" s="1141">
        <v>16</v>
      </c>
      <c r="JA78" s="1141">
        <v>16</v>
      </c>
      <c r="JB78" s="1141">
        <v>5</v>
      </c>
      <c r="JC78" s="1141">
        <v>5</v>
      </c>
      <c r="JD78" s="1141">
        <v>5</v>
      </c>
      <c r="JE78" s="1141">
        <v>3</v>
      </c>
      <c r="JF78" s="1141">
        <v>3</v>
      </c>
      <c r="JG78" s="1141">
        <v>3</v>
      </c>
      <c r="JH78" s="1141">
        <v>3</v>
      </c>
      <c r="JI78" s="1141">
        <v>3</v>
      </c>
      <c r="JJ78" s="1141">
        <v>3</v>
      </c>
      <c r="JK78" s="1141">
        <v>3</v>
      </c>
      <c r="JL78" s="1141">
        <v>3</v>
      </c>
      <c r="JM78" s="1065">
        <v>30</v>
      </c>
    </row>
    <row r="79" spans="15:273" ht="15" x14ac:dyDescent="0.25">
      <c r="R79">
        <v>4</v>
      </c>
      <c r="S79">
        <f t="shared" si="122"/>
        <v>4</v>
      </c>
      <c r="T79">
        <f t="shared" si="123"/>
        <v>5</v>
      </c>
      <c r="U79">
        <f>INDEX('Wind speed'!$B$21:$B$25,'Profile Data'!S79,1)</f>
        <v>144.80000000000001</v>
      </c>
      <c r="W79">
        <f>INDEX('Wind speed'!$C$20:$M$25,$T79,W$75)/INDEX('Wind speed'!$C$20:$M$25,$T$80,W$75)</f>
        <v>0.97347953766249462</v>
      </c>
      <c r="X79">
        <f>INDEX('u-component turbulence'!$C$20:$M$25,$T79,W$75)</f>
        <v>9.6617106154629318E-2</v>
      </c>
      <c r="Y79">
        <f>INDEX('Wind speed'!$C$20:$M$25,$T79,Y$75)/INDEX('Wind speed'!$C$20:$M$25,$T$80,Y$75)</f>
        <v>0.97002774779067558</v>
      </c>
      <c r="Z79">
        <f>INDEX('u-component turbulence'!$C$20:$M$25,$T79,Y$75)</f>
        <v>0.115258672294374</v>
      </c>
      <c r="AA79">
        <f>INDEX('Wind speed'!$C$20:$M$25,$T79,AA$75)/INDEX('Wind speed'!$C$20:$M$25,$T$80,AA$75)</f>
        <v>0.96444792043721117</v>
      </c>
      <c r="AB79">
        <f>INDEX('u-component turbulence'!$C$20:$M$25,$T79,AA$75)</f>
        <v>0.14476606087004473</v>
      </c>
      <c r="AC79">
        <f>INDEX('Wind speed'!$C$20:$M$25,$T79,AC$75)/INDEX('Wind speed'!$C$20:$M$25,$T$80,AC$75)</f>
        <v>0.95614997458882656</v>
      </c>
      <c r="AD79">
        <f>INDEX('u-component turbulence'!$C$20:$M$25,$T79,AC$75)</f>
        <v>0.17333019251166634</v>
      </c>
      <c r="AE79">
        <f>INDEX('Wind speed'!$C$20:$M$25,$T79,AE$75)/INDEX('Wind speed'!$C$20:$M$25,$T$80,AE$75)</f>
        <v>0.94140611502933835</v>
      </c>
      <c r="AF79">
        <f>INDEX('u-component turbulence'!$C$20:$M$25,$T79,AE$75)</f>
        <v>0.22534371949097329</v>
      </c>
      <c r="AG79">
        <f>INDEX('Wind speed'!$C$20:$M$25,$T79,AG$75)/INDEX('Wind speed'!$C$20:$M$25,$T$80,AG$75)</f>
        <v>0.97347953766249462</v>
      </c>
      <c r="AH79">
        <f>INDEX('u-component turbulence'!$C$20:$M$25,$T79,AG$75)</f>
        <v>9.6617106154629318E-2</v>
      </c>
      <c r="AI79">
        <f>INDEX('Wind speed'!$C$20:$M$25,$T79,AI$75)/INDEX('Wind speed'!$C$20:$M$25,$T$80,AI$75)</f>
        <v>0.97002774779067558</v>
      </c>
      <c r="AJ79">
        <f>INDEX('u-component turbulence'!$C$20:$M$25,$T79,AI$75)</f>
        <v>0.115258672294374</v>
      </c>
      <c r="AK79">
        <f>INDEX('Wind speed'!$C$20:$M$25,$T79,AK$75)/INDEX('Wind speed'!$C$20:$M$25,$T$80,AK$75)</f>
        <v>0.96444792043721117</v>
      </c>
      <c r="AL79">
        <f>INDEX('u-component turbulence'!$C$20:$M$25,$T79,AK$75)</f>
        <v>0.14476606087004473</v>
      </c>
      <c r="AM79">
        <f>INDEX('Wind speed'!$C$20:$M$25,$T79,AM$75)/INDEX('Wind speed'!$C$20:$M$25,$T$80,AM$75)</f>
        <v>0.95614997458882656</v>
      </c>
      <c r="AN79">
        <f>INDEX('u-component turbulence'!$C$20:$M$25,$T79,AM$75)</f>
        <v>0.17333019251166634</v>
      </c>
      <c r="AO79">
        <f>INDEX('Wind speed'!$C$20:$M$25,$T79,AO$75)/INDEX('Wind speed'!$C$20:$M$25,$T$80,AO$75)</f>
        <v>0.94140611502933835</v>
      </c>
      <c r="AP79">
        <f>INDEX('u-component turbulence'!$C$20:$M$25,$T79,AO$75)</f>
        <v>0.22534371949097329</v>
      </c>
      <c r="AQ79">
        <f>INDEX('Wind speed'!$C$20:$M$25,$T79,AQ$75)/INDEX('Wind speed'!$C$20:$M$25,$T$80,AQ$75)</f>
        <v>0.97347953766249462</v>
      </c>
      <c r="AR79">
        <f>INDEX('u-component turbulence'!$C$20:$M$25,$T79,AQ$75)</f>
        <v>9.6617106154629318E-2</v>
      </c>
      <c r="AS79">
        <f>INDEX('Wind speed'!$C$20:$AA$25,$T79,AS$75)/INDEX('Wind speed'!$C$20:$AA$25,$T$80,AS$75)</f>
        <v>0.97002774779067558</v>
      </c>
      <c r="AT79">
        <f>INDEX('u-component turbulence'!$C$20:$AA$25,$T79,AS$75)</f>
        <v>0.115258672294374</v>
      </c>
      <c r="AU79">
        <f>INDEX('Wind speed'!$C$20:$AA$25,$T79,AU$75)/INDEX('Wind speed'!$C$20:$AA$25,$T$80,AU$75)</f>
        <v>0.96444792043721117</v>
      </c>
      <c r="AV79">
        <f>INDEX('u-component turbulence'!$C$20:$AA$25,$T79,AU$75)</f>
        <v>0.14476606087004473</v>
      </c>
      <c r="AW79">
        <f>INDEX('Wind speed'!$C$20:$AA$25,$T79,AW$75)/INDEX('Wind speed'!$C$20:$AA$25,$T$80,AW$75)</f>
        <v>0.95614997458882656</v>
      </c>
      <c r="AX79">
        <f>INDEX('u-component turbulence'!$C$20:$AA$25,$T79,AW$75)</f>
        <v>0.17333019251166634</v>
      </c>
      <c r="AY79">
        <f>INDEX('Wind speed'!$C$20:$AA$25,$T79,AY$75)/INDEX('Wind speed'!$C$20:$AA$25,$T$80,AY$75)</f>
        <v>0.94140611502933835</v>
      </c>
      <c r="AZ79">
        <f>INDEX('u-component turbulence'!$C$20:$AA$25,$T79,AY$75)</f>
        <v>0.22534371949097329</v>
      </c>
      <c r="BA79">
        <f>INDEX('Wind speed'!$C$20:$AA$25,$T79,BA$75)/INDEX('Wind speed'!$C$20:$AA$25,$T$80,BA$75)</f>
        <v>0.94916291396782271</v>
      </c>
      <c r="BB79">
        <f>INDEX('u-component turbulence'!$C$20:$AA$25,$T79,BA$75)</f>
        <v>0.20305576040963857</v>
      </c>
      <c r="BC79">
        <f>INDEX('Wind speed'!$C$20:$AA$25,$T79,BC$75)/INDEX('Wind speed'!$C$20:$AA$25,$T$80,BC$75)</f>
        <v>0.95393609813897018</v>
      </c>
      <c r="BD79">
        <f>INDEX('u-component turbulence'!$C$20:$AA$25,$T79,BC$75)</f>
        <v>0.18168534700504313</v>
      </c>
      <c r="BE79" t="e">
        <f>INDEX('Wind speed'!$C$20:$AA$25,$T79,BE$75)/INDEX('Wind speed'!$C$20:$AA$25,$T$80,BE$75)</f>
        <v>#DIV/0!</v>
      </c>
      <c r="BF79">
        <f>INDEX('u-component turbulence'!$C$20:$AA$25,$T79,BE$75)</f>
        <v>0</v>
      </c>
      <c r="BG79" t="e">
        <f>INDEX('Wind speed'!$C$20:$AA$25,$T79,BG$75)/INDEX('Wind speed'!$C$20:$AA$25,$T$80,BG$75)</f>
        <v>#DIV/0!</v>
      </c>
      <c r="BH79">
        <f>INDEX('u-component turbulence'!$C$20:$AA$25,$T79,BG$75)</f>
        <v>0</v>
      </c>
      <c r="BI79" t="e">
        <f>INDEX('Wind speed'!$C$20:$AA$25,$T79,BI$75)/INDEX('Wind speed'!$C$20:$AA$25,$T$80,BI$75)</f>
        <v>#DIV/0!</v>
      </c>
      <c r="BJ79">
        <f>INDEX('u-component turbulence'!$C$20:$AA$25,$T79,BI$75)</f>
        <v>0</v>
      </c>
      <c r="BK79" t="e">
        <f>INDEX('Wind speed'!$C$20:$AA$25,$T79,BK$75)/INDEX('Wind speed'!$C$20:$AA$25,$T$80,BK$75)</f>
        <v>#DIV/0!</v>
      </c>
      <c r="BL79">
        <f>INDEX('u-component turbulence'!$C$20:$AA$25,$T79,BK$75)</f>
        <v>0</v>
      </c>
      <c r="CW79" s="1055"/>
      <c r="CX79" s="1150"/>
      <c r="CY79" s="1150"/>
      <c r="CZ79" s="1150"/>
      <c r="DA79" s="1150"/>
      <c r="DB79" s="1150"/>
      <c r="DC79" s="1150"/>
      <c r="DD79" s="1150"/>
      <c r="DE79" s="1150"/>
      <c r="DF79" s="1150"/>
      <c r="DG79" s="1150"/>
      <c r="DM79" s="290"/>
      <c r="DN79" s="290"/>
      <c r="DO79" s="290"/>
      <c r="DP79" s="290"/>
      <c r="DQ79" s="290"/>
      <c r="GH79" s="1025" t="s">
        <v>702</v>
      </c>
      <c r="GI79" s="1065">
        <v>45</v>
      </c>
      <c r="GJ79" s="1065">
        <v>10</v>
      </c>
      <c r="GK79" s="1065">
        <v>10</v>
      </c>
      <c r="GL79" s="1065">
        <v>10</v>
      </c>
      <c r="GM79" s="1065">
        <v>10</v>
      </c>
      <c r="GN79" s="1065">
        <v>10</v>
      </c>
      <c r="GO79" s="1065">
        <v>10</v>
      </c>
      <c r="GP79" s="1065">
        <v>10</v>
      </c>
      <c r="GQ79" s="1065">
        <v>10</v>
      </c>
      <c r="GR79" s="1065">
        <v>10</v>
      </c>
      <c r="GS79" s="1065">
        <v>5</v>
      </c>
      <c r="GT79" s="1065">
        <v>5</v>
      </c>
      <c r="GU79" s="1065">
        <v>5</v>
      </c>
      <c r="GV79" s="1065">
        <v>5</v>
      </c>
      <c r="GW79" s="1065">
        <v>5</v>
      </c>
      <c r="GX79" s="1065">
        <v>5</v>
      </c>
      <c r="GY79" s="1065">
        <v>5</v>
      </c>
      <c r="GZ79" s="1065">
        <v>75</v>
      </c>
      <c r="IU79" s="1025" t="s">
        <v>783</v>
      </c>
      <c r="IV79" s="1141">
        <v>43</v>
      </c>
      <c r="IW79" s="1141">
        <v>16</v>
      </c>
      <c r="IX79" s="1141">
        <v>16</v>
      </c>
      <c r="IY79" s="1141">
        <v>16</v>
      </c>
      <c r="IZ79" s="1141">
        <v>16</v>
      </c>
      <c r="JA79" s="1141">
        <v>16</v>
      </c>
      <c r="JB79" s="1141">
        <v>5</v>
      </c>
      <c r="JC79" s="1141">
        <v>5</v>
      </c>
      <c r="JD79" s="1141">
        <v>5</v>
      </c>
      <c r="JE79" s="1141">
        <v>3</v>
      </c>
      <c r="JF79" s="1141">
        <v>3</v>
      </c>
      <c r="JG79" s="1141">
        <v>3</v>
      </c>
      <c r="JH79" s="1141">
        <v>3</v>
      </c>
      <c r="JI79" s="1141">
        <v>3</v>
      </c>
      <c r="JJ79" s="1141">
        <v>3</v>
      </c>
      <c r="JK79" s="1141">
        <v>3</v>
      </c>
      <c r="JL79" s="1141">
        <v>3</v>
      </c>
      <c r="JM79" s="1065">
        <v>75</v>
      </c>
    </row>
    <row r="80" spans="15:273" x14ac:dyDescent="0.2">
      <c r="R80">
        <v>5</v>
      </c>
      <c r="S80">
        <f t="shared" si="122"/>
        <v>5</v>
      </c>
      <c r="T80">
        <f t="shared" si="123"/>
        <v>6</v>
      </c>
      <c r="U80">
        <f>INDEX('Wind speed'!$B$21:$B$25,'Profile Data'!S80,1)</f>
        <v>181</v>
      </c>
      <c r="W80">
        <f>INDEX('Wind speed'!$C$20:$M$25,$T80,W$75)/INDEX('Wind speed'!$C$20:$M$25,$T$80,W$75)</f>
        <v>1</v>
      </c>
      <c r="X80">
        <f>INDEX('u-component turbulence'!$C$20:$M$25,$T80,W$75)</f>
        <v>9.0508042085054211E-2</v>
      </c>
      <c r="Y80">
        <f>INDEX('Wind speed'!$C$20:$M$25,$T80,Y$75)/INDEX('Wind speed'!$C$20:$M$25,$T$80,Y$75)</f>
        <v>1</v>
      </c>
      <c r="Z80">
        <f>INDEX('u-component turbulence'!$C$20:$M$25,$T80,Y$75)</f>
        <v>0.10865124495504516</v>
      </c>
      <c r="AA80">
        <f>INDEX('Wind speed'!$C$20:$M$25,$T80,AA$75)/INDEX('Wind speed'!$C$20:$M$25,$T$80,AA$75)</f>
        <v>1</v>
      </c>
      <c r="AB80">
        <f>INDEX('u-component turbulence'!$C$20:$M$25,$T80,AA$75)</f>
        <v>0.13737139117112485</v>
      </c>
      <c r="AC80">
        <f>INDEX('Wind speed'!$C$20:$M$25,$T80,AC$75)/INDEX('Wind speed'!$C$20:$M$25,$T$80,AC$75)</f>
        <v>1</v>
      </c>
      <c r="AD80">
        <f>INDEX('u-component turbulence'!$C$20:$M$25,$T80,AC$75)</f>
        <v>0.16288386144561609</v>
      </c>
      <c r="AE80">
        <f>INDEX('Wind speed'!$C$20:$M$25,$T80,AE$75)/INDEX('Wind speed'!$C$20:$M$25,$T$80,AE$75)</f>
        <v>1</v>
      </c>
      <c r="AF80">
        <f>INDEX('u-component turbulence'!$C$20:$M$25,$T80,AE$75)</f>
        <v>0.21042092516257763</v>
      </c>
      <c r="AG80">
        <f>INDEX('Wind speed'!$C$20:$M$25,$T80,AG$75)/INDEX('Wind speed'!$C$20:$M$25,$T$80,AG$75)</f>
        <v>1</v>
      </c>
      <c r="AH80">
        <f>INDEX('u-component turbulence'!$C$20:$M$25,$T80,AG$75)</f>
        <v>9.0508042085054211E-2</v>
      </c>
      <c r="AI80">
        <f>INDEX('Wind speed'!$C$20:$M$25,$T80,AI$75)/INDEX('Wind speed'!$C$20:$M$25,$T$80,AI$75)</f>
        <v>1</v>
      </c>
      <c r="AJ80">
        <f>INDEX('u-component turbulence'!$C$20:$M$25,$T80,AI$75)</f>
        <v>0.10865124495504516</v>
      </c>
      <c r="AK80">
        <f>INDEX('Wind speed'!$C$20:$M$25,$T80,AK$75)/INDEX('Wind speed'!$C$20:$M$25,$T$80,AK$75)</f>
        <v>1</v>
      </c>
      <c r="AL80">
        <f>INDEX('u-component turbulence'!$C$20:$M$25,$T80,AK$75)</f>
        <v>0.13737139117112485</v>
      </c>
      <c r="AM80">
        <f>INDEX('Wind speed'!$C$20:$M$25,$T80,AM$75)/INDEX('Wind speed'!$C$20:$M$25,$T$80,AM$75)</f>
        <v>1</v>
      </c>
      <c r="AN80">
        <f>INDEX('u-component turbulence'!$C$20:$M$25,$T80,AM$75)</f>
        <v>0.16288386144561609</v>
      </c>
      <c r="AO80">
        <f>INDEX('Wind speed'!$C$20:$M$25,$T80,AO$75)/INDEX('Wind speed'!$C$20:$M$25,$T$80,AO$75)</f>
        <v>1</v>
      </c>
      <c r="AP80">
        <f>INDEX('u-component turbulence'!$C$20:$M$25,$T80,AO$75)</f>
        <v>0.21042092516257763</v>
      </c>
      <c r="AQ80">
        <f>INDEX('Wind speed'!$C$20:$M$25,$T80,AQ$75)/INDEX('Wind speed'!$C$20:$M$25,$T$80,AQ$75)</f>
        <v>1</v>
      </c>
      <c r="AR80">
        <f>INDEX('u-component turbulence'!$C$20:$M$25,$T80,AQ$75)</f>
        <v>9.0508042085054211E-2</v>
      </c>
      <c r="AS80">
        <f>INDEX('Wind speed'!$C$20:$AA$25,$T80,AS$75)/INDEX('Wind speed'!$C$20:$AA$25,$T$80,AS$75)</f>
        <v>1</v>
      </c>
      <c r="AT80">
        <f>INDEX('u-component turbulence'!$C$20:$AA$25,$T80,AS$75)</f>
        <v>0.10865124495504516</v>
      </c>
      <c r="AU80">
        <f>INDEX('Wind speed'!$C$20:$AA$25,$T80,AU$75)/INDEX('Wind speed'!$C$20:$AA$25,$T$80,AU$75)</f>
        <v>1</v>
      </c>
      <c r="AV80">
        <f>INDEX('u-component turbulence'!$C$20:$AA$25,$T80,AU$75)</f>
        <v>0.13737139117112485</v>
      </c>
      <c r="AW80">
        <f>INDEX('Wind speed'!$C$20:$AA$25,$T80,AW$75)/INDEX('Wind speed'!$C$20:$AA$25,$T$80,AW$75)</f>
        <v>1</v>
      </c>
      <c r="AX80">
        <f>INDEX('u-component turbulence'!$C$20:$AA$25,$T80,AW$75)</f>
        <v>0.16288386144561609</v>
      </c>
      <c r="AY80">
        <f>INDEX('Wind speed'!$C$20:$AA$25,$T80,AY$75)/INDEX('Wind speed'!$C$20:$AA$25,$T$80,AY$75)</f>
        <v>1</v>
      </c>
      <c r="AZ80">
        <f>INDEX('u-component turbulence'!$C$20:$AA$25,$T80,AY$75)</f>
        <v>0.21042092516257763</v>
      </c>
      <c r="BA80">
        <f>INDEX('Wind speed'!$C$20:$AA$25,$T80,BA$75)/INDEX('Wind speed'!$C$20:$AA$25,$T$80,BA$75)</f>
        <v>1</v>
      </c>
      <c r="BB80">
        <f>INDEX('u-component turbulence'!$C$20:$AA$25,$T80,BA$75)</f>
        <v>0.1906907498405612</v>
      </c>
      <c r="BC80">
        <f>INDEX('Wind speed'!$C$20:$AA$25,$T80,BC$75)/INDEX('Wind speed'!$C$20:$AA$25,$T$80,BC$75)</f>
        <v>1</v>
      </c>
      <c r="BD80">
        <f>INDEX('u-component turbulence'!$C$20:$AA$25,$T80,BC$75)</f>
        <v>0.17054669802623937</v>
      </c>
      <c r="BE80" t="e">
        <f>INDEX('Wind speed'!$C$20:$AA$25,$T80,BE$75)/INDEX('Wind speed'!$C$20:$AA$25,$T$80,BE$75)</f>
        <v>#DIV/0!</v>
      </c>
      <c r="BF80">
        <f>INDEX('u-component turbulence'!$C$20:$AA$25,$T80,BE$75)</f>
        <v>0</v>
      </c>
      <c r="BG80" t="e">
        <f>INDEX('Wind speed'!$C$20:$AA$25,$T80,BG$75)/INDEX('Wind speed'!$C$20:$AA$25,$T$80,BG$75)</f>
        <v>#DIV/0!</v>
      </c>
      <c r="BH80">
        <f>INDEX('u-component turbulence'!$C$20:$AA$25,$T80,BG$75)</f>
        <v>0</v>
      </c>
      <c r="BI80" t="e">
        <f>INDEX('Wind speed'!$C$20:$AA$25,$T80,BI$75)/INDEX('Wind speed'!$C$20:$AA$25,$T$80,BI$75)</f>
        <v>#DIV/0!</v>
      </c>
      <c r="BJ80">
        <f>INDEX('u-component turbulence'!$C$20:$AA$25,$T80,BI$75)</f>
        <v>0</v>
      </c>
      <c r="BK80" t="e">
        <f>INDEX('Wind speed'!$C$20:$AA$25,$T80,BK$75)/INDEX('Wind speed'!$C$20:$AA$25,$T$80,BK$75)</f>
        <v>#DIV/0!</v>
      </c>
      <c r="BL80">
        <f>INDEX('u-component turbulence'!$C$20:$AA$25,$T80,BK$75)</f>
        <v>0</v>
      </c>
      <c r="CW80" s="1055"/>
      <c r="CX80" s="1150"/>
      <c r="CY80" s="1150"/>
      <c r="CZ80" s="1150"/>
      <c r="DA80" s="1150"/>
      <c r="DB80" s="1150"/>
      <c r="DC80" s="1150"/>
      <c r="DD80" s="1150"/>
      <c r="DE80" s="1150"/>
      <c r="DF80" s="1150"/>
      <c r="DG80" s="1150"/>
      <c r="DM80" s="290"/>
      <c r="DN80" s="290"/>
      <c r="DO80" s="290"/>
      <c r="DP80" s="290"/>
      <c r="DQ80" s="290"/>
      <c r="GH80" s="1025" t="s">
        <v>703</v>
      </c>
      <c r="GI80" s="1065">
        <v>33</v>
      </c>
      <c r="GJ80" s="1065">
        <v>0</v>
      </c>
      <c r="GK80" s="1065">
        <v>10</v>
      </c>
      <c r="GL80" s="1065">
        <v>10</v>
      </c>
      <c r="GM80" s="1065">
        <v>10</v>
      </c>
      <c r="GN80" s="1065">
        <v>10</v>
      </c>
      <c r="GO80" s="1065">
        <v>10</v>
      </c>
      <c r="GP80" s="1065">
        <v>10</v>
      </c>
      <c r="GQ80" s="1065">
        <v>10</v>
      </c>
      <c r="GR80" s="1065">
        <v>8</v>
      </c>
      <c r="GS80" s="1065">
        <v>8</v>
      </c>
      <c r="GT80" s="1065">
        <v>8</v>
      </c>
      <c r="GU80" s="1065">
        <v>8</v>
      </c>
      <c r="GV80" s="1065">
        <v>8</v>
      </c>
      <c r="GW80" s="1065">
        <v>8</v>
      </c>
      <c r="GX80" s="1065">
        <v>8</v>
      </c>
      <c r="GY80" s="1065">
        <v>8</v>
      </c>
      <c r="GZ80" s="1065">
        <v>45</v>
      </c>
      <c r="IU80" s="1025" t="s">
        <v>784</v>
      </c>
      <c r="IV80" s="1065">
        <v>39</v>
      </c>
      <c r="IW80" s="1065">
        <v>0</v>
      </c>
      <c r="IX80" s="1065">
        <v>11</v>
      </c>
      <c r="IY80" s="1065">
        <v>11</v>
      </c>
      <c r="IZ80" s="1065">
        <v>11</v>
      </c>
      <c r="JA80" s="1065">
        <v>11</v>
      </c>
      <c r="JB80" s="1065">
        <v>11</v>
      </c>
      <c r="JC80" s="1065">
        <v>11</v>
      </c>
      <c r="JD80" s="1065">
        <v>11</v>
      </c>
      <c r="JE80" s="1065">
        <v>11</v>
      </c>
      <c r="JF80" s="1065">
        <v>11</v>
      </c>
      <c r="JG80" s="1065">
        <v>11</v>
      </c>
      <c r="JH80" s="1065">
        <v>9</v>
      </c>
      <c r="JI80" s="1065">
        <v>9</v>
      </c>
      <c r="JJ80" s="1065">
        <v>9</v>
      </c>
      <c r="JK80" s="1065">
        <v>9</v>
      </c>
      <c r="JL80" s="1065">
        <v>9</v>
      </c>
      <c r="JM80" s="1065">
        <v>45</v>
      </c>
    </row>
    <row r="81" spans="22:273" x14ac:dyDescent="0.2">
      <c r="BC81" s="293"/>
      <c r="BD81" s="293"/>
      <c r="CW81" s="1055"/>
      <c r="CX81" s="1150"/>
      <c r="CY81" s="1150"/>
      <c r="CZ81" s="1150"/>
      <c r="DA81" s="1150"/>
      <c r="DB81" s="1150"/>
      <c r="DC81" s="1150"/>
      <c r="DD81" s="1150"/>
      <c r="DE81" s="1150"/>
      <c r="DF81" s="1150"/>
      <c r="DG81" s="1150"/>
      <c r="DM81" s="290"/>
      <c r="DN81" s="290"/>
      <c r="DO81" s="290"/>
      <c r="DP81" s="290"/>
      <c r="DQ81" s="290"/>
      <c r="GH81" s="1025" t="s">
        <v>704</v>
      </c>
      <c r="GI81" s="1065">
        <v>33</v>
      </c>
      <c r="GJ81" s="1065">
        <v>0</v>
      </c>
      <c r="GK81" s="1065">
        <v>10</v>
      </c>
      <c r="GL81" s="1065">
        <v>10</v>
      </c>
      <c r="GM81" s="1065">
        <v>10</v>
      </c>
      <c r="GN81" s="1065">
        <v>10</v>
      </c>
      <c r="GO81" s="1065">
        <v>10</v>
      </c>
      <c r="GP81" s="1065">
        <v>10</v>
      </c>
      <c r="GQ81" s="1065">
        <v>10</v>
      </c>
      <c r="GR81" s="1065">
        <v>8</v>
      </c>
      <c r="GS81" s="1065">
        <v>8</v>
      </c>
      <c r="GT81" s="1065">
        <v>8</v>
      </c>
      <c r="GU81" s="1065">
        <v>8</v>
      </c>
      <c r="GV81" s="1065">
        <v>8</v>
      </c>
      <c r="GW81" s="1065">
        <v>8</v>
      </c>
      <c r="GX81" s="1065">
        <v>8</v>
      </c>
      <c r="GY81" s="1065">
        <v>8</v>
      </c>
      <c r="GZ81" s="1065">
        <v>98</v>
      </c>
      <c r="IU81" s="1025" t="s">
        <v>785</v>
      </c>
      <c r="IV81" s="1065">
        <v>39</v>
      </c>
      <c r="IW81" s="1065">
        <v>0</v>
      </c>
      <c r="IX81" s="1065">
        <v>11</v>
      </c>
      <c r="IY81" s="1065">
        <v>11</v>
      </c>
      <c r="IZ81" s="1065">
        <v>11</v>
      </c>
      <c r="JA81" s="1065">
        <v>11</v>
      </c>
      <c r="JB81" s="1065">
        <v>11</v>
      </c>
      <c r="JC81" s="1065">
        <v>11</v>
      </c>
      <c r="JD81" s="1065">
        <v>11</v>
      </c>
      <c r="JE81" s="1065">
        <v>11</v>
      </c>
      <c r="JF81" s="1065">
        <v>11</v>
      </c>
      <c r="JG81" s="1065">
        <v>11</v>
      </c>
      <c r="JH81" s="1065">
        <v>9</v>
      </c>
      <c r="JI81" s="1065">
        <v>9</v>
      </c>
      <c r="JJ81" s="1065">
        <v>9</v>
      </c>
      <c r="JK81" s="1065">
        <v>9</v>
      </c>
      <c r="JL81" s="1065">
        <v>9</v>
      </c>
      <c r="JM81" s="1065">
        <v>98</v>
      </c>
    </row>
    <row r="82" spans="22:273" x14ac:dyDescent="0.2">
      <c r="BA82" s="277"/>
      <c r="BB82" s="277"/>
      <c r="BC82" s="293"/>
      <c r="BD82" s="293"/>
      <c r="CW82" s="1055"/>
      <c r="CX82" s="1150"/>
      <c r="CY82" s="1150"/>
      <c r="CZ82" s="1150"/>
      <c r="DA82" s="1150"/>
      <c r="DB82" s="1150"/>
      <c r="DC82" s="1150"/>
      <c r="DD82" s="1150"/>
      <c r="DE82" s="1150"/>
      <c r="DF82" s="1150"/>
      <c r="DG82" s="1150"/>
      <c r="DM82" s="290"/>
      <c r="DN82" s="290"/>
      <c r="DO82" s="290"/>
      <c r="DP82" s="290"/>
      <c r="DQ82" s="290"/>
      <c r="GH82" s="1025" t="s">
        <v>705</v>
      </c>
      <c r="GI82" s="1065">
        <v>28</v>
      </c>
      <c r="GJ82" s="1065">
        <v>0</v>
      </c>
      <c r="GK82" s="1065">
        <v>17</v>
      </c>
      <c r="GL82" s="1065">
        <v>17</v>
      </c>
      <c r="GM82" s="1065">
        <v>17</v>
      </c>
      <c r="GN82" s="1065">
        <v>15</v>
      </c>
      <c r="GO82" s="1065">
        <v>15</v>
      </c>
      <c r="GP82" s="1065">
        <v>15</v>
      </c>
      <c r="GQ82" s="1065">
        <v>15</v>
      </c>
      <c r="GR82" s="1065">
        <v>15</v>
      </c>
      <c r="GS82" s="1065">
        <v>15</v>
      </c>
      <c r="GT82" s="1065">
        <v>15</v>
      </c>
      <c r="GU82" s="1065">
        <v>15</v>
      </c>
      <c r="GV82" s="1065">
        <v>15</v>
      </c>
      <c r="GW82" s="1065">
        <v>15</v>
      </c>
      <c r="GX82" s="1065">
        <v>15</v>
      </c>
      <c r="GY82" s="1065">
        <v>15</v>
      </c>
      <c r="GZ82" s="1065">
        <v>55</v>
      </c>
      <c r="IU82" s="1025" t="s">
        <v>786</v>
      </c>
      <c r="IV82" s="1065">
        <v>32</v>
      </c>
      <c r="IW82" s="1065">
        <v>0</v>
      </c>
      <c r="IX82" s="1065">
        <v>17</v>
      </c>
      <c r="IY82" s="1065">
        <v>17</v>
      </c>
      <c r="IZ82" s="1065">
        <v>17</v>
      </c>
      <c r="JA82" s="1065">
        <v>17</v>
      </c>
      <c r="JB82" s="1065">
        <v>17</v>
      </c>
      <c r="JC82" s="1065">
        <v>17</v>
      </c>
      <c r="JD82" s="1065">
        <v>17</v>
      </c>
      <c r="JE82" s="1065">
        <v>17</v>
      </c>
      <c r="JF82" s="1065">
        <v>17</v>
      </c>
      <c r="JG82" s="1065">
        <v>17</v>
      </c>
      <c r="JH82" s="1065">
        <v>15</v>
      </c>
      <c r="JI82" s="1065">
        <v>15</v>
      </c>
      <c r="JJ82" s="1065">
        <v>15</v>
      </c>
      <c r="JK82" s="1065">
        <v>15</v>
      </c>
      <c r="JL82" s="1065">
        <v>15</v>
      </c>
      <c r="JM82" s="1065">
        <v>45</v>
      </c>
    </row>
    <row r="83" spans="22:273" x14ac:dyDescent="0.2">
      <c r="V83">
        <v>1</v>
      </c>
      <c r="W83">
        <f t="array" aca="1" ref="W83" ca="1">SUM(ABS(INDIRECT(ADDRESS(66,22+($V83-1)*2+1)&amp;":"&amp;ADDRESS(70,22+($V83-1)*2+1))-W$76:W$80))</f>
        <v>2.6344241951754999E-2</v>
      </c>
      <c r="X83">
        <f t="array" aca="1" ref="X83" ca="1">SUM(ABS(INDIRECT(ADDRESS(66,22+($V83-1)*2+2)&amp;":"&amp;ADDRESS(70,22+($V83-1)*2+2))-X$76:X$80))</f>
        <v>2.411091801221292E-2</v>
      </c>
      <c r="Y83">
        <f t="array" aca="1" ref="Y83" ca="1">SUM(ABS(INDIRECT(ADDRESS(66,22+($V83-1)*2+1)&amp;":"&amp;ADDRESS(70,22+($V83-1)*2+1))-Y$76:Y$80))</f>
        <v>5.8325251086144947E-2</v>
      </c>
      <c r="Z83">
        <f t="array" aca="1" ref="Z83" ca="1">SUM(ABS(INDIRECT(ADDRESS(66,22+($V83-1)*2+2)&amp;":"&amp;ADDRESS(70,22+($V83-1)*2+2))-Z$76:Z$80))</f>
        <v>0.11934475701868097</v>
      </c>
      <c r="AA83">
        <f t="array" aca="1" ref="AA83" ca="1">SUM(ABS(INDIRECT(ADDRESS(66,22+($V83-1)*2+1)&amp;":"&amp;ADDRESS(70,22+($V83-1)*2+1))-AA$76:AA$80))</f>
        <v>0.11993602571624218</v>
      </c>
      <c r="AB83">
        <f t="array" aca="1" ref="AB83" ca="1">SUM(ABS(INDIRECT(ADDRESS(66,22+($V83-1)*2+2)&amp;":"&amp;ADDRESS(70,22+($V83-1)*2+2))-AB$76:AB$80))</f>
        <v>0.27131136593063898</v>
      </c>
      <c r="AC83">
        <f t="array" aca="1" ref="AC83" ca="1">SUM(ABS(INDIRECT(ADDRESS(66,22+($V83-1)*2+1)&amp;":"&amp;ADDRESS(70,22+($V83-1)*2+1))-AC$76:AC$80))</f>
        <v>0.19966599131205798</v>
      </c>
      <c r="AD83">
        <f t="array" aca="1" ref="AD83" ca="1">SUM(ABS(INDIRECT(ADDRESS(66,22+($V83-1)*2+2)&amp;":"&amp;ADDRESS(70,22+($V83-1)*2+2))-AD$76:AD$80))</f>
        <v>0.42725591517033706</v>
      </c>
      <c r="AE83">
        <f t="array" aca="1" ref="AE83" ca="1">SUM(ABS(INDIRECT(ADDRESS(66,22+($V83-1)*2+1)&amp;":"&amp;ADDRESS(70,22+($V83-1)*2+1))-AE$76:AE$80))</f>
        <v>0.36945189255001942</v>
      </c>
      <c r="AF83">
        <f t="array" aca="1" ref="AF83" ca="1">SUM(ABS(INDIRECT(ADDRESS(66,22+($V83-1)*2+2)&amp;":"&amp;ADDRESS(70,22+($V83-1)*2+2))-AF$76:AF$80))</f>
        <v>0.72228163311524551</v>
      </c>
      <c r="AG83">
        <f t="array" aca="1" ref="AG83" ca="1">SUM(ABS(INDIRECT(ADDRESS(66,22+($V83-1)*2+1)&amp;":"&amp;ADDRESS(70,22+($V83-1)*2+1))-AG$76:AG$80))</f>
        <v>2.6344241951754999E-2</v>
      </c>
      <c r="AH83">
        <f t="array" aca="1" ref="AH83" ca="1">SUM(ABS(INDIRECT(ADDRESS(66,22+($V83-1)*2+2)&amp;":"&amp;ADDRESS(70,22+($V83-1)*2+2))-AH$76:AH$80))</f>
        <v>2.411091801221292E-2</v>
      </c>
      <c r="AI83">
        <f t="array" aca="1" ref="AI83" ca="1">SUM(ABS(INDIRECT(ADDRESS(66,22+($V83-1)*2+1)&amp;":"&amp;ADDRESS(70,22+($V83-1)*2+1))-AI$76:AI$80))</f>
        <v>5.8325251086144947E-2</v>
      </c>
      <c r="AJ83">
        <f t="array" aca="1" ref="AJ83" ca="1">SUM(ABS(INDIRECT(ADDRESS(66,22+($V83-1)*2+2)&amp;":"&amp;ADDRESS(70,22+($V83-1)*2+2))-AJ$76:AJ$80))</f>
        <v>0.11934475701868097</v>
      </c>
      <c r="AK83">
        <f t="array" aca="1" ref="AK83" ca="1">SUM(ABS(INDIRECT(ADDRESS(66,22+($V83-1)*2+1)&amp;":"&amp;ADDRESS(70,22+($V83-1)*2+1))-AK$76:AK$80))</f>
        <v>0.11993602571624218</v>
      </c>
      <c r="AL83">
        <f t="array" aca="1" ref="AL83" ca="1">SUM(ABS(INDIRECT(ADDRESS(66,22+($V83-1)*2+2)&amp;":"&amp;ADDRESS(70,22+($V83-1)*2+2))-AL$76:AL$80))</f>
        <v>0.27131136593063898</v>
      </c>
      <c r="AM83">
        <f t="array" aca="1" ref="AM83" ca="1">SUM(ABS(INDIRECT(ADDRESS(66,22+($V83-1)*2+1)&amp;":"&amp;ADDRESS(70,22+($V83-1)*2+1))-AM$76:AM$80))</f>
        <v>0.19966599131205798</v>
      </c>
      <c r="AN83">
        <f t="array" aca="1" ref="AN83" ca="1">SUM(ABS(INDIRECT(ADDRESS(66,22+($V83-1)*2+2)&amp;":"&amp;ADDRESS(70,22+($V83-1)*2+2))-AN$76:AN$80))</f>
        <v>0.42725591517033706</v>
      </c>
      <c r="AO83">
        <f t="array" aca="1" ref="AO83" ca="1">SUM(ABS(INDIRECT(ADDRESS(66,22+($V83-1)*2+1)&amp;":"&amp;ADDRESS(70,22+($V83-1)*2+1))-AO$76:AO$80))</f>
        <v>0.36945189255001942</v>
      </c>
      <c r="AP83">
        <f t="array" aca="1" ref="AP83" ca="1">SUM(ABS(INDIRECT(ADDRESS(66,22+($V83-1)*2+2)&amp;":"&amp;ADDRESS(70,22+($V83-1)*2+2))-AP$76:AP$80))</f>
        <v>0.72228163311524551</v>
      </c>
      <c r="AQ83">
        <f t="array" aca="1" ref="AQ83" ca="1">SUM(ABS(INDIRECT(ADDRESS(66,22+($V83-1)*2+1)&amp;":"&amp;ADDRESS(70,22+($V83-1)*2+1))-AQ$76:AQ$80))</f>
        <v>2.6344241951754999E-2</v>
      </c>
      <c r="AR83">
        <f t="array" aca="1" ref="AR83" ca="1">SUM(ABS(INDIRECT(ADDRESS(66,22+($V83-1)*2+2)&amp;":"&amp;ADDRESS(70,22+($V83-1)*2+2))-AR$76:AR$80))</f>
        <v>2.411091801221292E-2</v>
      </c>
      <c r="AS83">
        <f t="array" aca="1" ref="AS83" ca="1">SUM(ABS(INDIRECT(ADDRESS(66,22+($V83-1)*2+1)&amp;":"&amp;ADDRESS(70,22+($V83-1)*2+1))-AS$76:AS$80))</f>
        <v>5.8325251086144947E-2</v>
      </c>
      <c r="AT83">
        <f t="array" aca="1" ref="AT83" ca="1">SUM(ABS(INDIRECT(ADDRESS(66,22+($V83-1)*2+2)&amp;":"&amp;ADDRESS(70,22+($V83-1)*2+2))-AT$76:AT$80))</f>
        <v>0.11934475701868097</v>
      </c>
      <c r="AU83">
        <f t="array" aca="1" ref="AU83" ca="1">SUM(ABS(INDIRECT(ADDRESS(66,22+($V83-1)*2+1)&amp;":"&amp;ADDRESS(70,22+($V83-1)*2+1))-AU$76:AU$80))</f>
        <v>0.11993602571624218</v>
      </c>
      <c r="AV83">
        <f t="array" aca="1" ref="AV83" ca="1">SUM(ABS(INDIRECT(ADDRESS(66,22+($V83-1)*2+2)&amp;":"&amp;ADDRESS(70,22+($V83-1)*2+2))-AV$76:AV$80))</f>
        <v>0.27131136593063898</v>
      </c>
      <c r="AW83">
        <f t="array" aca="1" ref="AW83" ca="1">SUM(ABS(INDIRECT(ADDRESS(66,22+($V83-1)*2+1)&amp;":"&amp;ADDRESS(70,22+($V83-1)*2+1))-AW$76:AW$80))</f>
        <v>0.19966599131205798</v>
      </c>
      <c r="AX83">
        <f t="array" aca="1" ref="AX83" ca="1">SUM(ABS(INDIRECT(ADDRESS(66,22+($V83-1)*2+2)&amp;":"&amp;ADDRESS(70,22+($V83-1)*2+2))-AX$76:AX$80))</f>
        <v>0.42725591517033706</v>
      </c>
      <c r="AY83">
        <f t="array" aca="1" ref="AY83" ca="1">SUM(ABS(INDIRECT(ADDRESS(66,22+($V83-1)*2+1)&amp;":"&amp;ADDRESS(70,22+($V83-1)*2+1))-AY$76:AY$80))</f>
        <v>0.36945189255001942</v>
      </c>
      <c r="AZ83">
        <f t="array" aca="1" ref="AZ83" ca="1">SUM(ABS(INDIRECT(ADDRESS(66,22+($V83-1)*2+2)&amp;":"&amp;ADDRESS(70,22+($V83-1)*2+2))-AZ$76:AZ$80))</f>
        <v>0.72228163311524551</v>
      </c>
      <c r="BA83">
        <f t="array" aca="1" ref="BA83" ca="1">SUM(ABS(INDIRECT(ADDRESS(66,22+($V83-1)*2+1)&amp;":"&amp;ADDRESS(70,22+($V83-1)*2+1))-BA$76:BA$80))</f>
        <v>0.28864318373067854</v>
      </c>
      <c r="BB83">
        <f t="array" aca="1" ref="BB83" ca="1">SUM(ABS(INDIRECT(ADDRESS(66,22+($V83-1)*2+2)&amp;":"&amp;ADDRESS(70,22+($V83-1)*2+2))-BB$76:BB$80))</f>
        <v>0.59128884393902137</v>
      </c>
      <c r="BC83">
        <f t="array" aca="1" ref="BC83" ca="1">SUM(ABS(INDIRECT(ADDRESS(66,22+($V83-1)*2+1)&amp;":"&amp;ADDRESS(70,22+($V83-1)*2+1))-BC$76:BC$80))</f>
        <v>0.22146973293649563</v>
      </c>
      <c r="BD83">
        <f t="array" aca="1" ref="BD83" ca="1">SUM(ABS(INDIRECT(ADDRESS(66,22+($V83-1)*2+2)&amp;":"&amp;ADDRESS(70,22+($V83-1)*2+2))-BD$76:BD$80))</f>
        <v>0.47256139567272171</v>
      </c>
      <c r="BE83" t="e">
        <f t="array" aca="1" ref="BE83" ca="1">SUM(ABS(INDIRECT(ADDRESS(66,22+($V83-1)*2+1)&amp;":"&amp;ADDRESS(70,22+($V83-1)*2+1))-BE$76:BE$80))</f>
        <v>#DIV/0!</v>
      </c>
      <c r="BF83">
        <f t="array" aca="1" ref="BF83" ca="1">SUM(ABS(INDIRECT(ADDRESS(66,22+($V83-1)*2+2)&amp;":"&amp;ADDRESS(70,22+($V83-1)*2+2))-BF$76:BF$80))</f>
        <v>0.49146090909090906</v>
      </c>
      <c r="BG83" t="e">
        <f t="array" aca="1" ref="BG83" ca="1">SUM(ABS(INDIRECT(ADDRESS(66,22+($V83-1)*2+1)&amp;":"&amp;ADDRESS(70,22+($V83-1)*2+1))-BG$76:BG$80))</f>
        <v>#DIV/0!</v>
      </c>
      <c r="BH83">
        <f t="array" aca="1" ref="BH83" ca="1">SUM(ABS(INDIRECT(ADDRESS(66,22+($V83-1)*2+2)&amp;":"&amp;ADDRESS(70,22+($V83-1)*2+2))-BH$76:BH$80))</f>
        <v>0.49146090909090906</v>
      </c>
      <c r="BI83" t="e">
        <f t="array" aca="1" ref="BI83" ca="1">SUM(ABS(INDIRECT(ADDRESS(66,22+($V83-1)*2+1)&amp;":"&amp;ADDRESS(70,22+($V83-1)*2+1))-BI$76:BI$80))</f>
        <v>#DIV/0!</v>
      </c>
      <c r="BJ83">
        <f t="array" aca="1" ref="BJ83" ca="1">SUM(ABS(INDIRECT(ADDRESS(66,22+($V83-1)*2+2)&amp;":"&amp;ADDRESS(70,22+($V83-1)*2+2))-BJ$76:BJ$80))</f>
        <v>0.49146090909090906</v>
      </c>
      <c r="BK83" t="e">
        <f t="array" aca="1" ref="BK83" ca="1">SUM(ABS(INDIRECT(ADDRESS(66,22+($V83-1)*2+1)&amp;":"&amp;ADDRESS(70,22+($V83-1)*2+1))-BK$76:BK$80))</f>
        <v>#DIV/0!</v>
      </c>
      <c r="BL83">
        <f t="array" aca="1" ref="BL83" ca="1">SUM(ABS(INDIRECT(ADDRESS(66,22+($V83-1)*2+2)&amp;":"&amp;ADDRESS(70,22+($V83-1)*2+2))-BL$76:BL$80))</f>
        <v>0.49146090909090906</v>
      </c>
      <c r="CW83" s="1055"/>
      <c r="CX83" s="1150"/>
      <c r="CY83" s="1150"/>
      <c r="CZ83" s="1150"/>
      <c r="DA83" s="1150"/>
      <c r="DB83" s="1150"/>
      <c r="DC83" s="1150"/>
      <c r="DD83" s="1150"/>
      <c r="DE83" s="1150"/>
      <c r="DF83" s="1150"/>
      <c r="DG83" s="1150"/>
      <c r="DM83" s="290"/>
      <c r="DN83" s="290"/>
      <c r="DO83" s="290"/>
      <c r="DP83" s="290"/>
      <c r="DQ83" s="290"/>
      <c r="GH83" s="1025" t="s">
        <v>730</v>
      </c>
      <c r="GI83" s="1065">
        <v>28</v>
      </c>
      <c r="GJ83" s="1065">
        <v>0</v>
      </c>
      <c r="GK83" s="1065">
        <v>17</v>
      </c>
      <c r="GL83" s="1065">
        <v>17</v>
      </c>
      <c r="GM83" s="1065">
        <v>17</v>
      </c>
      <c r="GN83" s="1065">
        <v>15</v>
      </c>
      <c r="GO83" s="1065">
        <v>15</v>
      </c>
      <c r="GP83" s="1065">
        <v>15</v>
      </c>
      <c r="GQ83" s="1065">
        <v>15</v>
      </c>
      <c r="GR83" s="1065">
        <v>15</v>
      </c>
      <c r="GS83" s="1065">
        <v>15</v>
      </c>
      <c r="GT83" s="1065">
        <v>15</v>
      </c>
      <c r="GU83" s="1065">
        <v>15</v>
      </c>
      <c r="GV83" s="1065">
        <v>15</v>
      </c>
      <c r="GW83" s="1065">
        <v>15</v>
      </c>
      <c r="GX83" s="1065">
        <v>15</v>
      </c>
      <c r="GY83" s="1065">
        <v>15</v>
      </c>
      <c r="GZ83" s="1065">
        <v>98</v>
      </c>
      <c r="IU83" s="1025" t="s">
        <v>787</v>
      </c>
      <c r="IV83" s="1065">
        <v>32</v>
      </c>
      <c r="IW83" s="1065">
        <v>0</v>
      </c>
      <c r="IX83" s="1065">
        <v>17</v>
      </c>
      <c r="IY83" s="1065">
        <v>17</v>
      </c>
      <c r="IZ83" s="1065">
        <v>17</v>
      </c>
      <c r="JA83" s="1065">
        <v>17</v>
      </c>
      <c r="JB83" s="1065">
        <v>17</v>
      </c>
      <c r="JC83" s="1065">
        <v>17</v>
      </c>
      <c r="JD83" s="1065">
        <v>17</v>
      </c>
      <c r="JE83" s="1065">
        <v>17</v>
      </c>
      <c r="JF83" s="1065">
        <v>17</v>
      </c>
      <c r="JG83" s="1065">
        <v>17</v>
      </c>
      <c r="JH83" s="1065">
        <v>15</v>
      </c>
      <c r="JI83" s="1065">
        <v>15</v>
      </c>
      <c r="JJ83" s="1065">
        <v>15</v>
      </c>
      <c r="JK83" s="1065">
        <v>15</v>
      </c>
      <c r="JL83" s="1065">
        <v>15</v>
      </c>
      <c r="JM83" s="1065">
        <v>98</v>
      </c>
    </row>
    <row r="84" spans="22:273" x14ac:dyDescent="0.2">
      <c r="V84">
        <v>2</v>
      </c>
      <c r="W84">
        <f t="array" aca="1" ref="W84" ca="1">SUM(ABS(INDIRECT(ADDRESS(66,22+($V84-1)*2+1)&amp;":"&amp;ADDRESS(70,22+($V84-1)*2+1))-W$76:W$80))</f>
        <v>4.8780007017058313E-2</v>
      </c>
      <c r="X84">
        <f t="array" aca="1" ref="X84" ca="1">SUM(ABS(INDIRECT(ADDRESS(66,22+($V84-1)*2+2)&amp;":"&amp;ADDRESS(70,22+($V84-1)*2+2))-X$76:X$80))</f>
        <v>9.3260193098898214E-2</v>
      </c>
      <c r="Y84">
        <f t="array" aca="1" ref="Y84" ca="1">SUM(ABS(INDIRECT(ADDRESS(66,22+($V84-1)*2+1)&amp;":"&amp;ADDRESS(70,22+($V84-1)*2+1))-Y$76:Y$80))</f>
        <v>1.7577096170850792E-2</v>
      </c>
      <c r="Z84">
        <f t="array" aca="1" ref="Z84" ca="1">SUM(ABS(INDIRECT(ADDRESS(66,22+($V84-1)*2+2)&amp;":"&amp;ADDRESS(70,22+($V84-1)*2+2))-Z$76:Z$80))</f>
        <v>6.7846840748183729E-3</v>
      </c>
      <c r="AA84">
        <f t="array" aca="1" ref="AA84" ca="1">SUM(ABS(INDIRECT(ADDRESS(66,22+($V84-1)*2+1)&amp;":"&amp;ADDRESS(70,22+($V84-1)*2+1))-AA$76:AA$80))</f>
        <v>5.670857027313192E-2</v>
      </c>
      <c r="AB84">
        <f t="array" aca="1" ref="AB84" ca="1">SUM(ABS(INDIRECT(ADDRESS(66,22+($V84-1)*2+2)&amp;":"&amp;ADDRESS(70,22+($V84-1)*2+2))-AB$76:AB$80))</f>
        <v>0.15394025481952783</v>
      </c>
      <c r="AC84">
        <f t="array" aca="1" ref="AC84" ca="1">SUM(ABS(INDIRECT(ADDRESS(66,22+($V84-1)*2+1)&amp;":"&amp;ADDRESS(70,22+($V84-1)*2+1))-AC$76:AC$80))</f>
        <v>0.13643853586894772</v>
      </c>
      <c r="AD84">
        <f t="array" aca="1" ref="AD84" ca="1">SUM(ABS(INDIRECT(ADDRESS(66,22+($V84-1)*2+2)&amp;":"&amp;ADDRESS(70,22+($V84-1)*2+2))-AD$76:AD$80))</f>
        <v>0.30988480405922592</v>
      </c>
      <c r="AE84">
        <f t="array" aca="1" ref="AE84" ca="1">SUM(ABS(INDIRECT(ADDRESS(66,22+($V84-1)*2+1)&amp;":"&amp;ADDRESS(70,22+($V84-1)*2+1))-AE$76:AE$80))</f>
        <v>0.30622443710690916</v>
      </c>
      <c r="AF84">
        <f t="array" aca="1" ref="AF84" ca="1">SUM(ABS(INDIRECT(ADDRESS(66,22+($V84-1)*2+2)&amp;":"&amp;ADDRESS(70,22+($V84-1)*2+2))-AF$76:AF$80))</f>
        <v>0.6049105220041342</v>
      </c>
      <c r="AG84">
        <f t="array" aca="1" ref="AG84" ca="1">SUM(ABS(INDIRECT(ADDRESS(66,22+($V84-1)*2+1)&amp;":"&amp;ADDRESS(70,22+($V84-1)*2+1))-AG$76:AG$80))</f>
        <v>4.8780007017058313E-2</v>
      </c>
      <c r="AH84">
        <f t="array" aca="1" ref="AH84" ca="1">SUM(ABS(INDIRECT(ADDRESS(66,22+($V84-1)*2+2)&amp;":"&amp;ADDRESS(70,22+($V84-1)*2+2))-AH$76:AH$80))</f>
        <v>9.3260193098898214E-2</v>
      </c>
      <c r="AI84">
        <f t="array" aca="1" ref="AI84" ca="1">SUM(ABS(INDIRECT(ADDRESS(66,22+($V84-1)*2+1)&amp;":"&amp;ADDRESS(70,22+($V84-1)*2+1))-AI$76:AI$80))</f>
        <v>1.7577096170850792E-2</v>
      </c>
      <c r="AJ84">
        <f t="array" aca="1" ref="AJ84" ca="1">SUM(ABS(INDIRECT(ADDRESS(66,22+($V84-1)*2+2)&amp;":"&amp;ADDRESS(70,22+($V84-1)*2+2))-AJ$76:AJ$80))</f>
        <v>6.7846840748183729E-3</v>
      </c>
      <c r="AK84">
        <f t="array" aca="1" ref="AK84" ca="1">SUM(ABS(INDIRECT(ADDRESS(66,22+($V84-1)*2+1)&amp;":"&amp;ADDRESS(70,22+($V84-1)*2+1))-AK$76:AK$80))</f>
        <v>5.670857027313192E-2</v>
      </c>
      <c r="AL84">
        <f t="array" aca="1" ref="AL84" ca="1">SUM(ABS(INDIRECT(ADDRESS(66,22+($V84-1)*2+2)&amp;":"&amp;ADDRESS(70,22+($V84-1)*2+2))-AL$76:AL$80))</f>
        <v>0.15394025481952783</v>
      </c>
      <c r="AM84">
        <f t="array" aca="1" ref="AM84" ca="1">SUM(ABS(INDIRECT(ADDRESS(66,22+($V84-1)*2+1)&amp;":"&amp;ADDRESS(70,22+($V84-1)*2+1))-AM$76:AM$80))</f>
        <v>0.13643853586894772</v>
      </c>
      <c r="AN84">
        <f t="array" aca="1" ref="AN84" ca="1">SUM(ABS(INDIRECT(ADDRESS(66,22+($V84-1)*2+2)&amp;":"&amp;ADDRESS(70,22+($V84-1)*2+2))-AN$76:AN$80))</f>
        <v>0.30988480405922592</v>
      </c>
      <c r="AO84">
        <f t="array" aca="1" ref="AO84" ca="1">SUM(ABS(INDIRECT(ADDRESS(66,22+($V84-1)*2+1)&amp;":"&amp;ADDRESS(70,22+($V84-1)*2+1))-AO$76:AO$80))</f>
        <v>0.30622443710690916</v>
      </c>
      <c r="AP84">
        <f t="array" aca="1" ref="AP84" ca="1">SUM(ABS(INDIRECT(ADDRESS(66,22+($V84-1)*2+2)&amp;":"&amp;ADDRESS(70,22+($V84-1)*2+2))-AP$76:AP$80))</f>
        <v>0.6049105220041342</v>
      </c>
      <c r="AQ84">
        <f t="array" aca="1" ref="AQ84" ca="1">SUM(ABS(INDIRECT(ADDRESS(66,22+($V84-1)*2+1)&amp;":"&amp;ADDRESS(70,22+($V84-1)*2+1))-AQ$76:AQ$80))</f>
        <v>4.8780007017058313E-2</v>
      </c>
      <c r="AR84">
        <f t="array" aca="1" ref="AR84" ca="1">SUM(ABS(INDIRECT(ADDRESS(66,22+($V84-1)*2+2)&amp;":"&amp;ADDRESS(70,22+($V84-1)*2+2))-AR$76:AR$80))</f>
        <v>9.3260193098898214E-2</v>
      </c>
      <c r="AS84">
        <f t="array" aca="1" ref="AS84" ca="1">SUM(ABS(INDIRECT(ADDRESS(66,22+($V84-1)*2+1)&amp;":"&amp;ADDRESS(70,22+($V84-1)*2+1))-AS$76:AS$80))</f>
        <v>1.7577096170850792E-2</v>
      </c>
      <c r="AT84">
        <f t="array" aca="1" ref="AT84" ca="1">SUM(ABS(INDIRECT(ADDRESS(66,22+($V84-1)*2+2)&amp;":"&amp;ADDRESS(70,22+($V84-1)*2+2))-AT$76:AT$80))</f>
        <v>6.7846840748183729E-3</v>
      </c>
      <c r="AU84">
        <f t="array" aca="1" ref="AU84" ca="1">SUM(ABS(INDIRECT(ADDRESS(66,22+($V84-1)*2+1)&amp;":"&amp;ADDRESS(70,22+($V84-1)*2+1))-AU$76:AU$80))</f>
        <v>5.670857027313192E-2</v>
      </c>
      <c r="AV84">
        <f t="array" aca="1" ref="AV84" ca="1">SUM(ABS(INDIRECT(ADDRESS(66,22+($V84-1)*2+2)&amp;":"&amp;ADDRESS(70,22+($V84-1)*2+2))-AV$76:AV$80))</f>
        <v>0.15394025481952783</v>
      </c>
      <c r="AW84">
        <f t="array" aca="1" ref="AW84" ca="1">SUM(ABS(INDIRECT(ADDRESS(66,22+($V84-1)*2+1)&amp;":"&amp;ADDRESS(70,22+($V84-1)*2+1))-AW$76:AW$80))</f>
        <v>0.13643853586894772</v>
      </c>
      <c r="AX84">
        <f t="array" aca="1" ref="AX84" ca="1">SUM(ABS(INDIRECT(ADDRESS(66,22+($V84-1)*2+2)&amp;":"&amp;ADDRESS(70,22+($V84-1)*2+2))-AX$76:AX$80))</f>
        <v>0.30988480405922592</v>
      </c>
      <c r="AY84">
        <f t="array" aca="1" ref="AY84" ca="1">SUM(ABS(INDIRECT(ADDRESS(66,22+($V84-1)*2+1)&amp;":"&amp;ADDRESS(70,22+($V84-1)*2+1))-AY$76:AY$80))</f>
        <v>0.30622443710690916</v>
      </c>
      <c r="AZ84">
        <f t="array" aca="1" ref="AZ84" ca="1">SUM(ABS(INDIRECT(ADDRESS(66,22+($V84-1)*2+2)&amp;":"&amp;ADDRESS(70,22+($V84-1)*2+2))-AZ$76:AZ$80))</f>
        <v>0.6049105220041342</v>
      </c>
      <c r="BA84">
        <f t="array" aca="1" ref="BA84" ca="1">SUM(ABS(INDIRECT(ADDRESS(66,22+($V84-1)*2+1)&amp;":"&amp;ADDRESS(70,22+($V84-1)*2+1))-BA$76:BA$80))</f>
        <v>0.22541572828756828</v>
      </c>
      <c r="BB84">
        <f t="array" aca="1" ref="BB84" ca="1">SUM(ABS(INDIRECT(ADDRESS(66,22+($V84-1)*2+2)&amp;":"&amp;ADDRESS(70,22+($V84-1)*2+2))-BB$76:BB$80))</f>
        <v>0.47391773282791017</v>
      </c>
      <c r="BC84">
        <f t="array" aca="1" ref="BC84" ca="1">SUM(ABS(INDIRECT(ADDRESS(66,22+($V84-1)*2+1)&amp;":"&amp;ADDRESS(70,22+($V84-1)*2+1))-BC$76:BC$80))</f>
        <v>0.15824227749338537</v>
      </c>
      <c r="BD84">
        <f t="array" aca="1" ref="BD84" ca="1">SUM(ABS(INDIRECT(ADDRESS(66,22+($V84-1)*2+2)&amp;":"&amp;ADDRESS(70,22+($V84-1)*2+2))-BD$76:BD$80))</f>
        <v>0.35519028456161061</v>
      </c>
      <c r="BE84" t="e">
        <f t="array" aca="1" ref="BE84" ca="1">SUM(ABS(INDIRECT(ADDRESS(66,22+($V84-1)*2+1)&amp;":"&amp;ADDRESS(70,22+($V84-1)*2+1))-BE$76:BE$80))</f>
        <v>#DIV/0!</v>
      </c>
      <c r="BF84">
        <f t="array" aca="1" ref="BF84" ca="1">SUM(ABS(INDIRECT(ADDRESS(66,22+($V84-1)*2+2)&amp;":"&amp;ADDRESS(70,22+($V84-1)*2+2))-BF$76:BF$80))</f>
        <v>0.60883202020202021</v>
      </c>
      <c r="BG84" t="e">
        <f t="array" aca="1" ref="BG84" ca="1">SUM(ABS(INDIRECT(ADDRESS(66,22+($V84-1)*2+1)&amp;":"&amp;ADDRESS(70,22+($V84-1)*2+1))-BG$76:BG$80))</f>
        <v>#DIV/0!</v>
      </c>
      <c r="BH84">
        <f t="array" aca="1" ref="BH84" ca="1">SUM(ABS(INDIRECT(ADDRESS(66,22+($V84-1)*2+2)&amp;":"&amp;ADDRESS(70,22+($V84-1)*2+2))-BH$76:BH$80))</f>
        <v>0.60883202020202021</v>
      </c>
      <c r="BI84" t="e">
        <f t="array" aca="1" ref="BI84" ca="1">SUM(ABS(INDIRECT(ADDRESS(66,22+($V84-1)*2+1)&amp;":"&amp;ADDRESS(70,22+($V84-1)*2+1))-BI$76:BI$80))</f>
        <v>#DIV/0!</v>
      </c>
      <c r="BJ84">
        <f t="array" aca="1" ref="BJ84" ca="1">SUM(ABS(INDIRECT(ADDRESS(66,22+($V84-1)*2+2)&amp;":"&amp;ADDRESS(70,22+($V84-1)*2+2))-BJ$76:BJ$80))</f>
        <v>0.60883202020202021</v>
      </c>
      <c r="BK84" t="e">
        <f t="array" aca="1" ref="BK84" ca="1">SUM(ABS(INDIRECT(ADDRESS(66,22+($V84-1)*2+1)&amp;":"&amp;ADDRESS(70,22+($V84-1)*2+1))-BK$76:BK$80))</f>
        <v>#DIV/0!</v>
      </c>
      <c r="BL84">
        <f t="array" aca="1" ref="BL84" ca="1">SUM(ABS(INDIRECT(ADDRESS(66,22+($V84-1)*2+2)&amp;":"&amp;ADDRESS(70,22+($V84-1)*2+2))-BL$76:BL$80))</f>
        <v>0.60883202020202021</v>
      </c>
      <c r="CW84" s="1055"/>
      <c r="CX84" s="1150"/>
      <c r="CY84" s="1150"/>
      <c r="CZ84" s="1150"/>
      <c r="DA84" s="1150"/>
      <c r="DB84" s="1150"/>
      <c r="DC84" s="1150"/>
      <c r="DD84" s="1150"/>
      <c r="DE84" s="1150"/>
      <c r="DF84" s="1150"/>
      <c r="DG84" s="1150"/>
      <c r="DM84" s="290"/>
      <c r="DN84" s="290"/>
      <c r="DO84" s="290"/>
      <c r="DP84" s="290"/>
      <c r="DQ84" s="290"/>
      <c r="GH84" s="1025" t="s">
        <v>706</v>
      </c>
      <c r="GI84" s="1065">
        <v>7</v>
      </c>
      <c r="GJ84" s="1065">
        <v>0</v>
      </c>
      <c r="GK84" s="1065">
        <v>0</v>
      </c>
      <c r="GL84" s="1065">
        <v>38</v>
      </c>
      <c r="GM84" s="1065">
        <v>38</v>
      </c>
      <c r="GN84" s="1065">
        <v>38</v>
      </c>
      <c r="GO84" s="1065">
        <v>38</v>
      </c>
      <c r="GP84" s="1065">
        <v>38</v>
      </c>
      <c r="GQ84" s="1065">
        <v>38</v>
      </c>
      <c r="GR84" s="1065">
        <v>38</v>
      </c>
      <c r="GS84" s="1065">
        <v>38</v>
      </c>
      <c r="GT84" s="1065">
        <v>38</v>
      </c>
      <c r="GU84" s="1065">
        <v>65</v>
      </c>
      <c r="GV84" s="1065">
        <v>65</v>
      </c>
      <c r="GW84" s="1065">
        <v>65</v>
      </c>
      <c r="GX84" s="1065">
        <v>65</v>
      </c>
      <c r="GY84" s="1065">
        <v>65</v>
      </c>
      <c r="GZ84" s="1065">
        <v>65</v>
      </c>
      <c r="IU84" s="1025" t="s">
        <v>788</v>
      </c>
      <c r="IV84" s="1065">
        <v>15</v>
      </c>
      <c r="IW84" s="1065">
        <v>0</v>
      </c>
      <c r="IX84" s="1065">
        <v>0</v>
      </c>
      <c r="IY84" s="1065">
        <v>0</v>
      </c>
      <c r="IZ84" s="1065">
        <v>56</v>
      </c>
      <c r="JA84" s="1065">
        <v>56</v>
      </c>
      <c r="JB84" s="1065">
        <v>56</v>
      </c>
      <c r="JC84" s="1065">
        <v>56</v>
      </c>
      <c r="JD84" s="1065">
        <v>56</v>
      </c>
      <c r="JE84" s="1065">
        <v>56</v>
      </c>
      <c r="JF84" s="1065">
        <v>56</v>
      </c>
      <c r="JG84" s="1065">
        <v>56</v>
      </c>
      <c r="JH84" s="1065">
        <v>56</v>
      </c>
      <c r="JI84" s="1065">
        <v>56</v>
      </c>
      <c r="JJ84" s="1065">
        <v>56</v>
      </c>
      <c r="JK84" s="1065">
        <v>56</v>
      </c>
      <c r="JL84" s="1065">
        <v>56</v>
      </c>
      <c r="JM84" s="1065">
        <v>56</v>
      </c>
    </row>
    <row r="85" spans="22:273" x14ac:dyDescent="0.2">
      <c r="V85">
        <v>3</v>
      </c>
      <c r="W85">
        <f t="array" aca="1" ref="W85" ca="1">SUM(ABS(INDIRECT(ADDRESS(66,22+($V85-1)*2+1)&amp;":"&amp;ADDRESS(70,22+($V85-1)*2+1))-W$76:W$80))</f>
        <v>0.12228003863304127</v>
      </c>
      <c r="X85">
        <f t="array" aca="1" ref="X85" ca="1">SUM(ABS(INDIRECT(ADDRESS(66,22+($V85-1)*2+2)&amp;":"&amp;ADDRESS(70,22+($V85-1)*2+2))-X$76:X$80))</f>
        <v>0.26424676548947051</v>
      </c>
      <c r="Y85">
        <f t="array" aca="1" ref="Y85" ca="1">SUM(ABS(INDIRECT(ADDRESS(66,22+($V85-1)*2+1)&amp;":"&amp;ADDRESS(70,22+($V85-1)*2+1))-Y$76:Y$80))</f>
        <v>8.4173548043195656E-2</v>
      </c>
      <c r="Z85">
        <f t="array" aca="1" ref="Z85" ca="1">SUM(ABS(INDIRECT(ADDRESS(66,22+($V85-1)*2+2)&amp;":"&amp;ADDRESS(70,22+($V85-1)*2+2))-Z$76:Z$80))</f>
        <v>0.16901292648300248</v>
      </c>
      <c r="AA85">
        <f t="array" aca="1" ref="AA85" ca="1">SUM(ABS(INDIRECT(ADDRESS(66,22+($V85-1)*2+1)&amp;":"&amp;ADDRESS(70,22+($V85-1)*2+1))-AA$76:AA$80))</f>
        <v>3.2681068439500471E-2</v>
      </c>
      <c r="AB85">
        <f t="array" aca="1" ref="AB85" ca="1">SUM(ABS(INDIRECT(ADDRESS(66,22+($V85-1)*2+2)&amp;":"&amp;ADDRESS(70,22+($V85-1)*2+2))-AB$76:AB$80))</f>
        <v>2.2313666097828144E-2</v>
      </c>
      <c r="AC85">
        <f t="array" aca="1" ref="AC85" ca="1">SUM(ABS(INDIRECT(ADDRESS(66,22+($V85-1)*2+1)&amp;":"&amp;ADDRESS(70,22+($V85-1)*2+1))-AC$76:AC$80))</f>
        <v>5.7167192182717375E-2</v>
      </c>
      <c r="AD85">
        <f t="array" aca="1" ref="AD85" ca="1">SUM(ABS(INDIRECT(ADDRESS(66,22+($V85-1)*2+2)&amp;":"&amp;ADDRESS(70,22+($V85-1)*2+2))-AD$76:AD$80))</f>
        <v>0.13889823166865362</v>
      </c>
      <c r="AE85">
        <f t="array" aca="1" ref="AE85" ca="1">SUM(ABS(INDIRECT(ADDRESS(66,22+($V85-1)*2+1)&amp;":"&amp;ADDRESS(70,22+($V85-1)*2+1))-AE$76:AE$80))</f>
        <v>0.22695309342067882</v>
      </c>
      <c r="AF85">
        <f t="array" aca="1" ref="AF85" ca="1">SUM(ABS(INDIRECT(ADDRESS(66,22+($V85-1)*2+2)&amp;":"&amp;ADDRESS(70,22+($V85-1)*2+2))-AF$76:AF$80))</f>
        <v>0.43392394961356207</v>
      </c>
      <c r="AG85">
        <f t="array" aca="1" ref="AG85" ca="1">SUM(ABS(INDIRECT(ADDRESS(66,22+($V85-1)*2+1)&amp;":"&amp;ADDRESS(70,22+($V85-1)*2+1))-AG$76:AG$80))</f>
        <v>0.12228003863304127</v>
      </c>
      <c r="AH85">
        <f t="array" aca="1" ref="AH85" ca="1">SUM(ABS(INDIRECT(ADDRESS(66,22+($V85-1)*2+2)&amp;":"&amp;ADDRESS(70,22+($V85-1)*2+2))-AH$76:AH$80))</f>
        <v>0.26424676548947051</v>
      </c>
      <c r="AI85">
        <f t="array" aca="1" ref="AI85" ca="1">SUM(ABS(INDIRECT(ADDRESS(66,22+($V85-1)*2+1)&amp;":"&amp;ADDRESS(70,22+($V85-1)*2+1))-AI$76:AI$80))</f>
        <v>8.4173548043195656E-2</v>
      </c>
      <c r="AJ85">
        <f t="array" aca="1" ref="AJ85" ca="1">SUM(ABS(INDIRECT(ADDRESS(66,22+($V85-1)*2+2)&amp;":"&amp;ADDRESS(70,22+($V85-1)*2+2))-AJ$76:AJ$80))</f>
        <v>0.16901292648300248</v>
      </c>
      <c r="AK85">
        <f t="array" aca="1" ref="AK85" ca="1">SUM(ABS(INDIRECT(ADDRESS(66,22+($V85-1)*2+1)&amp;":"&amp;ADDRESS(70,22+($V85-1)*2+1))-AK$76:AK$80))</f>
        <v>3.2681068439500471E-2</v>
      </c>
      <c r="AL85">
        <f t="array" aca="1" ref="AL85" ca="1">SUM(ABS(INDIRECT(ADDRESS(66,22+($V85-1)*2+2)&amp;":"&amp;ADDRESS(70,22+($V85-1)*2+2))-AL$76:AL$80))</f>
        <v>2.2313666097828144E-2</v>
      </c>
      <c r="AM85">
        <f t="array" aca="1" ref="AM85" ca="1">SUM(ABS(INDIRECT(ADDRESS(66,22+($V85-1)*2+1)&amp;":"&amp;ADDRESS(70,22+($V85-1)*2+1))-AM$76:AM$80))</f>
        <v>5.7167192182717375E-2</v>
      </c>
      <c r="AN85">
        <f t="array" aca="1" ref="AN85" ca="1">SUM(ABS(INDIRECT(ADDRESS(66,22+($V85-1)*2+2)&amp;":"&amp;ADDRESS(70,22+($V85-1)*2+2))-AN$76:AN$80))</f>
        <v>0.13889823166865362</v>
      </c>
      <c r="AO85">
        <f t="array" aca="1" ref="AO85" ca="1">SUM(ABS(INDIRECT(ADDRESS(66,22+($V85-1)*2+1)&amp;":"&amp;ADDRESS(70,22+($V85-1)*2+1))-AO$76:AO$80))</f>
        <v>0.22695309342067882</v>
      </c>
      <c r="AP85">
        <f t="array" aca="1" ref="AP85" ca="1">SUM(ABS(INDIRECT(ADDRESS(66,22+($V85-1)*2+2)&amp;":"&amp;ADDRESS(70,22+($V85-1)*2+2))-AP$76:AP$80))</f>
        <v>0.43392394961356207</v>
      </c>
      <c r="AQ85">
        <f t="array" aca="1" ref="AQ85" ca="1">SUM(ABS(INDIRECT(ADDRESS(66,22+($V85-1)*2+1)&amp;":"&amp;ADDRESS(70,22+($V85-1)*2+1))-AQ$76:AQ$80))</f>
        <v>0.12228003863304127</v>
      </c>
      <c r="AR85">
        <f t="array" aca="1" ref="AR85" ca="1">SUM(ABS(INDIRECT(ADDRESS(66,22+($V85-1)*2+2)&amp;":"&amp;ADDRESS(70,22+($V85-1)*2+2))-AR$76:AR$80))</f>
        <v>0.26424676548947051</v>
      </c>
      <c r="AS85">
        <f t="array" aca="1" ref="AS85" ca="1">SUM(ABS(INDIRECT(ADDRESS(66,22+($V85-1)*2+1)&amp;":"&amp;ADDRESS(70,22+($V85-1)*2+1))-AS$76:AS$80))</f>
        <v>8.4173548043195656E-2</v>
      </c>
      <c r="AT85">
        <f t="array" aca="1" ref="AT85" ca="1">SUM(ABS(INDIRECT(ADDRESS(66,22+($V85-1)*2+2)&amp;":"&amp;ADDRESS(70,22+($V85-1)*2+2))-AT$76:AT$80))</f>
        <v>0.16901292648300248</v>
      </c>
      <c r="AU85">
        <f t="array" aca="1" ref="AU85" ca="1">SUM(ABS(INDIRECT(ADDRESS(66,22+($V85-1)*2+1)&amp;":"&amp;ADDRESS(70,22+($V85-1)*2+1))-AU$76:AU$80))</f>
        <v>3.2681068439500471E-2</v>
      </c>
      <c r="AV85">
        <f t="array" aca="1" ref="AV85" ca="1">SUM(ABS(INDIRECT(ADDRESS(66,22+($V85-1)*2+2)&amp;":"&amp;ADDRESS(70,22+($V85-1)*2+2))-AV$76:AV$80))</f>
        <v>2.2313666097828144E-2</v>
      </c>
      <c r="AW85">
        <f t="array" aca="1" ref="AW85" ca="1">SUM(ABS(INDIRECT(ADDRESS(66,22+($V85-1)*2+1)&amp;":"&amp;ADDRESS(70,22+($V85-1)*2+1))-AW$76:AW$80))</f>
        <v>5.7167192182717375E-2</v>
      </c>
      <c r="AX85">
        <f t="array" aca="1" ref="AX85" ca="1">SUM(ABS(INDIRECT(ADDRESS(66,22+($V85-1)*2+2)&amp;":"&amp;ADDRESS(70,22+($V85-1)*2+2))-AX$76:AX$80))</f>
        <v>0.13889823166865362</v>
      </c>
      <c r="AY85">
        <f t="array" aca="1" ref="AY85" ca="1">SUM(ABS(INDIRECT(ADDRESS(66,22+($V85-1)*2+1)&amp;":"&amp;ADDRESS(70,22+($V85-1)*2+1))-AY$76:AY$80))</f>
        <v>0.22695309342067882</v>
      </c>
      <c r="AZ85">
        <f t="array" aca="1" ref="AZ85" ca="1">SUM(ABS(INDIRECT(ADDRESS(66,22+($V85-1)*2+2)&amp;":"&amp;ADDRESS(70,22+($V85-1)*2+2))-AZ$76:AZ$80))</f>
        <v>0.43392394961356207</v>
      </c>
      <c r="BA85">
        <f t="array" aca="1" ref="BA85" ca="1">SUM(ABS(INDIRECT(ADDRESS(66,22+($V85-1)*2+1)&amp;":"&amp;ADDRESS(70,22+($V85-1)*2+1))-BA$76:BA$80))</f>
        <v>0.14614438460133794</v>
      </c>
      <c r="BB85">
        <f t="array" aca="1" ref="BB85" ca="1">SUM(ABS(INDIRECT(ADDRESS(66,22+($V85-1)*2+2)&amp;":"&amp;ADDRESS(70,22+($V85-1)*2+2))-BB$76:BB$80))</f>
        <v>0.30293116043733787</v>
      </c>
      <c r="BC85">
        <f t="array" aca="1" ref="BC85" ca="1">SUM(ABS(INDIRECT(ADDRESS(66,22+($V85-1)*2+1)&amp;":"&amp;ADDRESS(70,22+($V85-1)*2+1))-BC$76:BC$80))</f>
        <v>7.897093380715503E-2</v>
      </c>
      <c r="BD85">
        <f t="array" aca="1" ref="BD85" ca="1">SUM(ABS(INDIRECT(ADDRESS(66,22+($V85-1)*2+2)&amp;":"&amp;ADDRESS(70,22+($V85-1)*2+2))-BD$76:BD$80))</f>
        <v>0.18420371217103829</v>
      </c>
      <c r="BE85" t="e">
        <f t="array" aca="1" ref="BE85" ca="1">SUM(ABS(INDIRECT(ADDRESS(66,22+($V85-1)*2+1)&amp;":"&amp;ADDRESS(70,22+($V85-1)*2+1))-BE$76:BE$80))</f>
        <v>#DIV/0!</v>
      </c>
      <c r="BF85">
        <f t="array" aca="1" ref="BF85" ca="1">SUM(ABS(INDIRECT(ADDRESS(66,22+($V85-1)*2+2)&amp;":"&amp;ADDRESS(70,22+($V85-1)*2+2))-BF$76:BF$80))</f>
        <v>0.77981859259259245</v>
      </c>
      <c r="BG85" t="e">
        <f t="array" aca="1" ref="BG85" ca="1">SUM(ABS(INDIRECT(ADDRESS(66,22+($V85-1)*2+1)&amp;":"&amp;ADDRESS(70,22+($V85-1)*2+1))-BG$76:BG$80))</f>
        <v>#DIV/0!</v>
      </c>
      <c r="BH85">
        <f t="array" aca="1" ref="BH85" ca="1">SUM(ABS(INDIRECT(ADDRESS(66,22+($V85-1)*2+2)&amp;":"&amp;ADDRESS(70,22+($V85-1)*2+2))-BH$76:BH$80))</f>
        <v>0.77981859259259245</v>
      </c>
      <c r="BI85" t="e">
        <f t="array" aca="1" ref="BI85" ca="1">SUM(ABS(INDIRECT(ADDRESS(66,22+($V85-1)*2+1)&amp;":"&amp;ADDRESS(70,22+($V85-1)*2+1))-BI$76:BI$80))</f>
        <v>#DIV/0!</v>
      </c>
      <c r="BJ85">
        <f t="array" aca="1" ref="BJ85" ca="1">SUM(ABS(INDIRECT(ADDRESS(66,22+($V85-1)*2+2)&amp;":"&amp;ADDRESS(70,22+($V85-1)*2+2))-BJ$76:BJ$80))</f>
        <v>0.77981859259259245</v>
      </c>
      <c r="BK85" t="e">
        <f t="array" aca="1" ref="BK85" ca="1">SUM(ABS(INDIRECT(ADDRESS(66,22+($V85-1)*2+1)&amp;":"&amp;ADDRESS(70,22+($V85-1)*2+1))-BK$76:BK$80))</f>
        <v>#DIV/0!</v>
      </c>
      <c r="BL85">
        <f t="array" aca="1" ref="BL85" ca="1">SUM(ABS(INDIRECT(ADDRESS(66,22+($V85-1)*2+2)&amp;":"&amp;ADDRESS(70,22+($V85-1)*2+2))-BL$76:BL$80))</f>
        <v>0.77981859259259245</v>
      </c>
      <c r="CW85" s="1055"/>
      <c r="CX85" s="1150"/>
      <c r="CY85" s="1150"/>
      <c r="CZ85" s="1150"/>
      <c r="DA85" s="1150"/>
      <c r="DB85" s="1150"/>
      <c r="DC85" s="1150"/>
      <c r="DD85" s="1150"/>
      <c r="DE85" s="1150"/>
      <c r="DF85" s="1150"/>
      <c r="DG85" s="1150"/>
      <c r="DM85" s="290"/>
      <c r="DN85" s="290"/>
      <c r="DO85" s="290"/>
      <c r="DP85" s="290"/>
      <c r="DQ85" s="290"/>
    </row>
    <row r="86" spans="22:273" x14ac:dyDescent="0.2">
      <c r="V86">
        <v>4</v>
      </c>
      <c r="W86">
        <f t="array" aca="1" ref="W86" ca="1">SUM(ABS(INDIRECT(ADDRESS(66,22+($V86-1)*2+1)&amp;":"&amp;ADDRESS(70,22+($V86-1)*2+1))-W$76:W$80))</f>
        <v>0.19848072543822604</v>
      </c>
      <c r="X86">
        <f t="array" aca="1" ref="X86" ca="1">SUM(ABS(INDIRECT(ADDRESS(66,22+($V86-1)*2+2)&amp;":"&amp;ADDRESS(70,22+($V86-1)*2+2))-X$76:X$80))</f>
        <v>0.40634904831775348</v>
      </c>
      <c r="Y86">
        <f t="array" aca="1" ref="Y86" ca="1">SUM(ABS(INDIRECT(ADDRESS(66,22+($V86-1)*2+1)&amp;":"&amp;ADDRESS(70,22+($V86-1)*2+1))-Y$76:Y$80))</f>
        <v>0.16037423484838043</v>
      </c>
      <c r="Z86">
        <f t="array" aca="1" ref="Z86" ca="1">SUM(ABS(INDIRECT(ADDRESS(66,22+($V86-1)*2+2)&amp;":"&amp;ADDRESS(70,22+($V86-1)*2+2))-Z$76:Z$80))</f>
        <v>0.31111520931128545</v>
      </c>
      <c r="AA86">
        <f t="array" aca="1" ref="AA86" ca="1">SUM(ABS(INDIRECT(ADDRESS(66,22+($V86-1)*2+1)&amp;":"&amp;ADDRESS(70,22+($V86-1)*2+1))-AA$76:AA$80))</f>
        <v>9.8763460218283194E-2</v>
      </c>
      <c r="AB86">
        <f t="array" aca="1" ref="AB86" ca="1">SUM(ABS(INDIRECT(ADDRESS(66,22+($V86-1)*2+2)&amp;":"&amp;ADDRESS(70,22+($V86-1)*2+2))-AB$76:AB$80))</f>
        <v>0.15914860039932741</v>
      </c>
      <c r="AC86">
        <f t="array" aca="1" ref="AC86" ca="1">SUM(ABS(INDIRECT(ADDRESS(66,22+($V86-1)*2+1)&amp;":"&amp;ADDRESS(70,22+($V86-1)*2+1))-AC$76:AC$80))</f>
        <v>3.1841374452838633E-2</v>
      </c>
      <c r="AD86">
        <f t="array" aca="1" ref="AD86" ca="1">SUM(ABS(INDIRECT(ADDRESS(66,22+($V86-1)*2+2)&amp;":"&amp;ADDRESS(70,22+($V86-1)*2+2))-AD$76:AD$80))</f>
        <v>1.0051851492913905E-2</v>
      </c>
      <c r="AE86">
        <f t="array" aca="1" ref="AE86" ca="1">SUM(ABS(INDIRECT(ADDRESS(66,22+($V86-1)*2+1)&amp;":"&amp;ADDRESS(70,22+($V86-1)*2+1))-AE$76:AE$80))</f>
        <v>0.15075240661549405</v>
      </c>
      <c r="AF86">
        <f t="array" aca="1" ref="AF86" ca="1">SUM(ABS(INDIRECT(ADDRESS(66,22+($V86-1)*2+2)&amp;":"&amp;ADDRESS(70,22+($V86-1)*2+2))-AF$76:AF$80))</f>
        <v>0.2918216667852791</v>
      </c>
      <c r="AG86">
        <f t="array" aca="1" ref="AG86" ca="1">SUM(ABS(INDIRECT(ADDRESS(66,22+($V86-1)*2+1)&amp;":"&amp;ADDRESS(70,22+($V86-1)*2+1))-AG$76:AG$80))</f>
        <v>0.19848072543822604</v>
      </c>
      <c r="AH86">
        <f t="array" aca="1" ref="AH86" ca="1">SUM(ABS(INDIRECT(ADDRESS(66,22+($V86-1)*2+2)&amp;":"&amp;ADDRESS(70,22+($V86-1)*2+2))-AH$76:AH$80))</f>
        <v>0.40634904831775348</v>
      </c>
      <c r="AI86">
        <f t="array" aca="1" ref="AI86" ca="1">SUM(ABS(INDIRECT(ADDRESS(66,22+($V86-1)*2+1)&amp;":"&amp;ADDRESS(70,22+($V86-1)*2+1))-AI$76:AI$80))</f>
        <v>0.16037423484838043</v>
      </c>
      <c r="AJ86">
        <f t="array" aca="1" ref="AJ86" ca="1">SUM(ABS(INDIRECT(ADDRESS(66,22+($V86-1)*2+2)&amp;":"&amp;ADDRESS(70,22+($V86-1)*2+2))-AJ$76:AJ$80))</f>
        <v>0.31111520931128545</v>
      </c>
      <c r="AK86">
        <f t="array" aca="1" ref="AK86" ca="1">SUM(ABS(INDIRECT(ADDRESS(66,22+($V86-1)*2+1)&amp;":"&amp;ADDRESS(70,22+($V86-1)*2+1))-AK$76:AK$80))</f>
        <v>9.8763460218283194E-2</v>
      </c>
      <c r="AL86">
        <f t="array" aca="1" ref="AL86" ca="1">SUM(ABS(INDIRECT(ADDRESS(66,22+($V86-1)*2+2)&amp;":"&amp;ADDRESS(70,22+($V86-1)*2+2))-AL$76:AL$80))</f>
        <v>0.15914860039932741</v>
      </c>
      <c r="AM86">
        <f t="array" aca="1" ref="AM86" ca="1">SUM(ABS(INDIRECT(ADDRESS(66,22+($V86-1)*2+1)&amp;":"&amp;ADDRESS(70,22+($V86-1)*2+1))-AM$76:AM$80))</f>
        <v>3.1841374452838633E-2</v>
      </c>
      <c r="AN86">
        <f t="array" aca="1" ref="AN86" ca="1">SUM(ABS(INDIRECT(ADDRESS(66,22+($V86-1)*2+2)&amp;":"&amp;ADDRESS(70,22+($V86-1)*2+2))-AN$76:AN$80))</f>
        <v>1.0051851492913905E-2</v>
      </c>
      <c r="AO86">
        <f t="array" aca="1" ref="AO86" ca="1">SUM(ABS(INDIRECT(ADDRESS(66,22+($V86-1)*2+1)&amp;":"&amp;ADDRESS(70,22+($V86-1)*2+1))-AO$76:AO$80))</f>
        <v>0.15075240661549405</v>
      </c>
      <c r="AP86">
        <f t="array" aca="1" ref="AP86" ca="1">SUM(ABS(INDIRECT(ADDRESS(66,22+($V86-1)*2+2)&amp;":"&amp;ADDRESS(70,22+($V86-1)*2+2))-AP$76:AP$80))</f>
        <v>0.2918216667852791</v>
      </c>
      <c r="AQ86">
        <f t="array" aca="1" ref="AQ86" ca="1">SUM(ABS(INDIRECT(ADDRESS(66,22+($V86-1)*2+1)&amp;":"&amp;ADDRESS(70,22+($V86-1)*2+1))-AQ$76:AQ$80))</f>
        <v>0.19848072543822604</v>
      </c>
      <c r="AR86">
        <f t="array" aca="1" ref="AR86" ca="1">SUM(ABS(INDIRECT(ADDRESS(66,22+($V86-1)*2+2)&amp;":"&amp;ADDRESS(70,22+($V86-1)*2+2))-AR$76:AR$80))</f>
        <v>0.40634904831775348</v>
      </c>
      <c r="AS86">
        <f t="array" aca="1" ref="AS86" ca="1">SUM(ABS(INDIRECT(ADDRESS(66,22+($V86-1)*2+1)&amp;":"&amp;ADDRESS(70,22+($V86-1)*2+1))-AS$76:AS$80))</f>
        <v>0.16037423484838043</v>
      </c>
      <c r="AT86">
        <f t="array" aca="1" ref="AT86" ca="1">SUM(ABS(INDIRECT(ADDRESS(66,22+($V86-1)*2+2)&amp;":"&amp;ADDRESS(70,22+($V86-1)*2+2))-AT$76:AT$80))</f>
        <v>0.31111520931128545</v>
      </c>
      <c r="AU86">
        <f t="array" aca="1" ref="AU86" ca="1">SUM(ABS(INDIRECT(ADDRESS(66,22+($V86-1)*2+1)&amp;":"&amp;ADDRESS(70,22+($V86-1)*2+1))-AU$76:AU$80))</f>
        <v>9.8763460218283194E-2</v>
      </c>
      <c r="AV86">
        <f t="array" aca="1" ref="AV86" ca="1">SUM(ABS(INDIRECT(ADDRESS(66,22+($V86-1)*2+2)&amp;":"&amp;ADDRESS(70,22+($V86-1)*2+2))-AV$76:AV$80))</f>
        <v>0.15914860039932741</v>
      </c>
      <c r="AW86">
        <f t="array" aca="1" ref="AW86" ca="1">SUM(ABS(INDIRECT(ADDRESS(66,22+($V86-1)*2+1)&amp;":"&amp;ADDRESS(70,22+($V86-1)*2+1))-AW$76:AW$80))</f>
        <v>3.1841374452838633E-2</v>
      </c>
      <c r="AX86">
        <f t="array" aca="1" ref="AX86" ca="1">SUM(ABS(INDIRECT(ADDRESS(66,22+($V86-1)*2+2)&amp;":"&amp;ADDRESS(70,22+($V86-1)*2+2))-AX$76:AX$80))</f>
        <v>1.0051851492913905E-2</v>
      </c>
      <c r="AY86">
        <f t="array" aca="1" ref="AY86" ca="1">SUM(ABS(INDIRECT(ADDRESS(66,22+($V86-1)*2+1)&amp;":"&amp;ADDRESS(70,22+($V86-1)*2+1))-AY$76:AY$80))</f>
        <v>0.15075240661549405</v>
      </c>
      <c r="AZ86">
        <f t="array" aca="1" ref="AZ86" ca="1">SUM(ABS(INDIRECT(ADDRESS(66,22+($V86-1)*2+2)&amp;":"&amp;ADDRESS(70,22+($V86-1)*2+2))-AZ$76:AZ$80))</f>
        <v>0.2918216667852791</v>
      </c>
      <c r="BA86">
        <f t="array" aca="1" ref="BA86" ca="1">SUM(ABS(INDIRECT(ADDRESS(66,22+($V86-1)*2+1)&amp;":"&amp;ADDRESS(70,22+($V86-1)*2+1))-BA$76:BA$80))</f>
        <v>7.9392339209626961E-2</v>
      </c>
      <c r="BB86">
        <f t="array" aca="1" ref="BB86" ca="1">SUM(ABS(INDIRECT(ADDRESS(66,22+($V86-1)*2+2)&amp;":"&amp;ADDRESS(70,22+($V86-1)*2+2))-BB$76:BB$80))</f>
        <v>0.16082887760905493</v>
      </c>
      <c r="BC86">
        <f t="array" aca="1" ref="BC86" ca="1">SUM(ABS(INDIRECT(ADDRESS(66,22+($V86-1)*2+1)&amp;":"&amp;ADDRESS(70,22+($V86-1)*2+1))-BC$76:BC$80))</f>
        <v>3.1343414705247041E-2</v>
      </c>
      <c r="BD86">
        <f t="array" aca="1" ref="BD86" ca="1">SUM(ABS(INDIRECT(ADDRESS(66,22+($V86-1)*2+2)&amp;":"&amp;ADDRESS(70,22+($V86-1)*2+2))-BD$76:BD$80))</f>
        <v>4.2101429342755348E-2</v>
      </c>
      <c r="BE86" t="e">
        <f t="array" aca="1" ref="BE86" ca="1">SUM(ABS(INDIRECT(ADDRESS(66,22+($V86-1)*2+1)&amp;":"&amp;ADDRESS(70,22+($V86-1)*2+1))-BE$76:BE$80))</f>
        <v>#DIV/0!</v>
      </c>
      <c r="BF86">
        <f t="array" aca="1" ref="BF86" ca="1">SUM(ABS(INDIRECT(ADDRESS(66,22+($V86-1)*2+2)&amp;":"&amp;ADDRESS(70,22+($V86-1)*2+2))-BF$76:BF$80))</f>
        <v>0.92192087542087542</v>
      </c>
      <c r="BG86" t="e">
        <f t="array" aca="1" ref="BG86" ca="1">SUM(ABS(INDIRECT(ADDRESS(66,22+($V86-1)*2+1)&amp;":"&amp;ADDRESS(70,22+($V86-1)*2+1))-BG$76:BG$80))</f>
        <v>#DIV/0!</v>
      </c>
      <c r="BH86">
        <f t="array" aca="1" ref="BH86" ca="1">SUM(ABS(INDIRECT(ADDRESS(66,22+($V86-1)*2+2)&amp;":"&amp;ADDRESS(70,22+($V86-1)*2+2))-BH$76:BH$80))</f>
        <v>0.92192087542087542</v>
      </c>
      <c r="BI86" t="e">
        <f t="array" aca="1" ref="BI86" ca="1">SUM(ABS(INDIRECT(ADDRESS(66,22+($V86-1)*2+1)&amp;":"&amp;ADDRESS(70,22+($V86-1)*2+1))-BI$76:BI$80))</f>
        <v>#DIV/0!</v>
      </c>
      <c r="BJ86">
        <f t="array" aca="1" ref="BJ86" ca="1">SUM(ABS(INDIRECT(ADDRESS(66,22+($V86-1)*2+2)&amp;":"&amp;ADDRESS(70,22+($V86-1)*2+2))-BJ$76:BJ$80))</f>
        <v>0.92192087542087542</v>
      </c>
      <c r="BK86" t="e">
        <f t="array" aca="1" ref="BK86" ca="1">SUM(ABS(INDIRECT(ADDRESS(66,22+($V86-1)*2+1)&amp;":"&amp;ADDRESS(70,22+($V86-1)*2+1))-BK$76:BK$80))</f>
        <v>#DIV/0!</v>
      </c>
      <c r="BL86">
        <f t="array" aca="1" ref="BL86" ca="1">SUM(ABS(INDIRECT(ADDRESS(66,22+($V86-1)*2+2)&amp;":"&amp;ADDRESS(70,22+($V86-1)*2+2))-BL$76:BL$80))</f>
        <v>0.92192087542087542</v>
      </c>
      <c r="CW86" s="1055"/>
      <c r="CX86" s="1150"/>
      <c r="CY86" s="1150"/>
      <c r="CZ86" s="1150"/>
      <c r="DA86" s="1150"/>
      <c r="DB86" s="1150"/>
      <c r="DC86" s="1150"/>
      <c r="DD86" s="1150"/>
      <c r="DE86" s="1150"/>
      <c r="DF86" s="1150"/>
      <c r="DG86" s="1150"/>
      <c r="DM86" s="290"/>
      <c r="DN86" s="290"/>
      <c r="DO86" s="290"/>
      <c r="DP86" s="290"/>
      <c r="DQ86" s="290"/>
    </row>
    <row r="87" spans="22:273" x14ac:dyDescent="0.2">
      <c r="V87">
        <v>5</v>
      </c>
      <c r="W87">
        <f t="array" aca="1" ref="W87" ca="1">SUM(ABS(INDIRECT(ADDRESS(66,22+($V87-1)*2+1)&amp;":"&amp;ADDRESS(70,22+($V87-1)*2+1))-W$76:W$80))</f>
        <v>0.29209446623516178</v>
      </c>
      <c r="X87">
        <f t="array" aca="1" ref="X87" ca="1">SUM(ABS(INDIRECT(ADDRESS(66,22+($V87-1)*2+2)&amp;":"&amp;ADDRESS(70,22+($V87-1)*2+2))-X$76:X$80))</f>
        <v>0.53211057796100469</v>
      </c>
      <c r="Y87">
        <f t="array" aca="1" ref="Y87" ca="1">SUM(ABS(INDIRECT(ADDRESS(66,22+($V87-1)*2+1)&amp;":"&amp;ADDRESS(70,22+($V87-1)*2+1))-Y$76:Y$80))</f>
        <v>0.25398797564531617</v>
      </c>
      <c r="Z87">
        <f t="array" aca="1" ref="Z87" ca="1">SUM(ABS(INDIRECT(ADDRESS(66,22+($V87-1)*2+2)&amp;":"&amp;ADDRESS(70,22+($V87-1)*2+2))-Z$76:Z$80))</f>
        <v>0.4368767389545366</v>
      </c>
      <c r="AA87">
        <f t="array" aca="1" ref="AA87" ca="1">SUM(ABS(INDIRECT(ADDRESS(66,22+($V87-1)*2+1)&amp;":"&amp;ADDRESS(70,22+($V87-1)*2+1))-AA$76:AA$80))</f>
        <v>0.19237720101521893</v>
      </c>
      <c r="AB87">
        <f t="array" aca="1" ref="AB87" ca="1">SUM(ABS(INDIRECT(ADDRESS(66,22+($V87-1)*2+2)&amp;":"&amp;ADDRESS(70,22+($V87-1)*2+2))-AB$76:AB$80))</f>
        <v>0.28491013004257859</v>
      </c>
      <c r="AC87">
        <f t="array" aca="1" ref="AC87" ca="1">SUM(ABS(INDIRECT(ADDRESS(66,22+($V87-1)*2+1)&amp;":"&amp;ADDRESS(70,22+($V87-1)*2+1))-AC$76:AC$80))</f>
        <v>0.11264723541940314</v>
      </c>
      <c r="AD87">
        <f t="array" aca="1" ref="AD87" ca="1">SUM(ABS(INDIRECT(ADDRESS(66,22+($V87-1)*2+2)&amp;":"&amp;ADDRESS(70,22+($V87-1)*2+2))-AD$76:AD$80))</f>
        <v>0.12896558080288048</v>
      </c>
      <c r="AE87">
        <f t="array" aca="1" ref="AE87" ca="1">SUM(ABS(INDIRECT(ADDRESS(66,22+($V87-1)*2+1)&amp;":"&amp;ADDRESS(70,22+($V87-1)*2+1))-AE$76:AE$80))</f>
        <v>9.1167929084149057E-2</v>
      </c>
      <c r="AF87">
        <f t="array" aca="1" ref="AF87" ca="1">SUM(ABS(INDIRECT(ADDRESS(66,22+($V87-1)*2+2)&amp;":"&amp;ADDRESS(70,22+($V87-1)*2+2))-AF$76:AF$80))</f>
        <v>0.16606013714202791</v>
      </c>
      <c r="AG87">
        <f t="array" aca="1" ref="AG87" ca="1">SUM(ABS(INDIRECT(ADDRESS(66,22+($V87-1)*2+1)&amp;":"&amp;ADDRESS(70,22+($V87-1)*2+1))-AG$76:AG$80))</f>
        <v>0.29209446623516178</v>
      </c>
      <c r="AH87">
        <f t="array" aca="1" ref="AH87" ca="1">SUM(ABS(INDIRECT(ADDRESS(66,22+($V87-1)*2+2)&amp;":"&amp;ADDRESS(70,22+($V87-1)*2+2))-AH$76:AH$80))</f>
        <v>0.53211057796100469</v>
      </c>
      <c r="AI87">
        <f t="array" aca="1" ref="AI87" ca="1">SUM(ABS(INDIRECT(ADDRESS(66,22+($V87-1)*2+1)&amp;":"&amp;ADDRESS(70,22+($V87-1)*2+1))-AI$76:AI$80))</f>
        <v>0.25398797564531617</v>
      </c>
      <c r="AJ87">
        <f t="array" aca="1" ref="AJ87" ca="1">SUM(ABS(INDIRECT(ADDRESS(66,22+($V87-1)*2+2)&amp;":"&amp;ADDRESS(70,22+($V87-1)*2+2))-AJ$76:AJ$80))</f>
        <v>0.4368767389545366</v>
      </c>
      <c r="AK87">
        <f t="array" aca="1" ref="AK87" ca="1">SUM(ABS(INDIRECT(ADDRESS(66,22+($V87-1)*2+1)&amp;":"&amp;ADDRESS(70,22+($V87-1)*2+1))-AK$76:AK$80))</f>
        <v>0.19237720101521893</v>
      </c>
      <c r="AL87">
        <f t="array" aca="1" ref="AL87" ca="1">SUM(ABS(INDIRECT(ADDRESS(66,22+($V87-1)*2+2)&amp;":"&amp;ADDRESS(70,22+($V87-1)*2+2))-AL$76:AL$80))</f>
        <v>0.28491013004257859</v>
      </c>
      <c r="AM87">
        <f t="array" aca="1" ref="AM87" ca="1">SUM(ABS(INDIRECT(ADDRESS(66,22+($V87-1)*2+1)&amp;":"&amp;ADDRESS(70,22+($V87-1)*2+1))-AM$76:AM$80))</f>
        <v>0.11264723541940314</v>
      </c>
      <c r="AN87">
        <f t="array" aca="1" ref="AN87" ca="1">SUM(ABS(INDIRECT(ADDRESS(66,22+($V87-1)*2+2)&amp;":"&amp;ADDRESS(70,22+($V87-1)*2+2))-AN$76:AN$80))</f>
        <v>0.12896558080288048</v>
      </c>
      <c r="AO87">
        <f t="array" aca="1" ref="AO87" ca="1">SUM(ABS(INDIRECT(ADDRESS(66,22+($V87-1)*2+1)&amp;":"&amp;ADDRESS(70,22+($V87-1)*2+1))-AO$76:AO$80))</f>
        <v>9.1167929084149057E-2</v>
      </c>
      <c r="AP87">
        <f t="array" aca="1" ref="AP87" ca="1">SUM(ABS(INDIRECT(ADDRESS(66,22+($V87-1)*2+2)&amp;":"&amp;ADDRESS(70,22+($V87-1)*2+2))-AP$76:AP$80))</f>
        <v>0.16606013714202791</v>
      </c>
      <c r="AQ87">
        <f t="array" aca="1" ref="AQ87" ca="1">SUM(ABS(INDIRECT(ADDRESS(66,22+($V87-1)*2+1)&amp;":"&amp;ADDRESS(70,22+($V87-1)*2+1))-AQ$76:AQ$80))</f>
        <v>0.29209446623516178</v>
      </c>
      <c r="AR87">
        <f t="array" aca="1" ref="AR87" ca="1">SUM(ABS(INDIRECT(ADDRESS(66,22+($V87-1)*2+2)&amp;":"&amp;ADDRESS(70,22+($V87-1)*2+2))-AR$76:AR$80))</f>
        <v>0.53211057796100469</v>
      </c>
      <c r="AS87">
        <f t="array" aca="1" ref="AS87" ca="1">SUM(ABS(INDIRECT(ADDRESS(66,22+($V87-1)*2+1)&amp;":"&amp;ADDRESS(70,22+($V87-1)*2+1))-AS$76:AS$80))</f>
        <v>0.25398797564531617</v>
      </c>
      <c r="AT87">
        <f t="array" aca="1" ref="AT87" ca="1">SUM(ABS(INDIRECT(ADDRESS(66,22+($V87-1)*2+2)&amp;":"&amp;ADDRESS(70,22+($V87-1)*2+2))-AT$76:AT$80))</f>
        <v>0.4368767389545366</v>
      </c>
      <c r="AU87">
        <f t="array" aca="1" ref="AU87" ca="1">SUM(ABS(INDIRECT(ADDRESS(66,22+($V87-1)*2+1)&amp;":"&amp;ADDRESS(70,22+($V87-1)*2+1))-AU$76:AU$80))</f>
        <v>0.19237720101521893</v>
      </c>
      <c r="AV87">
        <f t="array" aca="1" ref="AV87" ca="1">SUM(ABS(INDIRECT(ADDRESS(66,22+($V87-1)*2+2)&amp;":"&amp;ADDRESS(70,22+($V87-1)*2+2))-AV$76:AV$80))</f>
        <v>0.28491013004257859</v>
      </c>
      <c r="AW87">
        <f t="array" aca="1" ref="AW87" ca="1">SUM(ABS(INDIRECT(ADDRESS(66,22+($V87-1)*2+1)&amp;":"&amp;ADDRESS(70,22+($V87-1)*2+1))-AW$76:AW$80))</f>
        <v>0.11264723541940314</v>
      </c>
      <c r="AX87">
        <f t="array" aca="1" ref="AX87" ca="1">SUM(ABS(INDIRECT(ADDRESS(66,22+($V87-1)*2+2)&amp;":"&amp;ADDRESS(70,22+($V87-1)*2+2))-AX$76:AX$80))</f>
        <v>0.12896558080288048</v>
      </c>
      <c r="AY87">
        <f t="array" aca="1" ref="AY87" ca="1">SUM(ABS(INDIRECT(ADDRESS(66,22+($V87-1)*2+1)&amp;":"&amp;ADDRESS(70,22+($V87-1)*2+1))-AY$76:AY$80))</f>
        <v>9.1167929084149057E-2</v>
      </c>
      <c r="AZ87">
        <f t="array" aca="1" ref="AZ87" ca="1">SUM(ABS(INDIRECT(ADDRESS(66,22+($V87-1)*2+2)&amp;":"&amp;ADDRESS(70,22+($V87-1)*2+2))-AZ$76:AZ$80))</f>
        <v>0.16606013714202791</v>
      </c>
      <c r="BA87">
        <f t="array" aca="1" ref="BA87" ca="1">SUM(ABS(INDIRECT(ADDRESS(66,22+($V87-1)*2+1)&amp;":"&amp;ADDRESS(70,22+($V87-1)*2+1))-BA$76:BA$80))</f>
        <v>3.9489462872844161E-2</v>
      </c>
      <c r="BB87">
        <f t="array" aca="1" ref="BB87" ca="1">SUM(ABS(INDIRECT(ADDRESS(66,22+($V87-1)*2+2)&amp;":"&amp;ADDRESS(70,22+($V87-1)*2+2))-BB$76:BB$80))</f>
        <v>3.5067347965803769E-2</v>
      </c>
      <c r="BC87">
        <f t="array" aca="1" ref="BC87" ca="1">SUM(ABS(INDIRECT(ADDRESS(66,22+($V87-1)*2+1)&amp;":"&amp;ADDRESS(70,22+($V87-1)*2+1))-BC$76:BC$80))</f>
        <v>9.084349379496548E-2</v>
      </c>
      <c r="BD87">
        <f t="array" aca="1" ref="BD87" ca="1">SUM(ABS(INDIRECT(ADDRESS(66,22+($V87-1)*2+2)&amp;":"&amp;ADDRESS(70,22+($V87-1)*2+2))-BD$76:BD$80))</f>
        <v>8.366010030049581E-2</v>
      </c>
      <c r="BE87" t="e">
        <f t="array" aca="1" ref="BE87" ca="1">SUM(ABS(INDIRECT(ADDRESS(66,22+($V87-1)*2+1)&amp;":"&amp;ADDRESS(70,22+($V87-1)*2+1))-BE$76:BE$80))</f>
        <v>#DIV/0!</v>
      </c>
      <c r="BF87">
        <f t="array" aca="1" ref="BF87" ca="1">SUM(ABS(INDIRECT(ADDRESS(66,22+($V87-1)*2+2)&amp;":"&amp;ADDRESS(70,22+($V87-1)*2+2))-BF$76:BF$80))</f>
        <v>1.0476824050641265</v>
      </c>
      <c r="BG87" t="e">
        <f t="array" aca="1" ref="BG87" ca="1">SUM(ABS(INDIRECT(ADDRESS(66,22+($V87-1)*2+1)&amp;":"&amp;ADDRESS(70,22+($V87-1)*2+1))-BG$76:BG$80))</f>
        <v>#DIV/0!</v>
      </c>
      <c r="BH87">
        <f t="array" aca="1" ref="BH87" ca="1">SUM(ABS(INDIRECT(ADDRESS(66,22+($V87-1)*2+2)&amp;":"&amp;ADDRESS(70,22+($V87-1)*2+2))-BH$76:BH$80))</f>
        <v>1.0476824050641265</v>
      </c>
      <c r="BI87" t="e">
        <f t="array" aca="1" ref="BI87" ca="1">SUM(ABS(INDIRECT(ADDRESS(66,22+($V87-1)*2+1)&amp;":"&amp;ADDRESS(70,22+($V87-1)*2+1))-BI$76:BI$80))</f>
        <v>#DIV/0!</v>
      </c>
      <c r="BJ87">
        <f t="array" aca="1" ref="BJ87" ca="1">SUM(ABS(INDIRECT(ADDRESS(66,22+($V87-1)*2+2)&amp;":"&amp;ADDRESS(70,22+($V87-1)*2+2))-BJ$76:BJ$80))</f>
        <v>1.0476824050641265</v>
      </c>
      <c r="BK87" t="e">
        <f t="array" aca="1" ref="BK87" ca="1">SUM(ABS(INDIRECT(ADDRESS(66,22+($V87-1)*2+1)&amp;":"&amp;ADDRESS(70,22+($V87-1)*2+1))-BK$76:BK$80))</f>
        <v>#DIV/0!</v>
      </c>
      <c r="BL87">
        <f t="array" aca="1" ref="BL87" ca="1">SUM(ABS(INDIRECT(ADDRESS(66,22+($V87-1)*2+2)&amp;":"&amp;ADDRESS(70,22+($V87-1)*2+2))-BL$76:BL$80))</f>
        <v>1.0476824050641265</v>
      </c>
      <c r="CW87" s="1055"/>
      <c r="CX87" s="1150"/>
      <c r="CY87" s="1150"/>
      <c r="CZ87" s="1150"/>
      <c r="DA87" s="1150"/>
      <c r="DB87" s="1150"/>
      <c r="DC87" s="1150"/>
      <c r="DD87" s="1150"/>
      <c r="DE87" s="1150"/>
      <c r="DF87" s="1150"/>
      <c r="DG87" s="1150"/>
      <c r="DM87" s="290"/>
      <c r="DN87" s="290"/>
      <c r="DO87" s="290"/>
      <c r="DP87" s="290"/>
      <c r="DQ87" s="290"/>
    </row>
    <row r="88" spans="22:273" x14ac:dyDescent="0.2">
      <c r="V88">
        <v>6</v>
      </c>
      <c r="W88">
        <f t="array" aca="1" ref="W88" ca="1">SUM(ABS(INDIRECT(ADDRESS(66,22+($V88-1)*2+1)&amp;":"&amp;ADDRESS(70,22+($V88-1)*2+1))-W$76:W$80))</f>
        <v>0.31448875848367086</v>
      </c>
      <c r="X88">
        <f t="array" aca="1" ref="X88" ca="1">SUM(ABS(INDIRECT(ADDRESS(66,22+($V88-1)*2+2)&amp;":"&amp;ADDRESS(70,22+($V88-1)*2+2))-X$76:X$80))</f>
        <v>0.64110999107869615</v>
      </c>
      <c r="Y88">
        <f t="array" aca="1" ref="Y88" ca="1">SUM(ABS(INDIRECT(ADDRESS(66,22+($V88-1)*2+1)&amp;":"&amp;ADDRESS(70,22+($V88-1)*2+1))-Y$76:Y$80))</f>
        <v>0.27638226789382525</v>
      </c>
      <c r="Z88">
        <f t="array" aca="1" ref="Z88" ca="1">SUM(ABS(INDIRECT(ADDRESS(66,22+($V88-1)*2+2)&amp;":"&amp;ADDRESS(70,22+($V88-1)*2+2))-Z$76:Z$80))</f>
        <v>0.54587615207222817</v>
      </c>
      <c r="AA88">
        <f t="array" aca="1" ref="AA88" ca="1">SUM(ABS(INDIRECT(ADDRESS(66,22+($V88-1)*2+1)&amp;":"&amp;ADDRESS(70,22+($V88-1)*2+1))-AA$76:AA$80))</f>
        <v>0.21477149326372802</v>
      </c>
      <c r="AB88">
        <f t="array" aca="1" ref="AB88" ca="1">SUM(ABS(INDIRECT(ADDRESS(66,22+($V88-1)*2+2)&amp;":"&amp;ADDRESS(70,22+($V88-1)*2+2))-AB$76:AB$80))</f>
        <v>0.39390954316027016</v>
      </c>
      <c r="AC88">
        <f t="array" aca="1" ref="AC88" ca="1">SUM(ABS(INDIRECT(ADDRESS(66,22+($V88-1)*2+1)&amp;":"&amp;ADDRESS(70,22+($V88-1)*2+1))-AC$76:AC$80))</f>
        <v>0.13504152766791222</v>
      </c>
      <c r="AD88">
        <f t="array" aca="1" ref="AD88" ca="1">SUM(ABS(INDIRECT(ADDRESS(66,22+($V88-1)*2+2)&amp;":"&amp;ADDRESS(70,22+($V88-1)*2+2))-AD$76:AD$80))</f>
        <v>0.23796499392057205</v>
      </c>
      <c r="AE88">
        <f t="array" aca="1" ref="AE88" ca="1">SUM(ABS(INDIRECT(ADDRESS(66,22+($V88-1)*2+1)&amp;":"&amp;ADDRESS(70,22+($V88-1)*2+1))-AE$76:AE$80))</f>
        <v>6.3017683734884367E-2</v>
      </c>
      <c r="AF88">
        <f t="array" aca="1" ref="AF88" ca="1">SUM(ABS(INDIRECT(ADDRESS(66,22+($V88-1)*2+2)&amp;":"&amp;ADDRESS(70,22+($V88-1)*2+2))-AF$76:AF$80))</f>
        <v>5.7060724024336346E-2</v>
      </c>
      <c r="AG88">
        <f t="array" aca="1" ref="AG88" ca="1">SUM(ABS(INDIRECT(ADDRESS(66,22+($V88-1)*2+1)&amp;":"&amp;ADDRESS(70,22+($V88-1)*2+1))-AG$76:AG$80))</f>
        <v>0.31448875848367086</v>
      </c>
      <c r="AH88">
        <f t="array" aca="1" ref="AH88" ca="1">SUM(ABS(INDIRECT(ADDRESS(66,22+($V88-1)*2+2)&amp;":"&amp;ADDRESS(70,22+($V88-1)*2+2))-AH$76:AH$80))</f>
        <v>0.64110999107869615</v>
      </c>
      <c r="AI88">
        <f t="array" aca="1" ref="AI88" ca="1">SUM(ABS(INDIRECT(ADDRESS(66,22+($V88-1)*2+1)&amp;":"&amp;ADDRESS(70,22+($V88-1)*2+1))-AI$76:AI$80))</f>
        <v>0.27638226789382525</v>
      </c>
      <c r="AJ88">
        <f t="array" aca="1" ref="AJ88" ca="1">SUM(ABS(INDIRECT(ADDRESS(66,22+($V88-1)*2+2)&amp;":"&amp;ADDRESS(70,22+($V88-1)*2+2))-AJ$76:AJ$80))</f>
        <v>0.54587615207222817</v>
      </c>
      <c r="AK88">
        <f t="array" aca="1" ref="AK88" ca="1">SUM(ABS(INDIRECT(ADDRESS(66,22+($V88-1)*2+1)&amp;":"&amp;ADDRESS(70,22+($V88-1)*2+1))-AK$76:AK$80))</f>
        <v>0.21477149326372802</v>
      </c>
      <c r="AL88">
        <f t="array" aca="1" ref="AL88" ca="1">SUM(ABS(INDIRECT(ADDRESS(66,22+($V88-1)*2+2)&amp;":"&amp;ADDRESS(70,22+($V88-1)*2+2))-AL$76:AL$80))</f>
        <v>0.39390954316027016</v>
      </c>
      <c r="AM88">
        <f t="array" aca="1" ref="AM88" ca="1">SUM(ABS(INDIRECT(ADDRESS(66,22+($V88-1)*2+1)&amp;":"&amp;ADDRESS(70,22+($V88-1)*2+1))-AM$76:AM$80))</f>
        <v>0.13504152766791222</v>
      </c>
      <c r="AN88">
        <f t="array" aca="1" ref="AN88" ca="1">SUM(ABS(INDIRECT(ADDRESS(66,22+($V88-1)*2+2)&amp;":"&amp;ADDRESS(70,22+($V88-1)*2+2))-AN$76:AN$80))</f>
        <v>0.23796499392057205</v>
      </c>
      <c r="AO88">
        <f t="array" aca="1" ref="AO88" ca="1">SUM(ABS(INDIRECT(ADDRESS(66,22+($V88-1)*2+1)&amp;":"&amp;ADDRESS(70,22+($V88-1)*2+1))-AO$76:AO$80))</f>
        <v>6.3017683734884367E-2</v>
      </c>
      <c r="AP88">
        <f t="array" aca="1" ref="AP88" ca="1">SUM(ABS(INDIRECT(ADDRESS(66,22+($V88-1)*2+2)&amp;":"&amp;ADDRESS(70,22+($V88-1)*2+2))-AP$76:AP$80))</f>
        <v>5.7060724024336346E-2</v>
      </c>
      <c r="AQ88">
        <f t="array" aca="1" ref="AQ88" ca="1">SUM(ABS(INDIRECT(ADDRESS(66,22+($V88-1)*2+1)&amp;":"&amp;ADDRESS(70,22+($V88-1)*2+1))-AQ$76:AQ$80))</f>
        <v>0.31448875848367086</v>
      </c>
      <c r="AR88">
        <f t="array" aca="1" ref="AR88" ca="1">SUM(ABS(INDIRECT(ADDRESS(66,22+($V88-1)*2+2)&amp;":"&amp;ADDRESS(70,22+($V88-1)*2+2))-AR$76:AR$80))</f>
        <v>0.64110999107869615</v>
      </c>
      <c r="AS88">
        <f t="array" aca="1" ref="AS88" ca="1">SUM(ABS(INDIRECT(ADDRESS(66,22+($V88-1)*2+1)&amp;":"&amp;ADDRESS(70,22+($V88-1)*2+1))-AS$76:AS$80))</f>
        <v>0.27638226789382525</v>
      </c>
      <c r="AT88">
        <f t="array" aca="1" ref="AT88" ca="1">SUM(ABS(INDIRECT(ADDRESS(66,22+($V88-1)*2+2)&amp;":"&amp;ADDRESS(70,22+($V88-1)*2+2))-AT$76:AT$80))</f>
        <v>0.54587615207222817</v>
      </c>
      <c r="AU88">
        <f t="array" aca="1" ref="AU88" ca="1">SUM(ABS(INDIRECT(ADDRESS(66,22+($V88-1)*2+1)&amp;":"&amp;ADDRESS(70,22+($V88-1)*2+1))-AU$76:AU$80))</f>
        <v>0.21477149326372802</v>
      </c>
      <c r="AV88">
        <f t="array" aca="1" ref="AV88" ca="1">SUM(ABS(INDIRECT(ADDRESS(66,22+($V88-1)*2+2)&amp;":"&amp;ADDRESS(70,22+($V88-1)*2+2))-AV$76:AV$80))</f>
        <v>0.39390954316027016</v>
      </c>
      <c r="AW88">
        <f t="array" aca="1" ref="AW88" ca="1">SUM(ABS(INDIRECT(ADDRESS(66,22+($V88-1)*2+1)&amp;":"&amp;ADDRESS(70,22+($V88-1)*2+1))-AW$76:AW$80))</f>
        <v>0.13504152766791222</v>
      </c>
      <c r="AX88">
        <f t="array" aca="1" ref="AX88" ca="1">SUM(ABS(INDIRECT(ADDRESS(66,22+($V88-1)*2+2)&amp;":"&amp;ADDRESS(70,22+($V88-1)*2+2))-AX$76:AX$80))</f>
        <v>0.23796499392057205</v>
      </c>
      <c r="AY88">
        <f t="array" aca="1" ref="AY88" ca="1">SUM(ABS(INDIRECT(ADDRESS(66,22+($V88-1)*2+1)&amp;":"&amp;ADDRESS(70,22+($V88-1)*2+1))-AY$76:AY$80))</f>
        <v>6.3017683734884367E-2</v>
      </c>
      <c r="AZ88">
        <f t="array" aca="1" ref="AZ88" ca="1">SUM(ABS(INDIRECT(ADDRESS(66,22+($V88-1)*2+2)&amp;":"&amp;ADDRESS(70,22+($V88-1)*2+2))-AZ$76:AZ$80))</f>
        <v>5.7060724024336346E-2</v>
      </c>
      <c r="BA88">
        <f t="array" aca="1" ref="BA88" ca="1">SUM(ABS(INDIRECT(ADDRESS(66,22+($V88-1)*2+1)&amp;":"&amp;ADDRESS(70,22+($V88-1)*2+1))-BA$76:BA$80))</f>
        <v>4.6064335249291655E-2</v>
      </c>
      <c r="BB88">
        <f t="array" aca="1" ref="BB88" ca="1">SUM(ABS(INDIRECT(ADDRESS(66,22+($V88-1)*2+2)&amp;":"&amp;ADDRESS(70,22+($V88-1)*2+2))-BB$76:BB$80))</f>
        <v>7.3932065151887799E-2</v>
      </c>
      <c r="BC88">
        <f t="array" aca="1" ref="BC88" ca="1">SUM(ABS(INDIRECT(ADDRESS(66,22+($V88-1)*2+1)&amp;":"&amp;ADDRESS(70,22+($V88-1)*2+1))-BC$76:BC$80))</f>
        <v>0.11323778604347456</v>
      </c>
      <c r="BD88">
        <f t="array" aca="1" ref="BD88" ca="1">SUM(ABS(INDIRECT(ADDRESS(66,22+($V88-1)*2+2)&amp;":"&amp;ADDRESS(70,22+($V88-1)*2+2))-BD$76:BD$80))</f>
        <v>0.19265951341818738</v>
      </c>
      <c r="BE88" t="e">
        <f t="array" aca="1" ref="BE88" ca="1">SUM(ABS(INDIRECT(ADDRESS(66,22+($V88-1)*2+1)&amp;":"&amp;ADDRESS(70,22+($V88-1)*2+1))-BE$76:BE$80))</f>
        <v>#DIV/0!</v>
      </c>
      <c r="BF88">
        <f t="array" aca="1" ref="BF88" ca="1">SUM(ABS(INDIRECT(ADDRESS(66,22+($V88-1)*2+2)&amp;":"&amp;ADDRESS(70,22+($V88-1)*2+2))-BF$76:BF$80))</f>
        <v>1.1566818181818181</v>
      </c>
      <c r="BG88" t="e">
        <f t="array" aca="1" ref="BG88" ca="1">SUM(ABS(INDIRECT(ADDRESS(66,22+($V88-1)*2+1)&amp;":"&amp;ADDRESS(70,22+($V88-1)*2+1))-BG$76:BG$80))</f>
        <v>#DIV/0!</v>
      </c>
      <c r="BH88">
        <f t="array" aca="1" ref="BH88" ca="1">SUM(ABS(INDIRECT(ADDRESS(66,22+($V88-1)*2+2)&amp;":"&amp;ADDRESS(70,22+($V88-1)*2+2))-BH$76:BH$80))</f>
        <v>1.1566818181818181</v>
      </c>
      <c r="BI88" t="e">
        <f t="array" aca="1" ref="BI88" ca="1">SUM(ABS(INDIRECT(ADDRESS(66,22+($V88-1)*2+1)&amp;":"&amp;ADDRESS(70,22+($V88-1)*2+1))-BI$76:BI$80))</f>
        <v>#DIV/0!</v>
      </c>
      <c r="BJ88">
        <f t="array" aca="1" ref="BJ88" ca="1">SUM(ABS(INDIRECT(ADDRESS(66,22+($V88-1)*2+2)&amp;":"&amp;ADDRESS(70,22+($V88-1)*2+2))-BJ$76:BJ$80))</f>
        <v>1.1566818181818181</v>
      </c>
      <c r="BK88" t="e">
        <f t="array" aca="1" ref="BK88" ca="1">SUM(ABS(INDIRECT(ADDRESS(66,22+($V88-1)*2+1)&amp;":"&amp;ADDRESS(70,22+($V88-1)*2+1))-BK$76:BK$80))</f>
        <v>#DIV/0!</v>
      </c>
      <c r="BL88">
        <f t="array" aca="1" ref="BL88" ca="1">SUM(ABS(INDIRECT(ADDRESS(66,22+($V88-1)*2+2)&amp;":"&amp;ADDRESS(70,22+($V88-1)*2+2))-BL$76:BL$80))</f>
        <v>1.1566818181818181</v>
      </c>
      <c r="CW88" s="1055"/>
      <c r="CX88" s="1150"/>
      <c r="CY88" s="1150"/>
      <c r="CZ88" s="1150"/>
      <c r="DA88" s="1150"/>
      <c r="DB88" s="1150"/>
      <c r="DC88" s="1150"/>
      <c r="DD88" s="1150"/>
      <c r="DE88" s="1150"/>
      <c r="DF88" s="1150"/>
      <c r="DG88" s="1150"/>
      <c r="DM88" s="290"/>
      <c r="DN88" s="290"/>
      <c r="DO88" s="290"/>
      <c r="DP88" s="290"/>
      <c r="DQ88" s="290"/>
    </row>
    <row r="89" spans="22:273" x14ac:dyDescent="0.2">
      <c r="V89">
        <v>7</v>
      </c>
      <c r="W89" t="e">
        <f t="array" aca="1" ref="W89" ca="1">SUM(ABS(INDIRECT(ADDRESS(66,22+($V89-1)*2+1)&amp;":"&amp;ADDRESS(70,22+($V89-1)*2+1))-W$76:W$80))</f>
        <v>#REF!</v>
      </c>
      <c r="X89" t="e">
        <f t="array" aca="1" ref="X89" ca="1">SUM(ABS(INDIRECT(ADDRESS(66,22+($V89-1)*2+2)&amp;":"&amp;ADDRESS(70,22+($V89-1)*2+2))-X$76:X$80))</f>
        <v>#REF!</v>
      </c>
      <c r="Y89" t="e">
        <f t="array" aca="1" ref="Y89" ca="1">SUM(ABS(INDIRECT(ADDRESS(66,22+($V89-1)*2+1)&amp;":"&amp;ADDRESS(70,22+($V89-1)*2+1))-Y$76:Y$80))</f>
        <v>#REF!</v>
      </c>
      <c r="Z89" t="e">
        <f t="array" aca="1" ref="Z89" ca="1">SUM(ABS(INDIRECT(ADDRESS(66,22+($V89-1)*2+2)&amp;":"&amp;ADDRESS(70,22+($V89-1)*2+2))-Z$76:Z$80))</f>
        <v>#REF!</v>
      </c>
      <c r="AA89" t="e">
        <f t="array" aca="1" ref="AA89" ca="1">SUM(ABS(INDIRECT(ADDRESS(66,22+($V89-1)*2+1)&amp;":"&amp;ADDRESS(70,22+($V89-1)*2+1))-AA$76:AA$80))</f>
        <v>#REF!</v>
      </c>
      <c r="AB89" t="e">
        <f t="array" aca="1" ref="AB89" ca="1">SUM(ABS(INDIRECT(ADDRESS(66,22+($V89-1)*2+2)&amp;":"&amp;ADDRESS(70,22+($V89-1)*2+2))-AB$76:AB$80))</f>
        <v>#REF!</v>
      </c>
      <c r="AC89" t="e">
        <f t="array" aca="1" ref="AC89" ca="1">SUM(ABS(INDIRECT(ADDRESS(66,22+($V89-1)*2+1)&amp;":"&amp;ADDRESS(70,22+($V89-1)*2+1))-AC$76:AC$80))</f>
        <v>#REF!</v>
      </c>
      <c r="AD89" t="e">
        <f t="array" aca="1" ref="AD89" ca="1">SUM(ABS(INDIRECT(ADDRESS(66,22+($V89-1)*2+2)&amp;":"&amp;ADDRESS(70,22+($V89-1)*2+2))-AD$76:AD$80))</f>
        <v>#REF!</v>
      </c>
      <c r="AE89" t="e">
        <f t="array" aca="1" ref="AE89" ca="1">SUM(ABS(INDIRECT(ADDRESS(66,22+($V89-1)*2+1)&amp;":"&amp;ADDRESS(70,22+($V89-1)*2+1))-AE$76:AE$80))</f>
        <v>#REF!</v>
      </c>
      <c r="AF89" t="e">
        <f t="array" aca="1" ref="AF89" ca="1">SUM(ABS(INDIRECT(ADDRESS(66,22+($V89-1)*2+2)&amp;":"&amp;ADDRESS(70,22+($V89-1)*2+2))-AF$76:AF$80))</f>
        <v>#REF!</v>
      </c>
      <c r="AG89" t="e">
        <f t="array" aca="1" ref="AG89" ca="1">SUM(ABS(INDIRECT(ADDRESS(66,22+($V89-1)*2+1)&amp;":"&amp;ADDRESS(70,22+($V89-1)*2+1))-AG$76:AG$80))</f>
        <v>#REF!</v>
      </c>
      <c r="AH89" t="e">
        <f t="array" aca="1" ref="AH89" ca="1">SUM(ABS(INDIRECT(ADDRESS(66,22+($V89-1)*2+2)&amp;":"&amp;ADDRESS(70,22+($V89-1)*2+2))-AH$76:AH$80))</f>
        <v>#REF!</v>
      </c>
      <c r="AI89" t="e">
        <f t="array" aca="1" ref="AI89" ca="1">SUM(ABS(INDIRECT(ADDRESS(66,22+($V89-1)*2+1)&amp;":"&amp;ADDRESS(70,22+($V89-1)*2+1))-AI$76:AI$80))</f>
        <v>#REF!</v>
      </c>
      <c r="AJ89" t="e">
        <f t="array" aca="1" ref="AJ89" ca="1">SUM(ABS(INDIRECT(ADDRESS(66,22+($V89-1)*2+2)&amp;":"&amp;ADDRESS(70,22+($V89-1)*2+2))-AJ$76:AJ$80))</f>
        <v>#REF!</v>
      </c>
      <c r="AK89" t="e">
        <f t="array" aca="1" ref="AK89" ca="1">SUM(ABS(INDIRECT(ADDRESS(66,22+($V89-1)*2+1)&amp;":"&amp;ADDRESS(70,22+($V89-1)*2+1))-AK$76:AK$80))</f>
        <v>#REF!</v>
      </c>
      <c r="AL89" t="e">
        <f t="array" aca="1" ref="AL89" ca="1">SUM(ABS(INDIRECT(ADDRESS(66,22+($V89-1)*2+2)&amp;":"&amp;ADDRESS(70,22+($V89-1)*2+2))-AL$76:AL$80))</f>
        <v>#REF!</v>
      </c>
      <c r="AM89" t="e">
        <f t="array" aca="1" ref="AM89" ca="1">SUM(ABS(INDIRECT(ADDRESS(66,22+($V89-1)*2+1)&amp;":"&amp;ADDRESS(70,22+($V89-1)*2+1))-AM$76:AM$80))</f>
        <v>#REF!</v>
      </c>
      <c r="AN89" t="e">
        <f t="array" aca="1" ref="AN89" ca="1">SUM(ABS(INDIRECT(ADDRESS(66,22+($V89-1)*2+2)&amp;":"&amp;ADDRESS(70,22+($V89-1)*2+2))-AN$76:AN$80))</f>
        <v>#REF!</v>
      </c>
      <c r="AO89" t="e">
        <f t="array" aca="1" ref="AO89" ca="1">SUM(ABS(INDIRECT(ADDRESS(66,22+($V89-1)*2+1)&amp;":"&amp;ADDRESS(70,22+($V89-1)*2+1))-AO$76:AO$80))</f>
        <v>#REF!</v>
      </c>
      <c r="AP89" t="e">
        <f t="array" aca="1" ref="AP89" ca="1">SUM(ABS(INDIRECT(ADDRESS(66,22+($V89-1)*2+2)&amp;":"&amp;ADDRESS(70,22+($V89-1)*2+2))-AP$76:AP$80))</f>
        <v>#REF!</v>
      </c>
      <c r="AQ89" t="e">
        <f t="array" aca="1" ref="AQ89" ca="1">SUM(ABS(INDIRECT(ADDRESS(66,22+($V89-1)*2+1)&amp;":"&amp;ADDRESS(70,22+($V89-1)*2+1))-AQ$76:AQ$80))</f>
        <v>#REF!</v>
      </c>
      <c r="AR89" t="e">
        <f t="array" aca="1" ref="AR89" ca="1">SUM(ABS(INDIRECT(ADDRESS(66,22+($V89-1)*2+2)&amp;":"&amp;ADDRESS(70,22+($V89-1)*2+2))-AR$76:AR$80))</f>
        <v>#REF!</v>
      </c>
      <c r="AS89" t="e">
        <f t="array" aca="1" ref="AS89" ca="1">SUM(ABS(INDIRECT(ADDRESS(66,22+($V89-1)*2+1)&amp;":"&amp;ADDRESS(70,22+($V89-1)*2+1))-AS$76:AS$80))</f>
        <v>#REF!</v>
      </c>
      <c r="AT89" t="e">
        <f t="array" aca="1" ref="AT89" ca="1">SUM(ABS(INDIRECT(ADDRESS(66,22+($V89-1)*2+2)&amp;":"&amp;ADDRESS(70,22+($V89-1)*2+2))-AT$76:AT$80))</f>
        <v>#REF!</v>
      </c>
      <c r="AU89" t="e">
        <f t="array" aca="1" ref="AU89" ca="1">SUM(ABS(INDIRECT(ADDRESS(66,22+($V89-1)*2+1)&amp;":"&amp;ADDRESS(70,22+($V89-1)*2+1))-AU$76:AU$80))</f>
        <v>#REF!</v>
      </c>
      <c r="AV89" t="e">
        <f t="array" aca="1" ref="AV89" ca="1">SUM(ABS(INDIRECT(ADDRESS(66,22+($V89-1)*2+2)&amp;":"&amp;ADDRESS(70,22+($V89-1)*2+2))-AV$76:AV$80))</f>
        <v>#REF!</v>
      </c>
      <c r="AW89" t="e">
        <f t="array" aca="1" ref="AW89" ca="1">SUM(ABS(INDIRECT(ADDRESS(66,22+($V89-1)*2+1)&amp;":"&amp;ADDRESS(70,22+($V89-1)*2+1))-AW$76:AW$80))</f>
        <v>#REF!</v>
      </c>
      <c r="AX89" t="e">
        <f t="array" aca="1" ref="AX89" ca="1">SUM(ABS(INDIRECT(ADDRESS(66,22+($V89-1)*2+2)&amp;":"&amp;ADDRESS(70,22+($V89-1)*2+2))-AX$76:AX$80))</f>
        <v>#REF!</v>
      </c>
      <c r="AY89" t="e">
        <f t="array" aca="1" ref="AY89" ca="1">SUM(ABS(INDIRECT(ADDRESS(66,22+($V89-1)*2+1)&amp;":"&amp;ADDRESS(70,22+($V89-1)*2+1))-AY$76:AY$80))</f>
        <v>#REF!</v>
      </c>
      <c r="AZ89" t="e">
        <f t="array" aca="1" ref="AZ89" ca="1">SUM(ABS(INDIRECT(ADDRESS(66,22+($V89-1)*2+2)&amp;":"&amp;ADDRESS(70,22+($V89-1)*2+2))-AZ$76:AZ$80))</f>
        <v>#REF!</v>
      </c>
      <c r="BA89" t="e">
        <f t="array" aca="1" ref="BA89" ca="1">SUM(ABS(INDIRECT(ADDRESS(66,22+($V89-1)*2+1)&amp;":"&amp;ADDRESS(70,22+($V89-1)*2+1))-BA$76:BA$80))</f>
        <v>#REF!</v>
      </c>
      <c r="BB89" t="e">
        <f t="array" aca="1" ref="BB89" ca="1">SUM(ABS(INDIRECT(ADDRESS(66,22+($V89-1)*2+2)&amp;":"&amp;ADDRESS(70,22+($V89-1)*2+2))-BB$76:BB$80))</f>
        <v>#REF!</v>
      </c>
      <c r="BC89" t="e">
        <f t="array" aca="1" ref="BC89" ca="1">SUM(ABS(INDIRECT(ADDRESS(66,22+($V89-1)*2+1)&amp;":"&amp;ADDRESS(70,22+($V89-1)*2+1))-BC$76:BC$80))</f>
        <v>#REF!</v>
      </c>
      <c r="BD89" t="e">
        <f t="array" aca="1" ref="BD89" ca="1">SUM(ABS(INDIRECT(ADDRESS(66,22+($V89-1)*2+2)&amp;":"&amp;ADDRESS(70,22+($V89-1)*2+2))-BD$76:BD$80))</f>
        <v>#REF!</v>
      </c>
      <c r="BE89" t="e">
        <f t="array" aca="1" ref="BE89" ca="1">SUM(ABS(INDIRECT(ADDRESS(66,22+($V89-1)*2+1)&amp;":"&amp;ADDRESS(70,22+($V89-1)*2+1))-BE$76:BE$80))</f>
        <v>#REF!</v>
      </c>
      <c r="BF89" t="e">
        <f t="array" aca="1" ref="BF89" ca="1">SUM(ABS(INDIRECT(ADDRESS(66,22+($V89-1)*2+2)&amp;":"&amp;ADDRESS(70,22+($V89-1)*2+2))-BF$76:BF$80))</f>
        <v>#REF!</v>
      </c>
      <c r="BG89" t="e">
        <f t="array" aca="1" ref="BG89" ca="1">SUM(ABS(INDIRECT(ADDRESS(66,22+($V89-1)*2+1)&amp;":"&amp;ADDRESS(70,22+($V89-1)*2+1))-BG$76:BG$80))</f>
        <v>#REF!</v>
      </c>
      <c r="BH89" t="e">
        <f t="array" aca="1" ref="BH89" ca="1">SUM(ABS(INDIRECT(ADDRESS(66,22+($V89-1)*2+2)&amp;":"&amp;ADDRESS(70,22+($V89-1)*2+2))-BH$76:BH$80))</f>
        <v>#REF!</v>
      </c>
      <c r="BI89" t="e">
        <f t="array" aca="1" ref="BI89" ca="1">SUM(ABS(INDIRECT(ADDRESS(66,22+($V89-1)*2+1)&amp;":"&amp;ADDRESS(70,22+($V89-1)*2+1))-BI$76:BI$80))</f>
        <v>#REF!</v>
      </c>
      <c r="BJ89" t="e">
        <f t="array" aca="1" ref="BJ89" ca="1">SUM(ABS(INDIRECT(ADDRESS(66,22+($V89-1)*2+2)&amp;":"&amp;ADDRESS(70,22+($V89-1)*2+2))-BJ$76:BJ$80))</f>
        <v>#REF!</v>
      </c>
      <c r="BK89" t="e">
        <f t="array" aca="1" ref="BK89" ca="1">SUM(ABS(INDIRECT(ADDRESS(66,22+($V89-1)*2+1)&amp;":"&amp;ADDRESS(70,22+($V89-1)*2+1))-BK$76:BK$80))</f>
        <v>#REF!</v>
      </c>
      <c r="BL89" t="e">
        <f t="array" aca="1" ref="BL89" ca="1">SUM(ABS(INDIRECT(ADDRESS(66,22+($V89-1)*2+2)&amp;":"&amp;ADDRESS(70,22+($V89-1)*2+2))-BL$76:BL$80))</f>
        <v>#REF!</v>
      </c>
      <c r="CW89" s="1055"/>
      <c r="CX89" s="1150"/>
      <c r="CY89" s="1150"/>
      <c r="CZ89" s="1150"/>
      <c r="DA89" s="1150"/>
      <c r="DB89" s="1150"/>
      <c r="DC89" s="1150"/>
      <c r="DD89" s="1150"/>
      <c r="DE89" s="1150"/>
      <c r="DF89" s="1150"/>
      <c r="DG89" s="1150"/>
      <c r="DM89" s="290"/>
      <c r="DN89" s="290"/>
      <c r="DO89" s="290"/>
      <c r="DP89" s="290"/>
      <c r="DQ89" s="290"/>
    </row>
    <row r="90" spans="22:273" x14ac:dyDescent="0.2">
      <c r="V90">
        <v>8</v>
      </c>
      <c r="W90" t="e">
        <f t="array" aca="1" ref="W90" ca="1">SUM(ABS(INDIRECT(ADDRESS(66,22+($V90-1)*2+1)&amp;":"&amp;ADDRESS(70,22+($V90-1)*2+1))-W$76:W$80))</f>
        <v>#REF!</v>
      </c>
      <c r="X90" t="e">
        <f t="array" aca="1" ref="X90" ca="1">SUM(ABS(INDIRECT(ADDRESS(66,22+($V90-1)*2+2)&amp;":"&amp;ADDRESS(70,22+($V90-1)*2+2))-X$76:X$80))</f>
        <v>#REF!</v>
      </c>
      <c r="Y90" t="e">
        <f t="array" aca="1" ref="Y90" ca="1">SUM(ABS(INDIRECT(ADDRESS(66,22+($V90-1)*2+1)&amp;":"&amp;ADDRESS(70,22+($V90-1)*2+1))-Y$76:Y$80))</f>
        <v>#REF!</v>
      </c>
      <c r="Z90" t="e">
        <f t="array" aca="1" ref="Z90" ca="1">SUM(ABS(INDIRECT(ADDRESS(66,22+($V90-1)*2+2)&amp;":"&amp;ADDRESS(70,22+($V90-1)*2+2))-Z$76:Z$80))</f>
        <v>#REF!</v>
      </c>
      <c r="AA90" t="e">
        <f t="array" aca="1" ref="AA90" ca="1">SUM(ABS(INDIRECT(ADDRESS(66,22+($V90-1)*2+1)&amp;":"&amp;ADDRESS(70,22+($V90-1)*2+1))-AA$76:AA$80))</f>
        <v>#REF!</v>
      </c>
      <c r="AB90" t="e">
        <f t="array" aca="1" ref="AB90" ca="1">SUM(ABS(INDIRECT(ADDRESS(66,22+($V90-1)*2+2)&amp;":"&amp;ADDRESS(70,22+($V90-1)*2+2))-AB$76:AB$80))</f>
        <v>#REF!</v>
      </c>
      <c r="AC90" t="e">
        <f t="array" aca="1" ref="AC90" ca="1">SUM(ABS(INDIRECT(ADDRESS(66,22+($V90-1)*2+1)&amp;":"&amp;ADDRESS(70,22+($V90-1)*2+1))-AC$76:AC$80))</f>
        <v>#REF!</v>
      </c>
      <c r="AD90" t="e">
        <f t="array" aca="1" ref="AD90" ca="1">SUM(ABS(INDIRECT(ADDRESS(66,22+($V90-1)*2+2)&amp;":"&amp;ADDRESS(70,22+($V90-1)*2+2))-AD$76:AD$80))</f>
        <v>#REF!</v>
      </c>
      <c r="AE90" t="e">
        <f t="array" aca="1" ref="AE90" ca="1">SUM(ABS(INDIRECT(ADDRESS(66,22+($V90-1)*2+1)&amp;":"&amp;ADDRESS(70,22+($V90-1)*2+1))-AE$76:AE$80))</f>
        <v>#REF!</v>
      </c>
      <c r="AF90" t="e">
        <f t="array" aca="1" ref="AF90" ca="1">SUM(ABS(INDIRECT(ADDRESS(66,22+($V90-1)*2+2)&amp;":"&amp;ADDRESS(70,22+($V90-1)*2+2))-AF$76:AF$80))</f>
        <v>#REF!</v>
      </c>
      <c r="AG90" t="e">
        <f t="array" aca="1" ref="AG90" ca="1">SUM(ABS(INDIRECT(ADDRESS(66,22+($V90-1)*2+1)&amp;":"&amp;ADDRESS(70,22+($V90-1)*2+1))-AG$76:AG$80))</f>
        <v>#REF!</v>
      </c>
      <c r="AH90" t="e">
        <f t="array" aca="1" ref="AH90" ca="1">SUM(ABS(INDIRECT(ADDRESS(66,22+($V90-1)*2+2)&amp;":"&amp;ADDRESS(70,22+($V90-1)*2+2))-AH$76:AH$80))</f>
        <v>#REF!</v>
      </c>
      <c r="AI90" t="e">
        <f t="array" aca="1" ref="AI90" ca="1">SUM(ABS(INDIRECT(ADDRESS(66,22+($V90-1)*2+1)&amp;":"&amp;ADDRESS(70,22+($V90-1)*2+1))-AI$76:AI$80))</f>
        <v>#REF!</v>
      </c>
      <c r="AJ90" t="e">
        <f t="array" aca="1" ref="AJ90" ca="1">SUM(ABS(INDIRECT(ADDRESS(66,22+($V90-1)*2+2)&amp;":"&amp;ADDRESS(70,22+($V90-1)*2+2))-AJ$76:AJ$80))</f>
        <v>#REF!</v>
      </c>
      <c r="AK90" t="e">
        <f t="array" aca="1" ref="AK90" ca="1">SUM(ABS(INDIRECT(ADDRESS(66,22+($V90-1)*2+1)&amp;":"&amp;ADDRESS(70,22+($V90-1)*2+1))-AK$76:AK$80))</f>
        <v>#REF!</v>
      </c>
      <c r="AL90" t="e">
        <f t="array" aca="1" ref="AL90" ca="1">SUM(ABS(INDIRECT(ADDRESS(66,22+($V90-1)*2+2)&amp;":"&amp;ADDRESS(70,22+($V90-1)*2+2))-AL$76:AL$80))</f>
        <v>#REF!</v>
      </c>
      <c r="AM90" t="e">
        <f t="array" aca="1" ref="AM90" ca="1">SUM(ABS(INDIRECT(ADDRESS(66,22+($V90-1)*2+1)&amp;":"&amp;ADDRESS(70,22+($V90-1)*2+1))-AM$76:AM$80))</f>
        <v>#REF!</v>
      </c>
      <c r="AN90" t="e">
        <f t="array" aca="1" ref="AN90" ca="1">SUM(ABS(INDIRECT(ADDRESS(66,22+($V90-1)*2+2)&amp;":"&amp;ADDRESS(70,22+($V90-1)*2+2))-AN$76:AN$80))</f>
        <v>#REF!</v>
      </c>
      <c r="AO90" t="e">
        <f t="array" aca="1" ref="AO90" ca="1">SUM(ABS(INDIRECT(ADDRESS(66,22+($V90-1)*2+1)&amp;":"&amp;ADDRESS(70,22+($V90-1)*2+1))-AO$76:AO$80))</f>
        <v>#REF!</v>
      </c>
      <c r="AP90" t="e">
        <f t="array" aca="1" ref="AP90" ca="1">SUM(ABS(INDIRECT(ADDRESS(66,22+($V90-1)*2+2)&amp;":"&amp;ADDRESS(70,22+($V90-1)*2+2))-AP$76:AP$80))</f>
        <v>#REF!</v>
      </c>
      <c r="AQ90" t="e">
        <f t="array" aca="1" ref="AQ90" ca="1">SUM(ABS(INDIRECT(ADDRESS(66,22+($V90-1)*2+1)&amp;":"&amp;ADDRESS(70,22+($V90-1)*2+1))-AQ$76:AQ$80))</f>
        <v>#REF!</v>
      </c>
      <c r="AR90" t="e">
        <f t="array" aca="1" ref="AR90" ca="1">SUM(ABS(INDIRECT(ADDRESS(66,22+($V90-1)*2+2)&amp;":"&amp;ADDRESS(70,22+($V90-1)*2+2))-AR$76:AR$80))</f>
        <v>#REF!</v>
      </c>
      <c r="AS90" t="e">
        <f t="array" aca="1" ref="AS90" ca="1">SUM(ABS(INDIRECT(ADDRESS(66,22+($V90-1)*2+1)&amp;":"&amp;ADDRESS(70,22+($V90-1)*2+1))-AS$76:AS$80))</f>
        <v>#REF!</v>
      </c>
      <c r="AT90" t="e">
        <f t="array" aca="1" ref="AT90" ca="1">SUM(ABS(INDIRECT(ADDRESS(66,22+($V90-1)*2+2)&amp;":"&amp;ADDRESS(70,22+($V90-1)*2+2))-AT$76:AT$80))</f>
        <v>#REF!</v>
      </c>
      <c r="AU90" t="e">
        <f t="array" aca="1" ref="AU90" ca="1">SUM(ABS(INDIRECT(ADDRESS(66,22+($V90-1)*2+1)&amp;":"&amp;ADDRESS(70,22+($V90-1)*2+1))-AU$76:AU$80))</f>
        <v>#REF!</v>
      </c>
      <c r="AV90" t="e">
        <f t="array" aca="1" ref="AV90" ca="1">SUM(ABS(INDIRECT(ADDRESS(66,22+($V90-1)*2+2)&amp;":"&amp;ADDRESS(70,22+($V90-1)*2+2))-AV$76:AV$80))</f>
        <v>#REF!</v>
      </c>
      <c r="AW90" t="e">
        <f t="array" aca="1" ref="AW90" ca="1">SUM(ABS(INDIRECT(ADDRESS(66,22+($V90-1)*2+1)&amp;":"&amp;ADDRESS(70,22+($V90-1)*2+1))-AW$76:AW$80))</f>
        <v>#REF!</v>
      </c>
      <c r="AX90" t="e">
        <f t="array" aca="1" ref="AX90" ca="1">SUM(ABS(INDIRECT(ADDRESS(66,22+($V90-1)*2+2)&amp;":"&amp;ADDRESS(70,22+($V90-1)*2+2))-AX$76:AX$80))</f>
        <v>#REF!</v>
      </c>
      <c r="AY90" t="e">
        <f t="array" aca="1" ref="AY90" ca="1">SUM(ABS(INDIRECT(ADDRESS(66,22+($V90-1)*2+1)&amp;":"&amp;ADDRESS(70,22+($V90-1)*2+1))-AY$76:AY$80))</f>
        <v>#REF!</v>
      </c>
      <c r="AZ90" t="e">
        <f t="array" aca="1" ref="AZ90" ca="1">SUM(ABS(INDIRECT(ADDRESS(66,22+($V90-1)*2+2)&amp;":"&amp;ADDRESS(70,22+($V90-1)*2+2))-AZ$76:AZ$80))</f>
        <v>#REF!</v>
      </c>
      <c r="BA90" t="e">
        <f t="array" aca="1" ref="BA90" ca="1">SUM(ABS(INDIRECT(ADDRESS(66,22+($V90-1)*2+1)&amp;":"&amp;ADDRESS(70,22+($V90-1)*2+1))-BA$76:BA$80))</f>
        <v>#REF!</v>
      </c>
      <c r="BB90" t="e">
        <f t="array" aca="1" ref="BB90" ca="1">SUM(ABS(INDIRECT(ADDRESS(66,22+($V90-1)*2+2)&amp;":"&amp;ADDRESS(70,22+($V90-1)*2+2))-BB$76:BB$80))</f>
        <v>#REF!</v>
      </c>
      <c r="BC90" t="e">
        <f t="array" aca="1" ref="BC90" ca="1">SUM(ABS(INDIRECT(ADDRESS(66,22+($V90-1)*2+1)&amp;":"&amp;ADDRESS(70,22+($V90-1)*2+1))-BC$76:BC$80))</f>
        <v>#REF!</v>
      </c>
      <c r="BD90" t="e">
        <f t="array" aca="1" ref="BD90" ca="1">SUM(ABS(INDIRECT(ADDRESS(66,22+($V90-1)*2+2)&amp;":"&amp;ADDRESS(70,22+($V90-1)*2+2))-BD$76:BD$80))</f>
        <v>#REF!</v>
      </c>
      <c r="BE90" t="e">
        <f t="array" aca="1" ref="BE90" ca="1">SUM(ABS(INDIRECT(ADDRESS(66,22+($V90-1)*2+1)&amp;":"&amp;ADDRESS(70,22+($V90-1)*2+1))-BE$76:BE$80))</f>
        <v>#REF!</v>
      </c>
      <c r="BF90" t="e">
        <f t="array" aca="1" ref="BF90" ca="1">SUM(ABS(INDIRECT(ADDRESS(66,22+($V90-1)*2+2)&amp;":"&amp;ADDRESS(70,22+($V90-1)*2+2))-BF$76:BF$80))</f>
        <v>#REF!</v>
      </c>
      <c r="BG90" t="e">
        <f t="array" aca="1" ref="BG90" ca="1">SUM(ABS(INDIRECT(ADDRESS(66,22+($V90-1)*2+1)&amp;":"&amp;ADDRESS(70,22+($V90-1)*2+1))-BG$76:BG$80))</f>
        <v>#REF!</v>
      </c>
      <c r="BH90" t="e">
        <f t="array" aca="1" ref="BH90" ca="1">SUM(ABS(INDIRECT(ADDRESS(66,22+($V90-1)*2+2)&amp;":"&amp;ADDRESS(70,22+($V90-1)*2+2))-BH$76:BH$80))</f>
        <v>#REF!</v>
      </c>
      <c r="BI90" t="e">
        <f t="array" aca="1" ref="BI90" ca="1">SUM(ABS(INDIRECT(ADDRESS(66,22+($V90-1)*2+1)&amp;":"&amp;ADDRESS(70,22+($V90-1)*2+1))-BI$76:BI$80))</f>
        <v>#REF!</v>
      </c>
      <c r="BJ90" t="e">
        <f t="array" aca="1" ref="BJ90" ca="1">SUM(ABS(INDIRECT(ADDRESS(66,22+($V90-1)*2+2)&amp;":"&amp;ADDRESS(70,22+($V90-1)*2+2))-BJ$76:BJ$80))</f>
        <v>#REF!</v>
      </c>
      <c r="BK90" t="e">
        <f t="array" aca="1" ref="BK90" ca="1">SUM(ABS(INDIRECT(ADDRESS(66,22+($V90-1)*2+1)&amp;":"&amp;ADDRESS(70,22+($V90-1)*2+1))-BK$76:BK$80))</f>
        <v>#REF!</v>
      </c>
      <c r="BL90" t="e">
        <f t="array" aca="1" ref="BL90" ca="1">SUM(ABS(INDIRECT(ADDRESS(66,22+($V90-1)*2+2)&amp;":"&amp;ADDRESS(70,22+($V90-1)*2+2))-BL$76:BL$80))</f>
        <v>#REF!</v>
      </c>
      <c r="CW90" s="1055"/>
      <c r="CX90" s="1150"/>
      <c r="CY90" s="1150"/>
      <c r="CZ90" s="1150"/>
      <c r="DA90" s="1150"/>
      <c r="DB90" s="1150"/>
      <c r="DC90" s="1150"/>
      <c r="DD90" s="1150"/>
      <c r="DE90" s="1150"/>
      <c r="DF90" s="1150"/>
      <c r="DG90" s="1150"/>
      <c r="DM90" s="290"/>
      <c r="DN90" s="290"/>
      <c r="DO90" s="290"/>
      <c r="DP90" s="290"/>
      <c r="DQ90" s="290"/>
      <c r="GH90" s="1066" t="s">
        <v>398</v>
      </c>
      <c r="GI90" s="1067" t="s">
        <v>763</v>
      </c>
      <c r="GJ90" s="1066"/>
      <c r="GK90" s="1066"/>
      <c r="GL90" s="1066"/>
      <c r="GM90" s="1066"/>
      <c r="GN90" s="1066"/>
      <c r="GO90" s="1066"/>
      <c r="GP90" s="1066"/>
      <c r="GQ90" s="1066"/>
      <c r="GR90" s="1066"/>
    </row>
    <row r="91" spans="22:273" x14ac:dyDescent="0.2">
      <c r="V91">
        <v>9</v>
      </c>
      <c r="W91" t="e">
        <f t="array" aca="1" ref="W91" ca="1">SUM(ABS(INDIRECT(ADDRESS(66,22+($V91-1)*2+1)&amp;":"&amp;ADDRESS(70,22+($V91-1)*2+1))-W$76:W$80))</f>
        <v>#REF!</v>
      </c>
      <c r="X91" t="e">
        <f t="array" aca="1" ref="X91" ca="1">SUM(ABS(INDIRECT(ADDRESS(66,22+($V91-1)*2+2)&amp;":"&amp;ADDRESS(70,22+($V91-1)*2+2))-X$76:X$80))</f>
        <v>#REF!</v>
      </c>
      <c r="Y91" t="e">
        <f t="array" aca="1" ref="Y91" ca="1">SUM(ABS(INDIRECT(ADDRESS(66,22+($V91-1)*2+1)&amp;":"&amp;ADDRESS(70,22+($V91-1)*2+1))-Y$76:Y$80))</f>
        <v>#REF!</v>
      </c>
      <c r="Z91" t="e">
        <f t="array" aca="1" ref="Z91" ca="1">SUM(ABS(INDIRECT(ADDRESS(66,22+($V91-1)*2+2)&amp;":"&amp;ADDRESS(70,22+($V91-1)*2+2))-Z$76:Z$80))</f>
        <v>#REF!</v>
      </c>
      <c r="AA91" t="e">
        <f t="array" aca="1" ref="AA91" ca="1">SUM(ABS(INDIRECT(ADDRESS(66,22+($V91-1)*2+1)&amp;":"&amp;ADDRESS(70,22+($V91-1)*2+1))-AA$76:AA$80))</f>
        <v>#REF!</v>
      </c>
      <c r="AB91" t="e">
        <f t="array" aca="1" ref="AB91" ca="1">SUM(ABS(INDIRECT(ADDRESS(66,22+($V91-1)*2+2)&amp;":"&amp;ADDRESS(70,22+($V91-1)*2+2))-AB$76:AB$80))</f>
        <v>#REF!</v>
      </c>
      <c r="AC91" t="e">
        <f t="array" aca="1" ref="AC91" ca="1">SUM(ABS(INDIRECT(ADDRESS(66,22+($V91-1)*2+1)&amp;":"&amp;ADDRESS(70,22+($V91-1)*2+1))-AC$76:AC$80))</f>
        <v>#REF!</v>
      </c>
      <c r="AD91" t="e">
        <f t="array" aca="1" ref="AD91" ca="1">SUM(ABS(INDIRECT(ADDRESS(66,22+($V91-1)*2+2)&amp;":"&amp;ADDRESS(70,22+($V91-1)*2+2))-AD$76:AD$80))</f>
        <v>#REF!</v>
      </c>
      <c r="AE91" t="e">
        <f t="array" aca="1" ref="AE91" ca="1">SUM(ABS(INDIRECT(ADDRESS(66,22+($V91-1)*2+1)&amp;":"&amp;ADDRESS(70,22+($V91-1)*2+1))-AE$76:AE$80))</f>
        <v>#REF!</v>
      </c>
      <c r="AF91" t="e">
        <f t="array" aca="1" ref="AF91" ca="1">SUM(ABS(INDIRECT(ADDRESS(66,22+($V91-1)*2+2)&amp;":"&amp;ADDRESS(70,22+($V91-1)*2+2))-AF$76:AF$80))</f>
        <v>#REF!</v>
      </c>
      <c r="AG91" t="e">
        <f t="array" aca="1" ref="AG91" ca="1">SUM(ABS(INDIRECT(ADDRESS(66,22+($V91-1)*2+1)&amp;":"&amp;ADDRESS(70,22+($V91-1)*2+1))-AG$76:AG$80))</f>
        <v>#REF!</v>
      </c>
      <c r="AH91" t="e">
        <f t="array" aca="1" ref="AH91" ca="1">SUM(ABS(INDIRECT(ADDRESS(66,22+($V91-1)*2+2)&amp;":"&amp;ADDRESS(70,22+($V91-1)*2+2))-AH$76:AH$80))</f>
        <v>#REF!</v>
      </c>
      <c r="AI91" t="e">
        <f t="array" aca="1" ref="AI91" ca="1">SUM(ABS(INDIRECT(ADDRESS(66,22+($V91-1)*2+1)&amp;":"&amp;ADDRESS(70,22+($V91-1)*2+1))-AI$76:AI$80))</f>
        <v>#REF!</v>
      </c>
      <c r="AJ91" t="e">
        <f t="array" aca="1" ref="AJ91" ca="1">SUM(ABS(INDIRECT(ADDRESS(66,22+($V91-1)*2+2)&amp;":"&amp;ADDRESS(70,22+($V91-1)*2+2))-AJ$76:AJ$80))</f>
        <v>#REF!</v>
      </c>
      <c r="AK91" t="e">
        <f t="array" aca="1" ref="AK91" ca="1">SUM(ABS(INDIRECT(ADDRESS(66,22+($V91-1)*2+1)&amp;":"&amp;ADDRESS(70,22+($V91-1)*2+1))-AK$76:AK$80))</f>
        <v>#REF!</v>
      </c>
      <c r="AL91" t="e">
        <f t="array" aca="1" ref="AL91" ca="1">SUM(ABS(INDIRECT(ADDRESS(66,22+($V91-1)*2+2)&amp;":"&amp;ADDRESS(70,22+($V91-1)*2+2))-AL$76:AL$80))</f>
        <v>#REF!</v>
      </c>
      <c r="AM91" t="e">
        <f t="array" aca="1" ref="AM91" ca="1">SUM(ABS(INDIRECT(ADDRESS(66,22+($V91-1)*2+1)&amp;":"&amp;ADDRESS(70,22+($V91-1)*2+1))-AM$76:AM$80))</f>
        <v>#REF!</v>
      </c>
      <c r="AN91" t="e">
        <f t="array" aca="1" ref="AN91" ca="1">SUM(ABS(INDIRECT(ADDRESS(66,22+($V91-1)*2+2)&amp;":"&amp;ADDRESS(70,22+($V91-1)*2+2))-AN$76:AN$80))</f>
        <v>#REF!</v>
      </c>
      <c r="AO91" t="e">
        <f t="array" aca="1" ref="AO91" ca="1">SUM(ABS(INDIRECT(ADDRESS(66,22+($V91-1)*2+1)&amp;":"&amp;ADDRESS(70,22+($V91-1)*2+1))-AO$76:AO$80))</f>
        <v>#REF!</v>
      </c>
      <c r="AP91" t="e">
        <f t="array" aca="1" ref="AP91" ca="1">SUM(ABS(INDIRECT(ADDRESS(66,22+($V91-1)*2+2)&amp;":"&amp;ADDRESS(70,22+($V91-1)*2+2))-AP$76:AP$80))</f>
        <v>#REF!</v>
      </c>
      <c r="AQ91" t="e">
        <f t="array" aca="1" ref="AQ91" ca="1">SUM(ABS(INDIRECT(ADDRESS(66,22+($V91-1)*2+1)&amp;":"&amp;ADDRESS(70,22+($V91-1)*2+1))-AQ$76:AQ$80))</f>
        <v>#REF!</v>
      </c>
      <c r="AR91" t="e">
        <f t="array" aca="1" ref="AR91" ca="1">SUM(ABS(INDIRECT(ADDRESS(66,22+($V91-1)*2+2)&amp;":"&amp;ADDRESS(70,22+($V91-1)*2+2))-AR$76:AR$80))</f>
        <v>#REF!</v>
      </c>
      <c r="AS91" t="e">
        <f t="array" aca="1" ref="AS91" ca="1">SUM(ABS(INDIRECT(ADDRESS(66,22+($V91-1)*2+1)&amp;":"&amp;ADDRESS(70,22+($V91-1)*2+1))-AS$76:AS$80))</f>
        <v>#REF!</v>
      </c>
      <c r="AT91" t="e">
        <f t="array" aca="1" ref="AT91" ca="1">SUM(ABS(INDIRECT(ADDRESS(66,22+($V91-1)*2+2)&amp;":"&amp;ADDRESS(70,22+($V91-1)*2+2))-AT$76:AT$80))</f>
        <v>#REF!</v>
      </c>
      <c r="AU91" t="e">
        <f t="array" aca="1" ref="AU91" ca="1">SUM(ABS(INDIRECT(ADDRESS(66,22+($V91-1)*2+1)&amp;":"&amp;ADDRESS(70,22+($V91-1)*2+1))-AU$76:AU$80))</f>
        <v>#REF!</v>
      </c>
      <c r="AV91" t="e">
        <f t="array" aca="1" ref="AV91" ca="1">SUM(ABS(INDIRECT(ADDRESS(66,22+($V91-1)*2+2)&amp;":"&amp;ADDRESS(70,22+($V91-1)*2+2))-AV$76:AV$80))</f>
        <v>#REF!</v>
      </c>
      <c r="AW91" t="e">
        <f t="array" aca="1" ref="AW91" ca="1">SUM(ABS(INDIRECT(ADDRESS(66,22+($V91-1)*2+1)&amp;":"&amp;ADDRESS(70,22+($V91-1)*2+1))-AW$76:AW$80))</f>
        <v>#REF!</v>
      </c>
      <c r="AX91" t="e">
        <f t="array" aca="1" ref="AX91" ca="1">SUM(ABS(INDIRECT(ADDRESS(66,22+($V91-1)*2+2)&amp;":"&amp;ADDRESS(70,22+($V91-1)*2+2))-AX$76:AX$80))</f>
        <v>#REF!</v>
      </c>
      <c r="AY91" t="e">
        <f t="array" aca="1" ref="AY91" ca="1">SUM(ABS(INDIRECT(ADDRESS(66,22+($V91-1)*2+1)&amp;":"&amp;ADDRESS(70,22+($V91-1)*2+1))-AY$76:AY$80))</f>
        <v>#REF!</v>
      </c>
      <c r="AZ91" t="e">
        <f t="array" aca="1" ref="AZ91" ca="1">SUM(ABS(INDIRECT(ADDRESS(66,22+($V91-1)*2+2)&amp;":"&amp;ADDRESS(70,22+($V91-1)*2+2))-AZ$76:AZ$80))</f>
        <v>#REF!</v>
      </c>
      <c r="BA91" t="e">
        <f t="array" aca="1" ref="BA91" ca="1">SUM(ABS(INDIRECT(ADDRESS(66,22+($V91-1)*2+1)&amp;":"&amp;ADDRESS(70,22+($V91-1)*2+1))-BA$76:BA$80))</f>
        <v>#REF!</v>
      </c>
      <c r="BB91" t="e">
        <f t="array" aca="1" ref="BB91" ca="1">SUM(ABS(INDIRECT(ADDRESS(66,22+($V91-1)*2+2)&amp;":"&amp;ADDRESS(70,22+($V91-1)*2+2))-BB$76:BB$80))</f>
        <v>#REF!</v>
      </c>
      <c r="BC91" t="e">
        <f t="array" aca="1" ref="BC91" ca="1">SUM(ABS(INDIRECT(ADDRESS(66,22+($V91-1)*2+1)&amp;":"&amp;ADDRESS(70,22+($V91-1)*2+1))-BC$76:BC$80))</f>
        <v>#REF!</v>
      </c>
      <c r="BD91" t="e">
        <f t="array" aca="1" ref="BD91" ca="1">SUM(ABS(INDIRECT(ADDRESS(66,22+($V91-1)*2+2)&amp;":"&amp;ADDRESS(70,22+($V91-1)*2+2))-BD$76:BD$80))</f>
        <v>#REF!</v>
      </c>
      <c r="BE91" t="e">
        <f t="array" aca="1" ref="BE91" ca="1">SUM(ABS(INDIRECT(ADDRESS(66,22+($V91-1)*2+1)&amp;":"&amp;ADDRESS(70,22+($V91-1)*2+1))-BE$76:BE$80))</f>
        <v>#REF!</v>
      </c>
      <c r="BF91" t="e">
        <f t="array" aca="1" ref="BF91" ca="1">SUM(ABS(INDIRECT(ADDRESS(66,22+($V91-1)*2+2)&amp;":"&amp;ADDRESS(70,22+($V91-1)*2+2))-BF$76:BF$80))</f>
        <v>#REF!</v>
      </c>
      <c r="BG91" t="e">
        <f t="array" aca="1" ref="BG91" ca="1">SUM(ABS(INDIRECT(ADDRESS(66,22+($V91-1)*2+1)&amp;":"&amp;ADDRESS(70,22+($V91-1)*2+1))-BG$76:BG$80))</f>
        <v>#REF!</v>
      </c>
      <c r="BH91" t="e">
        <f t="array" aca="1" ref="BH91" ca="1">SUM(ABS(INDIRECT(ADDRESS(66,22+($V91-1)*2+2)&amp;":"&amp;ADDRESS(70,22+($V91-1)*2+2))-BH$76:BH$80))</f>
        <v>#REF!</v>
      </c>
      <c r="BI91" t="e">
        <f t="array" aca="1" ref="BI91" ca="1">SUM(ABS(INDIRECT(ADDRESS(66,22+($V91-1)*2+1)&amp;":"&amp;ADDRESS(70,22+($V91-1)*2+1))-BI$76:BI$80))</f>
        <v>#REF!</v>
      </c>
      <c r="BJ91" t="e">
        <f t="array" aca="1" ref="BJ91" ca="1">SUM(ABS(INDIRECT(ADDRESS(66,22+($V91-1)*2+2)&amp;":"&amp;ADDRESS(70,22+($V91-1)*2+2))-BJ$76:BJ$80))</f>
        <v>#REF!</v>
      </c>
      <c r="BK91" t="e">
        <f t="array" aca="1" ref="BK91" ca="1">SUM(ABS(INDIRECT(ADDRESS(66,22+($V91-1)*2+1)&amp;":"&amp;ADDRESS(70,22+($V91-1)*2+1))-BK$76:BK$80))</f>
        <v>#REF!</v>
      </c>
      <c r="BL91" t="e">
        <f t="array" aca="1" ref="BL91" ca="1">SUM(ABS(INDIRECT(ADDRESS(66,22+($V91-1)*2+2)&amp;":"&amp;ADDRESS(70,22+($V91-1)*2+2))-BL$76:BL$80))</f>
        <v>#REF!</v>
      </c>
      <c r="CW91" s="1055"/>
      <c r="CX91" s="1150"/>
      <c r="CY91" s="1150"/>
      <c r="CZ91" s="1150"/>
      <c r="DA91" s="1150"/>
      <c r="DB91" s="1150"/>
      <c r="DC91" s="1150"/>
      <c r="DD91" s="1150"/>
      <c r="DE91" s="1150"/>
      <c r="DF91" s="1150"/>
      <c r="DG91" s="1150"/>
      <c r="DM91" s="290"/>
      <c r="DN91" s="290"/>
      <c r="DO91" s="290"/>
      <c r="DP91" s="290"/>
      <c r="DQ91" s="290"/>
      <c r="GH91" s="1066">
        <v>1</v>
      </c>
      <c r="GI91" s="1066">
        <v>2</v>
      </c>
      <c r="GJ91" s="1066">
        <v>3</v>
      </c>
      <c r="GK91" s="1066">
        <v>4</v>
      </c>
      <c r="GL91" s="1066">
        <v>5</v>
      </c>
      <c r="GM91" s="1066">
        <v>6</v>
      </c>
      <c r="GN91" s="1066">
        <v>7</v>
      </c>
      <c r="GO91" s="1066">
        <v>8</v>
      </c>
      <c r="GP91" s="1066">
        <v>9</v>
      </c>
      <c r="GQ91" s="1066">
        <v>10</v>
      </c>
      <c r="GR91" s="1066">
        <v>11</v>
      </c>
    </row>
    <row r="92" spans="22:273" x14ac:dyDescent="0.2">
      <c r="V92">
        <v>10</v>
      </c>
      <c r="W92" t="e">
        <f t="array" aca="1" ref="W92" ca="1">SUM(ABS(INDIRECT(ADDRESS(66,22+($V92-1)*2+1)&amp;":"&amp;ADDRESS(70,22+($V92-1)*2+1))-W$76:W$80))</f>
        <v>#REF!</v>
      </c>
      <c r="X92" t="e">
        <f t="array" aca="1" ref="X92" ca="1">SUM(ABS(INDIRECT(ADDRESS(66,22+($V92-1)*2+2)&amp;":"&amp;ADDRESS(70,22+($V92-1)*2+2))-X$76:X$80))</f>
        <v>#REF!</v>
      </c>
      <c r="Y92" t="e">
        <f t="array" aca="1" ref="Y92" ca="1">SUM(ABS(INDIRECT(ADDRESS(66,22+($V92-1)*2+1)&amp;":"&amp;ADDRESS(70,22+($V92-1)*2+1))-Y$76:Y$80))</f>
        <v>#REF!</v>
      </c>
      <c r="Z92" t="e">
        <f t="array" aca="1" ref="Z92" ca="1">SUM(ABS(INDIRECT(ADDRESS(66,22+($V92-1)*2+2)&amp;":"&amp;ADDRESS(70,22+($V92-1)*2+2))-Z$76:Z$80))</f>
        <v>#REF!</v>
      </c>
      <c r="AA92" t="e">
        <f t="array" aca="1" ref="AA92" ca="1">SUM(ABS(INDIRECT(ADDRESS(66,22+($V92-1)*2+1)&amp;":"&amp;ADDRESS(70,22+($V92-1)*2+1))-AA$76:AA$80))</f>
        <v>#REF!</v>
      </c>
      <c r="AB92" t="e">
        <f t="array" aca="1" ref="AB92" ca="1">SUM(ABS(INDIRECT(ADDRESS(66,22+($V92-1)*2+2)&amp;":"&amp;ADDRESS(70,22+($V92-1)*2+2))-AB$76:AB$80))</f>
        <v>#REF!</v>
      </c>
      <c r="AC92" t="e">
        <f t="array" aca="1" ref="AC92" ca="1">SUM(ABS(INDIRECT(ADDRESS(66,22+($V92-1)*2+1)&amp;":"&amp;ADDRESS(70,22+($V92-1)*2+1))-AC$76:AC$80))</f>
        <v>#REF!</v>
      </c>
      <c r="AD92" t="e">
        <f t="array" aca="1" ref="AD92" ca="1">SUM(ABS(INDIRECT(ADDRESS(66,22+($V92-1)*2+2)&amp;":"&amp;ADDRESS(70,22+($V92-1)*2+2))-AD$76:AD$80))</f>
        <v>#REF!</v>
      </c>
      <c r="AE92" t="e">
        <f t="array" aca="1" ref="AE92" ca="1">SUM(ABS(INDIRECT(ADDRESS(66,22+($V92-1)*2+1)&amp;":"&amp;ADDRESS(70,22+($V92-1)*2+1))-AE$76:AE$80))</f>
        <v>#REF!</v>
      </c>
      <c r="AF92" t="e">
        <f t="array" aca="1" ref="AF92" ca="1">SUM(ABS(INDIRECT(ADDRESS(66,22+($V92-1)*2+2)&amp;":"&amp;ADDRESS(70,22+($V92-1)*2+2))-AF$76:AF$80))</f>
        <v>#REF!</v>
      </c>
      <c r="AG92" t="e">
        <f t="array" aca="1" ref="AG92" ca="1">SUM(ABS(INDIRECT(ADDRESS(66,22+($V92-1)*2+1)&amp;":"&amp;ADDRESS(70,22+($V92-1)*2+1))-AG$76:AG$80))</f>
        <v>#REF!</v>
      </c>
      <c r="AH92" t="e">
        <f t="array" aca="1" ref="AH92" ca="1">SUM(ABS(INDIRECT(ADDRESS(66,22+($V92-1)*2+2)&amp;":"&amp;ADDRESS(70,22+($V92-1)*2+2))-AH$76:AH$80))</f>
        <v>#REF!</v>
      </c>
      <c r="AI92" t="e">
        <f t="array" aca="1" ref="AI92" ca="1">SUM(ABS(INDIRECT(ADDRESS(66,22+($V92-1)*2+1)&amp;":"&amp;ADDRESS(70,22+($V92-1)*2+1))-AI$76:AI$80))</f>
        <v>#REF!</v>
      </c>
      <c r="AJ92" t="e">
        <f t="array" aca="1" ref="AJ92" ca="1">SUM(ABS(INDIRECT(ADDRESS(66,22+($V92-1)*2+2)&amp;":"&amp;ADDRESS(70,22+($V92-1)*2+2))-AJ$76:AJ$80))</f>
        <v>#REF!</v>
      </c>
      <c r="AK92" t="e">
        <f t="array" aca="1" ref="AK92" ca="1">SUM(ABS(INDIRECT(ADDRESS(66,22+($V92-1)*2+1)&amp;":"&amp;ADDRESS(70,22+($V92-1)*2+1))-AK$76:AK$80))</f>
        <v>#REF!</v>
      </c>
      <c r="AL92" t="e">
        <f t="array" aca="1" ref="AL92" ca="1">SUM(ABS(INDIRECT(ADDRESS(66,22+($V92-1)*2+2)&amp;":"&amp;ADDRESS(70,22+($V92-1)*2+2))-AL$76:AL$80))</f>
        <v>#REF!</v>
      </c>
      <c r="AM92" t="e">
        <f t="array" aca="1" ref="AM92" ca="1">SUM(ABS(INDIRECT(ADDRESS(66,22+($V92-1)*2+1)&amp;":"&amp;ADDRESS(70,22+($V92-1)*2+1))-AM$76:AM$80))</f>
        <v>#REF!</v>
      </c>
      <c r="AN92" t="e">
        <f t="array" aca="1" ref="AN92" ca="1">SUM(ABS(INDIRECT(ADDRESS(66,22+($V92-1)*2+2)&amp;":"&amp;ADDRESS(70,22+($V92-1)*2+2))-AN$76:AN$80))</f>
        <v>#REF!</v>
      </c>
      <c r="AO92" t="e">
        <f t="array" aca="1" ref="AO92" ca="1">SUM(ABS(INDIRECT(ADDRESS(66,22+($V92-1)*2+1)&amp;":"&amp;ADDRESS(70,22+($V92-1)*2+1))-AO$76:AO$80))</f>
        <v>#REF!</v>
      </c>
      <c r="AP92" t="e">
        <f t="array" aca="1" ref="AP92" ca="1">SUM(ABS(INDIRECT(ADDRESS(66,22+($V92-1)*2+2)&amp;":"&amp;ADDRESS(70,22+($V92-1)*2+2))-AP$76:AP$80))</f>
        <v>#REF!</v>
      </c>
      <c r="AQ92" t="e">
        <f t="array" aca="1" ref="AQ92" ca="1">SUM(ABS(INDIRECT(ADDRESS(66,22+($V92-1)*2+1)&amp;":"&amp;ADDRESS(70,22+($V92-1)*2+1))-AQ$76:AQ$80))</f>
        <v>#REF!</v>
      </c>
      <c r="AR92" t="e">
        <f t="array" aca="1" ref="AR92" ca="1">SUM(ABS(INDIRECT(ADDRESS(66,22+($V92-1)*2+2)&amp;":"&amp;ADDRESS(70,22+($V92-1)*2+2))-AR$76:AR$80))</f>
        <v>#REF!</v>
      </c>
      <c r="AS92" t="e">
        <f t="array" aca="1" ref="AS92" ca="1">SUM(ABS(INDIRECT(ADDRESS(66,22+($V92-1)*2+1)&amp;":"&amp;ADDRESS(70,22+($V92-1)*2+1))-AS$76:AS$80))</f>
        <v>#REF!</v>
      </c>
      <c r="AT92" t="e">
        <f t="array" aca="1" ref="AT92" ca="1">SUM(ABS(INDIRECT(ADDRESS(66,22+($V92-1)*2+2)&amp;":"&amp;ADDRESS(70,22+($V92-1)*2+2))-AT$76:AT$80))</f>
        <v>#REF!</v>
      </c>
      <c r="AU92" t="e">
        <f t="array" aca="1" ref="AU92" ca="1">SUM(ABS(INDIRECT(ADDRESS(66,22+($V92-1)*2+1)&amp;":"&amp;ADDRESS(70,22+($V92-1)*2+1))-AU$76:AU$80))</f>
        <v>#REF!</v>
      </c>
      <c r="AV92" t="e">
        <f t="array" aca="1" ref="AV92" ca="1">SUM(ABS(INDIRECT(ADDRESS(66,22+($V92-1)*2+2)&amp;":"&amp;ADDRESS(70,22+($V92-1)*2+2))-AV$76:AV$80))</f>
        <v>#REF!</v>
      </c>
      <c r="AW92" t="e">
        <f t="array" aca="1" ref="AW92" ca="1">SUM(ABS(INDIRECT(ADDRESS(66,22+($V92-1)*2+1)&amp;":"&amp;ADDRESS(70,22+($V92-1)*2+1))-AW$76:AW$80))</f>
        <v>#REF!</v>
      </c>
      <c r="AX92" t="e">
        <f t="array" aca="1" ref="AX92" ca="1">SUM(ABS(INDIRECT(ADDRESS(66,22+($V92-1)*2+2)&amp;":"&amp;ADDRESS(70,22+($V92-1)*2+2))-AX$76:AX$80))</f>
        <v>#REF!</v>
      </c>
      <c r="AY92" t="e">
        <f t="array" aca="1" ref="AY92" ca="1">SUM(ABS(INDIRECT(ADDRESS(66,22+($V92-1)*2+1)&amp;":"&amp;ADDRESS(70,22+($V92-1)*2+1))-AY$76:AY$80))</f>
        <v>#REF!</v>
      </c>
      <c r="AZ92" t="e">
        <f t="array" aca="1" ref="AZ92" ca="1">SUM(ABS(INDIRECT(ADDRESS(66,22+($V92-1)*2+2)&amp;":"&amp;ADDRESS(70,22+($V92-1)*2+2))-AZ$76:AZ$80))</f>
        <v>#REF!</v>
      </c>
      <c r="BA92" t="e">
        <f t="array" aca="1" ref="BA92" ca="1">SUM(ABS(INDIRECT(ADDRESS(66,22+($V92-1)*2+1)&amp;":"&amp;ADDRESS(70,22+($V92-1)*2+1))-BA$76:BA$80))</f>
        <v>#REF!</v>
      </c>
      <c r="BB92" t="e">
        <f t="array" aca="1" ref="BB92" ca="1">SUM(ABS(INDIRECT(ADDRESS(66,22+($V92-1)*2+2)&amp;":"&amp;ADDRESS(70,22+($V92-1)*2+2))-BB$76:BB$80))</f>
        <v>#REF!</v>
      </c>
      <c r="BC92" t="e">
        <f t="array" aca="1" ref="BC92" ca="1">SUM(ABS(INDIRECT(ADDRESS(66,22+($V92-1)*2+1)&amp;":"&amp;ADDRESS(70,22+($V92-1)*2+1))-BC$76:BC$80))</f>
        <v>#REF!</v>
      </c>
      <c r="BD92" t="e">
        <f t="array" aca="1" ref="BD92" ca="1">SUM(ABS(INDIRECT(ADDRESS(66,22+($V92-1)*2+2)&amp;":"&amp;ADDRESS(70,22+($V92-1)*2+2))-BD$76:BD$80))</f>
        <v>#REF!</v>
      </c>
      <c r="BE92" t="e">
        <f t="array" aca="1" ref="BE92" ca="1">SUM(ABS(INDIRECT(ADDRESS(66,22+($V92-1)*2+1)&amp;":"&amp;ADDRESS(70,22+($V92-1)*2+1))-BE$76:BE$80))</f>
        <v>#REF!</v>
      </c>
      <c r="BF92" t="e">
        <f t="array" aca="1" ref="BF92" ca="1">SUM(ABS(INDIRECT(ADDRESS(66,22+($V92-1)*2+2)&amp;":"&amp;ADDRESS(70,22+($V92-1)*2+2))-BF$76:BF$80))</f>
        <v>#REF!</v>
      </c>
      <c r="BG92" t="e">
        <f t="array" aca="1" ref="BG92" ca="1">SUM(ABS(INDIRECT(ADDRESS(66,22+($V92-1)*2+1)&amp;":"&amp;ADDRESS(70,22+($V92-1)*2+1))-BG$76:BG$80))</f>
        <v>#REF!</v>
      </c>
      <c r="BH92" t="e">
        <f t="array" aca="1" ref="BH92" ca="1">SUM(ABS(INDIRECT(ADDRESS(66,22+($V92-1)*2+2)&amp;":"&amp;ADDRESS(70,22+($V92-1)*2+2))-BH$76:BH$80))</f>
        <v>#REF!</v>
      </c>
      <c r="BI92" t="e">
        <f t="array" aca="1" ref="BI92" ca="1">SUM(ABS(INDIRECT(ADDRESS(66,22+($V92-1)*2+1)&amp;":"&amp;ADDRESS(70,22+($V92-1)*2+1))-BI$76:BI$80))</f>
        <v>#REF!</v>
      </c>
      <c r="BJ92" t="e">
        <f t="array" aca="1" ref="BJ92" ca="1">SUM(ABS(INDIRECT(ADDRESS(66,22+($V92-1)*2+2)&amp;":"&amp;ADDRESS(70,22+($V92-1)*2+2))-BJ$76:BJ$80))</f>
        <v>#REF!</v>
      </c>
      <c r="BK92" t="e">
        <f t="array" aca="1" ref="BK92" ca="1">SUM(ABS(INDIRECT(ADDRESS(66,22+($V92-1)*2+1)&amp;":"&amp;ADDRESS(70,22+($V92-1)*2+1))-BK$76:BK$80))</f>
        <v>#REF!</v>
      </c>
      <c r="BL92" t="e">
        <f t="array" aca="1" ref="BL92" ca="1">SUM(ABS(INDIRECT(ADDRESS(66,22+($V92-1)*2+2)&amp;":"&amp;ADDRESS(70,22+($V92-1)*2+2))-BL$76:BL$80))</f>
        <v>#REF!</v>
      </c>
      <c r="CW92" s="1055"/>
      <c r="CX92" s="1150"/>
      <c r="CY92" s="1150"/>
      <c r="CZ92" s="1150"/>
      <c r="DA92" s="1150"/>
      <c r="DB92" s="1150"/>
      <c r="DC92" s="1150"/>
      <c r="DD92" s="1150"/>
      <c r="DE92" s="1150"/>
      <c r="DF92" s="1150"/>
      <c r="DG92" s="1150"/>
      <c r="DM92" s="290"/>
      <c r="DN92" s="290"/>
      <c r="DO92" s="290"/>
      <c r="DP92" s="290"/>
      <c r="DQ92" s="290"/>
      <c r="GH92" s="1066"/>
      <c r="GI92" s="1066" t="s">
        <v>748</v>
      </c>
      <c r="GJ92" s="1066"/>
      <c r="GK92" s="1066" t="s">
        <v>748</v>
      </c>
      <c r="GL92" s="1066"/>
      <c r="GM92" s="1118" t="s">
        <v>749</v>
      </c>
      <c r="GN92" s="1066"/>
      <c r="GO92" s="1066" t="s">
        <v>749</v>
      </c>
      <c r="GP92" s="1066"/>
      <c r="GQ92" s="1066" t="s">
        <v>750</v>
      </c>
      <c r="GR92" s="1066"/>
    </row>
    <row r="93" spans="22:273" x14ac:dyDescent="0.2">
      <c r="V93">
        <v>11</v>
      </c>
      <c r="W93" t="e">
        <f t="array" aca="1" ref="W93" ca="1">SUM(ABS(INDIRECT(ADDRESS(66,22+($V93-1)*2+1)&amp;":"&amp;ADDRESS(70,22+($V93-1)*2+1))-W$76:W$80))</f>
        <v>#REF!</v>
      </c>
      <c r="X93" t="e">
        <f t="array" aca="1" ref="X93" ca="1">SUM(ABS(INDIRECT(ADDRESS(66,22+($V93-1)*2+2)&amp;":"&amp;ADDRESS(70,22+($V93-1)*2+2))-X$76:X$80))</f>
        <v>#REF!</v>
      </c>
      <c r="Y93" t="e">
        <f t="array" aca="1" ref="Y93" ca="1">SUM(ABS(INDIRECT(ADDRESS(66,22+($V93-1)*2+1)&amp;":"&amp;ADDRESS(70,22+($V93-1)*2+1))-Y$76:Y$80))</f>
        <v>#REF!</v>
      </c>
      <c r="Z93" t="e">
        <f t="array" aca="1" ref="Z93" ca="1">SUM(ABS(INDIRECT(ADDRESS(66,22+($V93-1)*2+2)&amp;":"&amp;ADDRESS(70,22+($V93-1)*2+2))-Z$76:Z$80))</f>
        <v>#REF!</v>
      </c>
      <c r="AA93" t="e">
        <f t="array" aca="1" ref="AA93" ca="1">SUM(ABS(INDIRECT(ADDRESS(66,22+($V93-1)*2+1)&amp;":"&amp;ADDRESS(70,22+($V93-1)*2+1))-AA$76:AA$80))</f>
        <v>#REF!</v>
      </c>
      <c r="AB93" t="e">
        <f t="array" aca="1" ref="AB93" ca="1">SUM(ABS(INDIRECT(ADDRESS(66,22+($V93-1)*2+2)&amp;":"&amp;ADDRESS(70,22+($V93-1)*2+2))-AB$76:AB$80))</f>
        <v>#REF!</v>
      </c>
      <c r="AC93" t="e">
        <f t="array" aca="1" ref="AC93" ca="1">SUM(ABS(INDIRECT(ADDRESS(66,22+($V93-1)*2+1)&amp;":"&amp;ADDRESS(70,22+($V93-1)*2+1))-AC$76:AC$80))</f>
        <v>#REF!</v>
      </c>
      <c r="AD93" t="e">
        <f t="array" aca="1" ref="AD93" ca="1">SUM(ABS(INDIRECT(ADDRESS(66,22+($V93-1)*2+2)&amp;":"&amp;ADDRESS(70,22+($V93-1)*2+2))-AD$76:AD$80))</f>
        <v>#REF!</v>
      </c>
      <c r="AE93" t="e">
        <f t="array" aca="1" ref="AE93" ca="1">SUM(ABS(INDIRECT(ADDRESS(66,22+($V93-1)*2+1)&amp;":"&amp;ADDRESS(70,22+($V93-1)*2+1))-AE$76:AE$80))</f>
        <v>#REF!</v>
      </c>
      <c r="AF93" t="e">
        <f t="array" aca="1" ref="AF93" ca="1">SUM(ABS(INDIRECT(ADDRESS(66,22+($V93-1)*2+2)&amp;":"&amp;ADDRESS(70,22+($V93-1)*2+2))-AF$76:AF$80))</f>
        <v>#REF!</v>
      </c>
      <c r="AG93" t="e">
        <f t="array" aca="1" ref="AG93" ca="1">SUM(ABS(INDIRECT(ADDRESS(66,22+($V93-1)*2+1)&amp;":"&amp;ADDRESS(70,22+($V93-1)*2+1))-AG$76:AG$80))</f>
        <v>#REF!</v>
      </c>
      <c r="AH93" t="e">
        <f t="array" aca="1" ref="AH93" ca="1">SUM(ABS(INDIRECT(ADDRESS(66,22+($V93-1)*2+2)&amp;":"&amp;ADDRESS(70,22+($V93-1)*2+2))-AH$76:AH$80))</f>
        <v>#REF!</v>
      </c>
      <c r="AI93" t="e">
        <f t="array" aca="1" ref="AI93" ca="1">SUM(ABS(INDIRECT(ADDRESS(66,22+($V93-1)*2+1)&amp;":"&amp;ADDRESS(70,22+($V93-1)*2+1))-AI$76:AI$80))</f>
        <v>#REF!</v>
      </c>
      <c r="AJ93" t="e">
        <f t="array" aca="1" ref="AJ93" ca="1">SUM(ABS(INDIRECT(ADDRESS(66,22+($V93-1)*2+2)&amp;":"&amp;ADDRESS(70,22+($V93-1)*2+2))-AJ$76:AJ$80))</f>
        <v>#REF!</v>
      </c>
      <c r="AK93" t="e">
        <f t="array" aca="1" ref="AK93" ca="1">SUM(ABS(INDIRECT(ADDRESS(66,22+($V93-1)*2+1)&amp;":"&amp;ADDRESS(70,22+($V93-1)*2+1))-AK$76:AK$80))</f>
        <v>#REF!</v>
      </c>
      <c r="AL93" t="e">
        <f t="array" aca="1" ref="AL93" ca="1">SUM(ABS(INDIRECT(ADDRESS(66,22+($V93-1)*2+2)&amp;":"&amp;ADDRESS(70,22+($V93-1)*2+2))-AL$76:AL$80))</f>
        <v>#REF!</v>
      </c>
      <c r="AM93" t="e">
        <f t="array" aca="1" ref="AM93" ca="1">SUM(ABS(INDIRECT(ADDRESS(66,22+($V93-1)*2+1)&amp;":"&amp;ADDRESS(70,22+($V93-1)*2+1))-AM$76:AM$80))</f>
        <v>#REF!</v>
      </c>
      <c r="AN93" t="e">
        <f t="array" aca="1" ref="AN93" ca="1">SUM(ABS(INDIRECT(ADDRESS(66,22+($V93-1)*2+2)&amp;":"&amp;ADDRESS(70,22+($V93-1)*2+2))-AN$76:AN$80))</f>
        <v>#REF!</v>
      </c>
      <c r="AO93" t="e">
        <f t="array" aca="1" ref="AO93" ca="1">SUM(ABS(INDIRECT(ADDRESS(66,22+($V93-1)*2+1)&amp;":"&amp;ADDRESS(70,22+($V93-1)*2+1))-AO$76:AO$80))</f>
        <v>#REF!</v>
      </c>
      <c r="AP93" t="e">
        <f t="array" aca="1" ref="AP93" ca="1">SUM(ABS(INDIRECT(ADDRESS(66,22+($V93-1)*2+2)&amp;":"&amp;ADDRESS(70,22+($V93-1)*2+2))-AP$76:AP$80))</f>
        <v>#REF!</v>
      </c>
      <c r="AQ93" t="e">
        <f t="array" aca="1" ref="AQ93" ca="1">SUM(ABS(INDIRECT(ADDRESS(66,22+($V93-1)*2+1)&amp;":"&amp;ADDRESS(70,22+($V93-1)*2+1))-AQ$76:AQ$80))</f>
        <v>#REF!</v>
      </c>
      <c r="AR93" t="e">
        <f t="array" aca="1" ref="AR93" ca="1">SUM(ABS(INDIRECT(ADDRESS(66,22+($V93-1)*2+2)&amp;":"&amp;ADDRESS(70,22+($V93-1)*2+2))-AR$76:AR$80))</f>
        <v>#REF!</v>
      </c>
      <c r="AS93" t="e">
        <f t="array" aca="1" ref="AS93" ca="1">SUM(ABS(INDIRECT(ADDRESS(66,22+($V93-1)*2+1)&amp;":"&amp;ADDRESS(70,22+($V93-1)*2+1))-AS$76:AS$80))</f>
        <v>#REF!</v>
      </c>
      <c r="AT93" t="e">
        <f t="array" aca="1" ref="AT93" ca="1">SUM(ABS(INDIRECT(ADDRESS(66,22+($V93-1)*2+2)&amp;":"&amp;ADDRESS(70,22+($V93-1)*2+2))-AT$76:AT$80))</f>
        <v>#REF!</v>
      </c>
      <c r="AU93" t="e">
        <f t="array" aca="1" ref="AU93" ca="1">SUM(ABS(INDIRECT(ADDRESS(66,22+($V93-1)*2+1)&amp;":"&amp;ADDRESS(70,22+($V93-1)*2+1))-AU$76:AU$80))</f>
        <v>#REF!</v>
      </c>
      <c r="AV93" t="e">
        <f t="array" aca="1" ref="AV93" ca="1">SUM(ABS(INDIRECT(ADDRESS(66,22+($V93-1)*2+2)&amp;":"&amp;ADDRESS(70,22+($V93-1)*2+2))-AV$76:AV$80))</f>
        <v>#REF!</v>
      </c>
      <c r="AW93" t="e">
        <f t="array" aca="1" ref="AW93" ca="1">SUM(ABS(INDIRECT(ADDRESS(66,22+($V93-1)*2+1)&amp;":"&amp;ADDRESS(70,22+($V93-1)*2+1))-AW$76:AW$80))</f>
        <v>#REF!</v>
      </c>
      <c r="AX93" t="e">
        <f t="array" aca="1" ref="AX93" ca="1">SUM(ABS(INDIRECT(ADDRESS(66,22+($V93-1)*2+2)&amp;":"&amp;ADDRESS(70,22+($V93-1)*2+2))-AX$76:AX$80))</f>
        <v>#REF!</v>
      </c>
      <c r="AY93" t="e">
        <f t="array" aca="1" ref="AY93" ca="1">SUM(ABS(INDIRECT(ADDRESS(66,22+($V93-1)*2+1)&amp;":"&amp;ADDRESS(70,22+($V93-1)*2+1))-AY$76:AY$80))</f>
        <v>#REF!</v>
      </c>
      <c r="AZ93" t="e">
        <f t="array" aca="1" ref="AZ93" ca="1">SUM(ABS(INDIRECT(ADDRESS(66,22+($V93-1)*2+2)&amp;":"&amp;ADDRESS(70,22+($V93-1)*2+2))-AZ$76:AZ$80))</f>
        <v>#REF!</v>
      </c>
      <c r="BA93" t="e">
        <f t="array" aca="1" ref="BA93" ca="1">SUM(ABS(INDIRECT(ADDRESS(66,22+($V93-1)*2+1)&amp;":"&amp;ADDRESS(70,22+($V93-1)*2+1))-BA$76:BA$80))</f>
        <v>#REF!</v>
      </c>
      <c r="BB93" t="e">
        <f t="array" aca="1" ref="BB93" ca="1">SUM(ABS(INDIRECT(ADDRESS(66,22+($V93-1)*2+2)&amp;":"&amp;ADDRESS(70,22+($V93-1)*2+2))-BB$76:BB$80))</f>
        <v>#REF!</v>
      </c>
      <c r="BC93" t="e">
        <f t="array" aca="1" ref="BC93" ca="1">SUM(ABS(INDIRECT(ADDRESS(66,22+($V93-1)*2+1)&amp;":"&amp;ADDRESS(70,22+($V93-1)*2+1))-BC$76:BC$80))</f>
        <v>#REF!</v>
      </c>
      <c r="BD93" t="e">
        <f t="array" aca="1" ref="BD93" ca="1">SUM(ABS(INDIRECT(ADDRESS(66,22+($V93-1)*2+2)&amp;":"&amp;ADDRESS(70,22+($V93-1)*2+2))-BD$76:BD$80))</f>
        <v>#REF!</v>
      </c>
      <c r="BE93" t="e">
        <f t="array" aca="1" ref="BE93" ca="1">SUM(ABS(INDIRECT(ADDRESS(66,22+($V93-1)*2+1)&amp;":"&amp;ADDRESS(70,22+($V93-1)*2+1))-BE$76:BE$80))</f>
        <v>#REF!</v>
      </c>
      <c r="BF93" t="e">
        <f t="array" aca="1" ref="BF93" ca="1">SUM(ABS(INDIRECT(ADDRESS(66,22+($V93-1)*2+2)&amp;":"&amp;ADDRESS(70,22+($V93-1)*2+2))-BF$76:BF$80))</f>
        <v>#REF!</v>
      </c>
      <c r="BG93" t="e">
        <f t="array" aca="1" ref="BG93" ca="1">SUM(ABS(INDIRECT(ADDRESS(66,22+($V93-1)*2+1)&amp;":"&amp;ADDRESS(70,22+($V93-1)*2+1))-BG$76:BG$80))</f>
        <v>#REF!</v>
      </c>
      <c r="BH93" t="e">
        <f t="array" aca="1" ref="BH93" ca="1">SUM(ABS(INDIRECT(ADDRESS(66,22+($V93-1)*2+2)&amp;":"&amp;ADDRESS(70,22+($V93-1)*2+2))-BH$76:BH$80))</f>
        <v>#REF!</v>
      </c>
      <c r="BI93" t="e">
        <f t="array" aca="1" ref="BI93" ca="1">SUM(ABS(INDIRECT(ADDRESS(66,22+($V93-1)*2+1)&amp;":"&amp;ADDRESS(70,22+($V93-1)*2+1))-BI$76:BI$80))</f>
        <v>#REF!</v>
      </c>
      <c r="BJ93" t="e">
        <f t="array" aca="1" ref="BJ93" ca="1">SUM(ABS(INDIRECT(ADDRESS(66,22+($V93-1)*2+2)&amp;":"&amp;ADDRESS(70,22+($V93-1)*2+2))-BJ$76:BJ$80))</f>
        <v>#REF!</v>
      </c>
      <c r="BK93" t="e">
        <f t="array" aca="1" ref="BK93" ca="1">SUM(ABS(INDIRECT(ADDRESS(66,22+($V93-1)*2+1)&amp;":"&amp;ADDRESS(70,22+($V93-1)*2+1))-BK$76:BK$80))</f>
        <v>#REF!</v>
      </c>
      <c r="BL93" t="e">
        <f t="array" aca="1" ref="BL93" ca="1">SUM(ABS(INDIRECT(ADDRESS(66,22+($V93-1)*2+2)&amp;":"&amp;ADDRESS(70,22+($V93-1)*2+2))-BL$76:BL$80))</f>
        <v>#REF!</v>
      </c>
      <c r="CW93" s="1055"/>
      <c r="CX93" s="1150"/>
      <c r="CY93" s="1150"/>
      <c r="CZ93" s="1150"/>
      <c r="DA93" s="1150"/>
      <c r="DB93" s="1150"/>
      <c r="DC93" s="1150"/>
      <c r="DD93" s="1150"/>
      <c r="DE93" s="1150"/>
      <c r="DF93" s="1150"/>
      <c r="DG93" s="1150"/>
      <c r="DM93" s="290"/>
      <c r="DN93" s="290"/>
      <c r="DO93" s="290"/>
      <c r="DP93" s="290"/>
      <c r="DQ93" s="290"/>
      <c r="GH93" s="1066"/>
      <c r="GI93" s="1066"/>
      <c r="GJ93" s="1066"/>
      <c r="GK93" s="1066"/>
      <c r="GL93" s="1066"/>
      <c r="GM93" s="1066"/>
      <c r="GN93" s="1066"/>
      <c r="GO93" s="1066"/>
      <c r="GP93" s="1066"/>
      <c r="GQ93" s="1066"/>
      <c r="GR93" s="1066"/>
    </row>
    <row r="94" spans="22:273" x14ac:dyDescent="0.2">
      <c r="V94">
        <v>12</v>
      </c>
      <c r="W94" t="e">
        <f t="array" aca="1" ref="W94" ca="1">SUM(ABS(INDIRECT(ADDRESS(66,22+($V94-1)*2+1)&amp;":"&amp;ADDRESS(70,22+($V94-1)*2+1))-W$76:W$80))</f>
        <v>#REF!</v>
      </c>
      <c r="X94" t="e">
        <f t="array" aca="1" ref="X94" ca="1">SUM(ABS(INDIRECT(ADDRESS(66,22+($V94-1)*2+2)&amp;":"&amp;ADDRESS(70,22+($V94-1)*2+2))-X$76:X$80))</f>
        <v>#REF!</v>
      </c>
      <c r="Y94" t="e">
        <f t="array" aca="1" ref="Y94" ca="1">SUM(ABS(INDIRECT(ADDRESS(66,22+($V94-1)*2+1)&amp;":"&amp;ADDRESS(70,22+($V94-1)*2+1))-Y$76:Y$80))</f>
        <v>#REF!</v>
      </c>
      <c r="Z94" t="e">
        <f t="array" aca="1" ref="Z94" ca="1">SUM(ABS(INDIRECT(ADDRESS(66,22+($V94-1)*2+2)&amp;":"&amp;ADDRESS(70,22+($V94-1)*2+2))-Z$76:Z$80))</f>
        <v>#REF!</v>
      </c>
      <c r="AA94" t="e">
        <f t="array" aca="1" ref="AA94" ca="1">SUM(ABS(INDIRECT(ADDRESS(66,22+($V94-1)*2+1)&amp;":"&amp;ADDRESS(70,22+($V94-1)*2+1))-AA$76:AA$80))</f>
        <v>#REF!</v>
      </c>
      <c r="AB94" t="e">
        <f t="array" aca="1" ref="AB94" ca="1">SUM(ABS(INDIRECT(ADDRESS(66,22+($V94-1)*2+2)&amp;":"&amp;ADDRESS(70,22+($V94-1)*2+2))-AB$76:AB$80))</f>
        <v>#REF!</v>
      </c>
      <c r="AC94" t="e">
        <f t="array" aca="1" ref="AC94" ca="1">SUM(ABS(INDIRECT(ADDRESS(66,22+($V94-1)*2+1)&amp;":"&amp;ADDRESS(70,22+($V94-1)*2+1))-AC$76:AC$80))</f>
        <v>#REF!</v>
      </c>
      <c r="AD94" t="e">
        <f t="array" aca="1" ref="AD94" ca="1">SUM(ABS(INDIRECT(ADDRESS(66,22+($V94-1)*2+2)&amp;":"&amp;ADDRESS(70,22+($V94-1)*2+2))-AD$76:AD$80))</f>
        <v>#REF!</v>
      </c>
      <c r="AE94" t="e">
        <f t="array" aca="1" ref="AE94" ca="1">SUM(ABS(INDIRECT(ADDRESS(66,22+($V94-1)*2+1)&amp;":"&amp;ADDRESS(70,22+($V94-1)*2+1))-AE$76:AE$80))</f>
        <v>#REF!</v>
      </c>
      <c r="AF94" t="e">
        <f t="array" aca="1" ref="AF94" ca="1">SUM(ABS(INDIRECT(ADDRESS(66,22+($V94-1)*2+2)&amp;":"&amp;ADDRESS(70,22+($V94-1)*2+2))-AF$76:AF$80))</f>
        <v>#REF!</v>
      </c>
      <c r="AG94" t="e">
        <f t="array" aca="1" ref="AG94" ca="1">SUM(ABS(INDIRECT(ADDRESS(66,22+($V94-1)*2+1)&amp;":"&amp;ADDRESS(70,22+($V94-1)*2+1))-AG$76:AG$80))</f>
        <v>#REF!</v>
      </c>
      <c r="AH94" t="e">
        <f t="array" aca="1" ref="AH94" ca="1">SUM(ABS(INDIRECT(ADDRESS(66,22+($V94-1)*2+2)&amp;":"&amp;ADDRESS(70,22+($V94-1)*2+2))-AH$76:AH$80))</f>
        <v>#REF!</v>
      </c>
      <c r="AI94" t="e">
        <f t="array" aca="1" ref="AI94" ca="1">SUM(ABS(INDIRECT(ADDRESS(66,22+($V94-1)*2+1)&amp;":"&amp;ADDRESS(70,22+($V94-1)*2+1))-AI$76:AI$80))</f>
        <v>#REF!</v>
      </c>
      <c r="AJ94" t="e">
        <f t="array" aca="1" ref="AJ94" ca="1">SUM(ABS(INDIRECT(ADDRESS(66,22+($V94-1)*2+2)&amp;":"&amp;ADDRESS(70,22+($V94-1)*2+2))-AJ$76:AJ$80))</f>
        <v>#REF!</v>
      </c>
      <c r="AK94" t="e">
        <f t="array" aca="1" ref="AK94" ca="1">SUM(ABS(INDIRECT(ADDRESS(66,22+($V94-1)*2+1)&amp;":"&amp;ADDRESS(70,22+($V94-1)*2+1))-AK$76:AK$80))</f>
        <v>#REF!</v>
      </c>
      <c r="AL94" t="e">
        <f t="array" aca="1" ref="AL94" ca="1">SUM(ABS(INDIRECT(ADDRESS(66,22+($V94-1)*2+2)&amp;":"&amp;ADDRESS(70,22+($V94-1)*2+2))-AL$76:AL$80))</f>
        <v>#REF!</v>
      </c>
      <c r="AM94" t="e">
        <f t="array" aca="1" ref="AM94" ca="1">SUM(ABS(INDIRECT(ADDRESS(66,22+($V94-1)*2+1)&amp;":"&amp;ADDRESS(70,22+($V94-1)*2+1))-AM$76:AM$80))</f>
        <v>#REF!</v>
      </c>
      <c r="AN94" t="e">
        <f t="array" aca="1" ref="AN94" ca="1">SUM(ABS(INDIRECT(ADDRESS(66,22+($V94-1)*2+2)&amp;":"&amp;ADDRESS(70,22+($V94-1)*2+2))-AN$76:AN$80))</f>
        <v>#REF!</v>
      </c>
      <c r="AO94" t="e">
        <f t="array" aca="1" ref="AO94" ca="1">SUM(ABS(INDIRECT(ADDRESS(66,22+($V94-1)*2+1)&amp;":"&amp;ADDRESS(70,22+($V94-1)*2+1))-AO$76:AO$80))</f>
        <v>#REF!</v>
      </c>
      <c r="AP94" t="e">
        <f t="array" aca="1" ref="AP94" ca="1">SUM(ABS(INDIRECT(ADDRESS(66,22+($V94-1)*2+2)&amp;":"&amp;ADDRESS(70,22+($V94-1)*2+2))-AP$76:AP$80))</f>
        <v>#REF!</v>
      </c>
      <c r="AQ94" t="e">
        <f t="array" aca="1" ref="AQ94" ca="1">SUM(ABS(INDIRECT(ADDRESS(66,22+($V94-1)*2+1)&amp;":"&amp;ADDRESS(70,22+($V94-1)*2+1))-AQ$76:AQ$80))</f>
        <v>#REF!</v>
      </c>
      <c r="AR94" t="e">
        <f t="array" aca="1" ref="AR94" ca="1">SUM(ABS(INDIRECT(ADDRESS(66,22+($V94-1)*2+2)&amp;":"&amp;ADDRESS(70,22+($V94-1)*2+2))-AR$76:AR$80))</f>
        <v>#REF!</v>
      </c>
      <c r="AS94" t="e">
        <f t="array" aca="1" ref="AS94" ca="1">SUM(ABS(INDIRECT(ADDRESS(66,22+($V94-1)*2+1)&amp;":"&amp;ADDRESS(70,22+($V94-1)*2+1))-AS$76:AS$80))</f>
        <v>#REF!</v>
      </c>
      <c r="AT94" t="e">
        <f t="array" aca="1" ref="AT94" ca="1">SUM(ABS(INDIRECT(ADDRESS(66,22+($V94-1)*2+2)&amp;":"&amp;ADDRESS(70,22+($V94-1)*2+2))-AT$76:AT$80))</f>
        <v>#REF!</v>
      </c>
      <c r="AU94" t="e">
        <f t="array" aca="1" ref="AU94" ca="1">SUM(ABS(INDIRECT(ADDRESS(66,22+($V94-1)*2+1)&amp;":"&amp;ADDRESS(70,22+($V94-1)*2+1))-AU$76:AU$80))</f>
        <v>#REF!</v>
      </c>
      <c r="AV94" t="e">
        <f t="array" aca="1" ref="AV94" ca="1">SUM(ABS(INDIRECT(ADDRESS(66,22+($V94-1)*2+2)&amp;":"&amp;ADDRESS(70,22+($V94-1)*2+2))-AV$76:AV$80))</f>
        <v>#REF!</v>
      </c>
      <c r="AW94" t="e">
        <f t="array" aca="1" ref="AW94" ca="1">SUM(ABS(INDIRECT(ADDRESS(66,22+($V94-1)*2+1)&amp;":"&amp;ADDRESS(70,22+($V94-1)*2+1))-AW$76:AW$80))</f>
        <v>#REF!</v>
      </c>
      <c r="AX94" t="e">
        <f t="array" aca="1" ref="AX94" ca="1">SUM(ABS(INDIRECT(ADDRESS(66,22+($V94-1)*2+2)&amp;":"&amp;ADDRESS(70,22+($V94-1)*2+2))-AX$76:AX$80))</f>
        <v>#REF!</v>
      </c>
      <c r="AY94" t="e">
        <f t="array" aca="1" ref="AY94" ca="1">SUM(ABS(INDIRECT(ADDRESS(66,22+($V94-1)*2+1)&amp;":"&amp;ADDRESS(70,22+($V94-1)*2+1))-AY$76:AY$80))</f>
        <v>#REF!</v>
      </c>
      <c r="AZ94" t="e">
        <f t="array" aca="1" ref="AZ94" ca="1">SUM(ABS(INDIRECT(ADDRESS(66,22+($V94-1)*2+2)&amp;":"&amp;ADDRESS(70,22+($V94-1)*2+2))-AZ$76:AZ$80))</f>
        <v>#REF!</v>
      </c>
      <c r="BA94" t="e">
        <f t="array" aca="1" ref="BA94" ca="1">SUM(ABS(INDIRECT(ADDRESS(66,22+($V94-1)*2+1)&amp;":"&amp;ADDRESS(70,22+($V94-1)*2+1))-BA$76:BA$80))</f>
        <v>#REF!</v>
      </c>
      <c r="BB94" t="e">
        <f t="array" aca="1" ref="BB94" ca="1">SUM(ABS(INDIRECT(ADDRESS(66,22+($V94-1)*2+2)&amp;":"&amp;ADDRESS(70,22+($V94-1)*2+2))-BB$76:BB$80))</f>
        <v>#REF!</v>
      </c>
      <c r="BC94" t="e">
        <f t="array" aca="1" ref="BC94" ca="1">SUM(ABS(INDIRECT(ADDRESS(66,22+($V94-1)*2+1)&amp;":"&amp;ADDRESS(70,22+($V94-1)*2+1))-BC$76:BC$80))</f>
        <v>#REF!</v>
      </c>
      <c r="BD94" t="e">
        <f t="array" aca="1" ref="BD94" ca="1">SUM(ABS(INDIRECT(ADDRESS(66,22+($V94-1)*2+2)&amp;":"&amp;ADDRESS(70,22+($V94-1)*2+2))-BD$76:BD$80))</f>
        <v>#REF!</v>
      </c>
      <c r="BE94" t="e">
        <f t="array" aca="1" ref="BE94" ca="1">SUM(ABS(INDIRECT(ADDRESS(66,22+($V94-1)*2+1)&amp;":"&amp;ADDRESS(70,22+($V94-1)*2+1))-BE$76:BE$80))</f>
        <v>#REF!</v>
      </c>
      <c r="BF94" t="e">
        <f t="array" aca="1" ref="BF94" ca="1">SUM(ABS(INDIRECT(ADDRESS(66,22+($V94-1)*2+2)&amp;":"&amp;ADDRESS(70,22+($V94-1)*2+2))-BF$76:BF$80))</f>
        <v>#REF!</v>
      </c>
      <c r="BG94" t="e">
        <f t="array" aca="1" ref="BG94" ca="1">SUM(ABS(INDIRECT(ADDRESS(66,22+($V94-1)*2+1)&amp;":"&amp;ADDRESS(70,22+($V94-1)*2+1))-BG$76:BG$80))</f>
        <v>#REF!</v>
      </c>
      <c r="BH94" t="e">
        <f t="array" aca="1" ref="BH94" ca="1">SUM(ABS(INDIRECT(ADDRESS(66,22+($V94-1)*2+2)&amp;":"&amp;ADDRESS(70,22+($V94-1)*2+2))-BH$76:BH$80))</f>
        <v>#REF!</v>
      </c>
      <c r="BI94" t="e">
        <f t="array" aca="1" ref="BI94" ca="1">SUM(ABS(INDIRECT(ADDRESS(66,22+($V94-1)*2+1)&amp;":"&amp;ADDRESS(70,22+($V94-1)*2+1))-BI$76:BI$80))</f>
        <v>#REF!</v>
      </c>
      <c r="BJ94" t="e">
        <f t="array" aca="1" ref="BJ94" ca="1">SUM(ABS(INDIRECT(ADDRESS(66,22+($V94-1)*2+2)&amp;":"&amp;ADDRESS(70,22+($V94-1)*2+2))-BJ$76:BJ$80))</f>
        <v>#REF!</v>
      </c>
      <c r="BK94" t="e">
        <f t="array" aca="1" ref="BK94" ca="1">SUM(ABS(INDIRECT(ADDRESS(66,22+($V94-1)*2+1)&amp;":"&amp;ADDRESS(70,22+($V94-1)*2+1))-BK$76:BK$80))</f>
        <v>#REF!</v>
      </c>
      <c r="BL94" t="e">
        <f t="array" aca="1" ref="BL94" ca="1">SUM(ABS(INDIRECT(ADDRESS(66,22+($V94-1)*2+2)&amp;":"&amp;ADDRESS(70,22+($V94-1)*2+2))-BL$76:BL$80))</f>
        <v>#REF!</v>
      </c>
      <c r="CW94" s="1055"/>
      <c r="CX94" s="1150"/>
      <c r="CY94" s="1150"/>
      <c r="CZ94" s="1150"/>
      <c r="DA94" s="1150"/>
      <c r="DB94" s="1150"/>
      <c r="DC94" s="1150"/>
      <c r="DD94" s="1150"/>
      <c r="DE94" s="1150"/>
      <c r="DF94" s="1150"/>
      <c r="DG94" s="1150"/>
      <c r="DM94" s="290"/>
      <c r="DN94" s="290"/>
      <c r="DO94" s="290"/>
      <c r="DP94" s="290"/>
      <c r="DQ94" s="290"/>
      <c r="GH94" s="1066"/>
      <c r="GI94" s="1066" t="s">
        <v>387</v>
      </c>
      <c r="GJ94" s="1066"/>
      <c r="GK94" s="1066" t="s">
        <v>387</v>
      </c>
      <c r="GL94" s="1066"/>
      <c r="GM94" s="1066" t="s">
        <v>389</v>
      </c>
      <c r="GN94" s="1066"/>
      <c r="GO94" s="1066" t="s">
        <v>389</v>
      </c>
      <c r="GP94" s="1066"/>
      <c r="GQ94" s="1066" t="s">
        <v>390</v>
      </c>
      <c r="GR94" s="1066"/>
    </row>
    <row r="95" spans="22:273" x14ac:dyDescent="0.2">
      <c r="V95">
        <v>13</v>
      </c>
      <c r="W95" t="e">
        <f t="array" aca="1" ref="W95" ca="1">SUM(ABS(INDIRECT(ADDRESS(66,22+($V95-1)*2+1)&amp;":"&amp;ADDRESS(70,22+($V95-1)*2+1))-W$76:W$80))</f>
        <v>#REF!</v>
      </c>
      <c r="X95" t="e">
        <f t="array" aca="1" ref="X95" ca="1">SUM(ABS(INDIRECT(ADDRESS(66,22+($V95-1)*2+2)&amp;":"&amp;ADDRESS(70,22+($V95-1)*2+2))-X$76:X$80))</f>
        <v>#REF!</v>
      </c>
      <c r="Y95" t="e">
        <f t="array" aca="1" ref="Y95" ca="1">SUM(ABS(INDIRECT(ADDRESS(66,22+($V95-1)*2+1)&amp;":"&amp;ADDRESS(70,22+($V95-1)*2+1))-Y$76:Y$80))</f>
        <v>#REF!</v>
      </c>
      <c r="Z95" t="e">
        <f t="array" aca="1" ref="Z95" ca="1">SUM(ABS(INDIRECT(ADDRESS(66,22+($V95-1)*2+2)&amp;":"&amp;ADDRESS(70,22+($V95-1)*2+2))-Z$76:Z$80))</f>
        <v>#REF!</v>
      </c>
      <c r="AA95" t="e">
        <f t="array" aca="1" ref="AA95" ca="1">SUM(ABS(INDIRECT(ADDRESS(66,22+($V95-1)*2+1)&amp;":"&amp;ADDRESS(70,22+($V95-1)*2+1))-AA$76:AA$80))</f>
        <v>#REF!</v>
      </c>
      <c r="AB95" t="e">
        <f t="array" aca="1" ref="AB95" ca="1">SUM(ABS(INDIRECT(ADDRESS(66,22+($V95-1)*2+2)&amp;":"&amp;ADDRESS(70,22+($V95-1)*2+2))-AB$76:AB$80))</f>
        <v>#REF!</v>
      </c>
      <c r="AC95" t="e">
        <f t="array" aca="1" ref="AC95" ca="1">SUM(ABS(INDIRECT(ADDRESS(66,22+($V95-1)*2+1)&amp;":"&amp;ADDRESS(70,22+($V95-1)*2+1))-AC$76:AC$80))</f>
        <v>#REF!</v>
      </c>
      <c r="AD95" t="e">
        <f t="array" aca="1" ref="AD95" ca="1">SUM(ABS(INDIRECT(ADDRESS(66,22+($V95-1)*2+2)&amp;":"&amp;ADDRESS(70,22+($V95-1)*2+2))-AD$76:AD$80))</f>
        <v>#REF!</v>
      </c>
      <c r="AE95" t="e">
        <f t="array" aca="1" ref="AE95" ca="1">SUM(ABS(INDIRECT(ADDRESS(66,22+($V95-1)*2+1)&amp;":"&amp;ADDRESS(70,22+($V95-1)*2+1))-AE$76:AE$80))</f>
        <v>#REF!</v>
      </c>
      <c r="AF95" t="e">
        <f t="array" aca="1" ref="AF95" ca="1">SUM(ABS(INDIRECT(ADDRESS(66,22+($V95-1)*2+2)&amp;":"&amp;ADDRESS(70,22+($V95-1)*2+2))-AF$76:AF$80))</f>
        <v>#REF!</v>
      </c>
      <c r="AG95" t="e">
        <f t="array" aca="1" ref="AG95" ca="1">SUM(ABS(INDIRECT(ADDRESS(66,22+($V95-1)*2+1)&amp;":"&amp;ADDRESS(70,22+($V95-1)*2+1))-AG$76:AG$80))</f>
        <v>#REF!</v>
      </c>
      <c r="AH95" t="e">
        <f t="array" aca="1" ref="AH95" ca="1">SUM(ABS(INDIRECT(ADDRESS(66,22+($V95-1)*2+2)&amp;":"&amp;ADDRESS(70,22+($V95-1)*2+2))-AH$76:AH$80))</f>
        <v>#REF!</v>
      </c>
      <c r="AI95" t="e">
        <f t="array" aca="1" ref="AI95" ca="1">SUM(ABS(INDIRECT(ADDRESS(66,22+($V95-1)*2+1)&amp;":"&amp;ADDRESS(70,22+($V95-1)*2+1))-AI$76:AI$80))</f>
        <v>#REF!</v>
      </c>
      <c r="AJ95" t="e">
        <f t="array" aca="1" ref="AJ95" ca="1">SUM(ABS(INDIRECT(ADDRESS(66,22+($V95-1)*2+2)&amp;":"&amp;ADDRESS(70,22+($V95-1)*2+2))-AJ$76:AJ$80))</f>
        <v>#REF!</v>
      </c>
      <c r="AK95" t="e">
        <f t="array" aca="1" ref="AK95" ca="1">SUM(ABS(INDIRECT(ADDRESS(66,22+($V95-1)*2+1)&amp;":"&amp;ADDRESS(70,22+($V95-1)*2+1))-AK$76:AK$80))</f>
        <v>#REF!</v>
      </c>
      <c r="AL95" t="e">
        <f t="array" aca="1" ref="AL95" ca="1">SUM(ABS(INDIRECT(ADDRESS(66,22+($V95-1)*2+2)&amp;":"&amp;ADDRESS(70,22+($V95-1)*2+2))-AL$76:AL$80))</f>
        <v>#REF!</v>
      </c>
      <c r="AM95" t="e">
        <f t="array" aca="1" ref="AM95" ca="1">SUM(ABS(INDIRECT(ADDRESS(66,22+($V95-1)*2+1)&amp;":"&amp;ADDRESS(70,22+($V95-1)*2+1))-AM$76:AM$80))</f>
        <v>#REF!</v>
      </c>
      <c r="AN95" t="e">
        <f t="array" aca="1" ref="AN95" ca="1">SUM(ABS(INDIRECT(ADDRESS(66,22+($V95-1)*2+2)&amp;":"&amp;ADDRESS(70,22+($V95-1)*2+2))-AN$76:AN$80))</f>
        <v>#REF!</v>
      </c>
      <c r="AO95" t="e">
        <f t="array" aca="1" ref="AO95" ca="1">SUM(ABS(INDIRECT(ADDRESS(66,22+($V95-1)*2+1)&amp;":"&amp;ADDRESS(70,22+($V95-1)*2+1))-AO$76:AO$80))</f>
        <v>#REF!</v>
      </c>
      <c r="AP95" t="e">
        <f t="array" aca="1" ref="AP95" ca="1">SUM(ABS(INDIRECT(ADDRESS(66,22+($V95-1)*2+2)&amp;":"&amp;ADDRESS(70,22+($V95-1)*2+2))-AP$76:AP$80))</f>
        <v>#REF!</v>
      </c>
      <c r="AQ95" t="e">
        <f t="array" aca="1" ref="AQ95" ca="1">SUM(ABS(INDIRECT(ADDRESS(66,22+($V95-1)*2+1)&amp;":"&amp;ADDRESS(70,22+($V95-1)*2+1))-AQ$76:AQ$80))</f>
        <v>#REF!</v>
      </c>
      <c r="AR95" t="e">
        <f t="array" aca="1" ref="AR95" ca="1">SUM(ABS(INDIRECT(ADDRESS(66,22+($V95-1)*2+2)&amp;":"&amp;ADDRESS(70,22+($V95-1)*2+2))-AR$76:AR$80))</f>
        <v>#REF!</v>
      </c>
      <c r="AS95" t="e">
        <f t="array" aca="1" ref="AS95" ca="1">SUM(ABS(INDIRECT(ADDRESS(66,22+($V95-1)*2+1)&amp;":"&amp;ADDRESS(70,22+($V95-1)*2+1))-AS$76:AS$80))</f>
        <v>#REF!</v>
      </c>
      <c r="AT95" t="e">
        <f t="array" aca="1" ref="AT95" ca="1">SUM(ABS(INDIRECT(ADDRESS(66,22+($V95-1)*2+2)&amp;":"&amp;ADDRESS(70,22+($V95-1)*2+2))-AT$76:AT$80))</f>
        <v>#REF!</v>
      </c>
      <c r="AU95" t="e">
        <f t="array" aca="1" ref="AU95" ca="1">SUM(ABS(INDIRECT(ADDRESS(66,22+($V95-1)*2+1)&amp;":"&amp;ADDRESS(70,22+($V95-1)*2+1))-AU$76:AU$80))</f>
        <v>#REF!</v>
      </c>
      <c r="AV95" t="e">
        <f t="array" aca="1" ref="AV95" ca="1">SUM(ABS(INDIRECT(ADDRESS(66,22+($V95-1)*2+2)&amp;":"&amp;ADDRESS(70,22+($V95-1)*2+2))-AV$76:AV$80))</f>
        <v>#REF!</v>
      </c>
      <c r="AW95" t="e">
        <f t="array" aca="1" ref="AW95" ca="1">SUM(ABS(INDIRECT(ADDRESS(66,22+($V95-1)*2+1)&amp;":"&amp;ADDRESS(70,22+($V95-1)*2+1))-AW$76:AW$80))</f>
        <v>#REF!</v>
      </c>
      <c r="AX95" t="e">
        <f t="array" aca="1" ref="AX95" ca="1">SUM(ABS(INDIRECT(ADDRESS(66,22+($V95-1)*2+2)&amp;":"&amp;ADDRESS(70,22+($V95-1)*2+2))-AX$76:AX$80))</f>
        <v>#REF!</v>
      </c>
      <c r="AY95" t="e">
        <f t="array" aca="1" ref="AY95" ca="1">SUM(ABS(INDIRECT(ADDRESS(66,22+($V95-1)*2+1)&amp;":"&amp;ADDRESS(70,22+($V95-1)*2+1))-AY$76:AY$80))</f>
        <v>#REF!</v>
      </c>
      <c r="AZ95" t="e">
        <f t="array" aca="1" ref="AZ95" ca="1">SUM(ABS(INDIRECT(ADDRESS(66,22+($V95-1)*2+2)&amp;":"&amp;ADDRESS(70,22+($V95-1)*2+2))-AZ$76:AZ$80))</f>
        <v>#REF!</v>
      </c>
      <c r="BA95" t="e">
        <f t="array" aca="1" ref="BA95" ca="1">SUM(ABS(INDIRECT(ADDRESS(66,22+($V95-1)*2+1)&amp;":"&amp;ADDRESS(70,22+($V95-1)*2+1))-BA$76:BA$80))</f>
        <v>#REF!</v>
      </c>
      <c r="BB95" t="e">
        <f t="array" aca="1" ref="BB95" ca="1">SUM(ABS(INDIRECT(ADDRESS(66,22+($V95-1)*2+2)&amp;":"&amp;ADDRESS(70,22+($V95-1)*2+2))-BB$76:BB$80))</f>
        <v>#REF!</v>
      </c>
      <c r="BC95" t="e">
        <f t="array" aca="1" ref="BC95" ca="1">SUM(ABS(INDIRECT(ADDRESS(66,22+($V95-1)*2+1)&amp;":"&amp;ADDRESS(70,22+($V95-1)*2+1))-BC$76:BC$80))</f>
        <v>#REF!</v>
      </c>
      <c r="BD95" t="e">
        <f t="array" aca="1" ref="BD95" ca="1">SUM(ABS(INDIRECT(ADDRESS(66,22+($V95-1)*2+2)&amp;":"&amp;ADDRESS(70,22+($V95-1)*2+2))-BD$76:BD$80))</f>
        <v>#REF!</v>
      </c>
      <c r="BE95" t="e">
        <f t="array" aca="1" ref="BE95" ca="1">SUM(ABS(INDIRECT(ADDRESS(66,22+($V95-1)*2+1)&amp;":"&amp;ADDRESS(70,22+($V95-1)*2+1))-BE$76:BE$80))</f>
        <v>#REF!</v>
      </c>
      <c r="BF95" t="e">
        <f t="array" aca="1" ref="BF95" ca="1">SUM(ABS(INDIRECT(ADDRESS(66,22+($V95-1)*2+2)&amp;":"&amp;ADDRESS(70,22+($V95-1)*2+2))-BF$76:BF$80))</f>
        <v>#REF!</v>
      </c>
      <c r="BG95" t="e">
        <f t="array" aca="1" ref="BG95" ca="1">SUM(ABS(INDIRECT(ADDRESS(66,22+($V95-1)*2+1)&amp;":"&amp;ADDRESS(70,22+($V95-1)*2+1))-BG$76:BG$80))</f>
        <v>#REF!</v>
      </c>
      <c r="BH95" t="e">
        <f t="array" aca="1" ref="BH95" ca="1">SUM(ABS(INDIRECT(ADDRESS(66,22+($V95-1)*2+2)&amp;":"&amp;ADDRESS(70,22+($V95-1)*2+2))-BH$76:BH$80))</f>
        <v>#REF!</v>
      </c>
      <c r="BI95" t="e">
        <f t="array" aca="1" ref="BI95" ca="1">SUM(ABS(INDIRECT(ADDRESS(66,22+($V95-1)*2+1)&amp;":"&amp;ADDRESS(70,22+($V95-1)*2+1))-BI$76:BI$80))</f>
        <v>#REF!</v>
      </c>
      <c r="BJ95" t="e">
        <f t="array" aca="1" ref="BJ95" ca="1">SUM(ABS(INDIRECT(ADDRESS(66,22+($V95-1)*2+2)&amp;":"&amp;ADDRESS(70,22+($V95-1)*2+2))-BJ$76:BJ$80))</f>
        <v>#REF!</v>
      </c>
      <c r="BK95" t="e">
        <f t="array" aca="1" ref="BK95" ca="1">SUM(ABS(INDIRECT(ADDRESS(66,22+($V95-1)*2+1)&amp;":"&amp;ADDRESS(70,22+($V95-1)*2+1))-BK$76:BK$80))</f>
        <v>#REF!</v>
      </c>
      <c r="BL95" t="e">
        <f t="array" aca="1" ref="BL95" ca="1">SUM(ABS(INDIRECT(ADDRESS(66,22+($V95-1)*2+2)&amp;":"&amp;ADDRESS(70,22+($V95-1)*2+2))-BL$76:BL$80))</f>
        <v>#REF!</v>
      </c>
      <c r="CW95" s="1055"/>
      <c r="CX95" s="1150"/>
      <c r="CY95" s="1150"/>
      <c r="CZ95" s="1150"/>
      <c r="DA95" s="1150"/>
      <c r="DB95" s="1150"/>
      <c r="DC95" s="1150"/>
      <c r="DD95" s="1150"/>
      <c r="DE95" s="1150"/>
      <c r="DF95" s="1150"/>
      <c r="DG95" s="1150"/>
      <c r="DM95" s="290"/>
      <c r="DN95" s="290"/>
      <c r="DO95" s="290"/>
      <c r="DP95" s="290"/>
      <c r="DQ95" s="290"/>
      <c r="GH95" s="1066" t="s">
        <v>391</v>
      </c>
      <c r="GI95" s="1066" t="s">
        <v>218</v>
      </c>
      <c r="GJ95" s="1066" t="s">
        <v>648</v>
      </c>
      <c r="GK95" s="1066" t="s">
        <v>218</v>
      </c>
      <c r="GL95" s="1066" t="s">
        <v>648</v>
      </c>
      <c r="GM95" s="1066" t="s">
        <v>218</v>
      </c>
      <c r="GN95" s="1066" t="s">
        <v>648</v>
      </c>
      <c r="GO95" s="1066" t="s">
        <v>218</v>
      </c>
      <c r="GP95" s="1066" t="s">
        <v>648</v>
      </c>
      <c r="GQ95" s="1066" t="s">
        <v>218</v>
      </c>
      <c r="GR95" s="1066" t="s">
        <v>648</v>
      </c>
    </row>
    <row r="96" spans="22:273" x14ac:dyDescent="0.2">
      <c r="V96">
        <v>14</v>
      </c>
      <c r="W96" t="e">
        <f t="array" aca="1" ref="W96" ca="1">SUM(ABS(INDIRECT(ADDRESS(66,22+($V96-1)*2+1)&amp;":"&amp;ADDRESS(70,22+($V96-1)*2+1))-W$76:W$80))</f>
        <v>#REF!</v>
      </c>
      <c r="X96" t="e">
        <f t="array" aca="1" ref="X96" ca="1">SUM(ABS(INDIRECT(ADDRESS(66,22+($V96-1)*2+2)&amp;":"&amp;ADDRESS(70,22+($V96-1)*2+2))-X$76:X$80))</f>
        <v>#REF!</v>
      </c>
      <c r="Y96" t="e">
        <f t="array" aca="1" ref="Y96" ca="1">SUM(ABS(INDIRECT(ADDRESS(66,22+($V96-1)*2+1)&amp;":"&amp;ADDRESS(70,22+($V96-1)*2+1))-Y$76:Y$80))</f>
        <v>#REF!</v>
      </c>
      <c r="Z96" t="e">
        <f t="array" aca="1" ref="Z96" ca="1">SUM(ABS(INDIRECT(ADDRESS(66,22+($V96-1)*2+2)&amp;":"&amp;ADDRESS(70,22+($V96-1)*2+2))-Z$76:Z$80))</f>
        <v>#REF!</v>
      </c>
      <c r="AA96" t="e">
        <f t="array" aca="1" ref="AA96" ca="1">SUM(ABS(INDIRECT(ADDRESS(66,22+($V96-1)*2+1)&amp;":"&amp;ADDRESS(70,22+($V96-1)*2+1))-AA$76:AA$80))</f>
        <v>#REF!</v>
      </c>
      <c r="AB96" t="e">
        <f t="array" aca="1" ref="AB96" ca="1">SUM(ABS(INDIRECT(ADDRESS(66,22+($V96-1)*2+2)&amp;":"&amp;ADDRESS(70,22+($V96-1)*2+2))-AB$76:AB$80))</f>
        <v>#REF!</v>
      </c>
      <c r="AC96" t="e">
        <f t="array" aca="1" ref="AC96" ca="1">SUM(ABS(INDIRECT(ADDRESS(66,22+($V96-1)*2+1)&amp;":"&amp;ADDRESS(70,22+($V96-1)*2+1))-AC$76:AC$80))</f>
        <v>#REF!</v>
      </c>
      <c r="AD96" t="e">
        <f t="array" aca="1" ref="AD96" ca="1">SUM(ABS(INDIRECT(ADDRESS(66,22+($V96-1)*2+2)&amp;":"&amp;ADDRESS(70,22+($V96-1)*2+2))-AD$76:AD$80))</f>
        <v>#REF!</v>
      </c>
      <c r="AE96" t="e">
        <f t="array" aca="1" ref="AE96" ca="1">SUM(ABS(INDIRECT(ADDRESS(66,22+($V96-1)*2+1)&amp;":"&amp;ADDRESS(70,22+($V96-1)*2+1))-AE$76:AE$80))</f>
        <v>#REF!</v>
      </c>
      <c r="AF96" t="e">
        <f t="array" aca="1" ref="AF96" ca="1">SUM(ABS(INDIRECT(ADDRESS(66,22+($V96-1)*2+2)&amp;":"&amp;ADDRESS(70,22+($V96-1)*2+2))-AF$76:AF$80))</f>
        <v>#REF!</v>
      </c>
      <c r="AG96" t="e">
        <f t="array" aca="1" ref="AG96" ca="1">SUM(ABS(INDIRECT(ADDRESS(66,22+($V96-1)*2+1)&amp;":"&amp;ADDRESS(70,22+($V96-1)*2+1))-AG$76:AG$80))</f>
        <v>#REF!</v>
      </c>
      <c r="AH96" t="e">
        <f t="array" aca="1" ref="AH96" ca="1">SUM(ABS(INDIRECT(ADDRESS(66,22+($V96-1)*2+2)&amp;":"&amp;ADDRESS(70,22+($V96-1)*2+2))-AH$76:AH$80))</f>
        <v>#REF!</v>
      </c>
      <c r="AI96" t="e">
        <f t="array" aca="1" ref="AI96" ca="1">SUM(ABS(INDIRECT(ADDRESS(66,22+($V96-1)*2+1)&amp;":"&amp;ADDRESS(70,22+($V96-1)*2+1))-AI$76:AI$80))</f>
        <v>#REF!</v>
      </c>
      <c r="AJ96" t="e">
        <f t="array" aca="1" ref="AJ96" ca="1">SUM(ABS(INDIRECT(ADDRESS(66,22+($V96-1)*2+2)&amp;":"&amp;ADDRESS(70,22+($V96-1)*2+2))-AJ$76:AJ$80))</f>
        <v>#REF!</v>
      </c>
      <c r="AK96" t="e">
        <f t="array" aca="1" ref="AK96" ca="1">SUM(ABS(INDIRECT(ADDRESS(66,22+($V96-1)*2+1)&amp;":"&amp;ADDRESS(70,22+($V96-1)*2+1))-AK$76:AK$80))</f>
        <v>#REF!</v>
      </c>
      <c r="AL96" t="e">
        <f t="array" aca="1" ref="AL96" ca="1">SUM(ABS(INDIRECT(ADDRESS(66,22+($V96-1)*2+2)&amp;":"&amp;ADDRESS(70,22+($V96-1)*2+2))-AL$76:AL$80))</f>
        <v>#REF!</v>
      </c>
      <c r="AM96" t="e">
        <f t="array" aca="1" ref="AM96" ca="1">SUM(ABS(INDIRECT(ADDRESS(66,22+($V96-1)*2+1)&amp;":"&amp;ADDRESS(70,22+($V96-1)*2+1))-AM$76:AM$80))</f>
        <v>#REF!</v>
      </c>
      <c r="AN96" t="e">
        <f t="array" aca="1" ref="AN96" ca="1">SUM(ABS(INDIRECT(ADDRESS(66,22+($V96-1)*2+2)&amp;":"&amp;ADDRESS(70,22+($V96-1)*2+2))-AN$76:AN$80))</f>
        <v>#REF!</v>
      </c>
      <c r="AO96" t="e">
        <f t="array" aca="1" ref="AO96" ca="1">SUM(ABS(INDIRECT(ADDRESS(66,22+($V96-1)*2+1)&amp;":"&amp;ADDRESS(70,22+($V96-1)*2+1))-AO$76:AO$80))</f>
        <v>#REF!</v>
      </c>
      <c r="AP96" t="e">
        <f t="array" aca="1" ref="AP96" ca="1">SUM(ABS(INDIRECT(ADDRESS(66,22+($V96-1)*2+2)&amp;":"&amp;ADDRESS(70,22+($V96-1)*2+2))-AP$76:AP$80))</f>
        <v>#REF!</v>
      </c>
      <c r="AQ96" t="e">
        <f t="array" aca="1" ref="AQ96" ca="1">SUM(ABS(INDIRECT(ADDRESS(66,22+($V96-1)*2+1)&amp;":"&amp;ADDRESS(70,22+($V96-1)*2+1))-AQ$76:AQ$80))</f>
        <v>#REF!</v>
      </c>
      <c r="AR96" t="e">
        <f t="array" aca="1" ref="AR96" ca="1">SUM(ABS(INDIRECT(ADDRESS(66,22+($V96-1)*2+2)&amp;":"&amp;ADDRESS(70,22+($V96-1)*2+2))-AR$76:AR$80))</f>
        <v>#REF!</v>
      </c>
      <c r="AS96" t="e">
        <f t="array" aca="1" ref="AS96" ca="1">SUM(ABS(INDIRECT(ADDRESS(66,22+($V96-1)*2+1)&amp;":"&amp;ADDRESS(70,22+($V96-1)*2+1))-AS$76:AS$80))</f>
        <v>#REF!</v>
      </c>
      <c r="AT96" t="e">
        <f t="array" aca="1" ref="AT96" ca="1">SUM(ABS(INDIRECT(ADDRESS(66,22+($V96-1)*2+2)&amp;":"&amp;ADDRESS(70,22+($V96-1)*2+2))-AT$76:AT$80))</f>
        <v>#REF!</v>
      </c>
      <c r="AU96" t="e">
        <f t="array" aca="1" ref="AU96" ca="1">SUM(ABS(INDIRECT(ADDRESS(66,22+($V96-1)*2+1)&amp;":"&amp;ADDRESS(70,22+($V96-1)*2+1))-AU$76:AU$80))</f>
        <v>#REF!</v>
      </c>
      <c r="AV96" t="e">
        <f t="array" aca="1" ref="AV96" ca="1">SUM(ABS(INDIRECT(ADDRESS(66,22+($V96-1)*2+2)&amp;":"&amp;ADDRESS(70,22+($V96-1)*2+2))-AV$76:AV$80))</f>
        <v>#REF!</v>
      </c>
      <c r="AW96" t="e">
        <f t="array" aca="1" ref="AW96" ca="1">SUM(ABS(INDIRECT(ADDRESS(66,22+($V96-1)*2+1)&amp;":"&amp;ADDRESS(70,22+($V96-1)*2+1))-AW$76:AW$80))</f>
        <v>#REF!</v>
      </c>
      <c r="AX96" t="e">
        <f t="array" aca="1" ref="AX96" ca="1">SUM(ABS(INDIRECT(ADDRESS(66,22+($V96-1)*2+2)&amp;":"&amp;ADDRESS(70,22+($V96-1)*2+2))-AX$76:AX$80))</f>
        <v>#REF!</v>
      </c>
      <c r="AY96" t="e">
        <f t="array" aca="1" ref="AY96" ca="1">SUM(ABS(INDIRECT(ADDRESS(66,22+($V96-1)*2+1)&amp;":"&amp;ADDRESS(70,22+($V96-1)*2+1))-AY$76:AY$80))</f>
        <v>#REF!</v>
      </c>
      <c r="AZ96" t="e">
        <f t="array" aca="1" ref="AZ96" ca="1">SUM(ABS(INDIRECT(ADDRESS(66,22+($V96-1)*2+2)&amp;":"&amp;ADDRESS(70,22+($V96-1)*2+2))-AZ$76:AZ$80))</f>
        <v>#REF!</v>
      </c>
      <c r="BA96" s="277" t="e">
        <f t="array" aca="1" ref="BA96" ca="1">SUM(ABS(INDIRECT(ADDRESS(66,22+($V96-1)*2+1)&amp;":"&amp;ADDRESS(70,22+($V96-1)*2+1))-BA$76:BA$80))</f>
        <v>#REF!</v>
      </c>
      <c r="BB96" s="277" t="e">
        <f t="array" aca="1" ref="BB96" ca="1">SUM(ABS(INDIRECT(ADDRESS(66,22+($V96-1)*2+2)&amp;":"&amp;ADDRESS(70,22+($V96-1)*2+2))-BB$76:BB$80))</f>
        <v>#REF!</v>
      </c>
      <c r="BC96" s="293" t="e">
        <f t="array" aca="1" ref="BC96" ca="1">SUM(ABS(INDIRECT(ADDRESS(66,22+($V96-1)*2+1)&amp;":"&amp;ADDRESS(70,22+($V96-1)*2+1))-BC$76:BC$80))</f>
        <v>#REF!</v>
      </c>
      <c r="BD96" s="293" t="e">
        <f t="array" aca="1" ref="BD96" ca="1">SUM(ABS(INDIRECT(ADDRESS(66,22+($V96-1)*2+2)&amp;":"&amp;ADDRESS(70,22+($V96-1)*2+2))-BD$76:BD$80))</f>
        <v>#REF!</v>
      </c>
      <c r="BE96" t="e">
        <f t="array" aca="1" ref="BE96" ca="1">SUM(ABS(INDIRECT(ADDRESS(66,22+($V96-1)*2+1)&amp;":"&amp;ADDRESS(70,22+($V96-1)*2+1))-BE$76:BE$80))</f>
        <v>#REF!</v>
      </c>
      <c r="BF96" t="e">
        <f t="array" aca="1" ref="BF96" ca="1">SUM(ABS(INDIRECT(ADDRESS(66,22+($V96-1)*2+2)&amp;":"&amp;ADDRESS(70,22+($V96-1)*2+2))-BF$76:BF$80))</f>
        <v>#REF!</v>
      </c>
      <c r="BG96" t="e">
        <f t="array" aca="1" ref="BG96" ca="1">SUM(ABS(INDIRECT(ADDRESS(66,22+($V96-1)*2+1)&amp;":"&amp;ADDRESS(70,22+($V96-1)*2+1))-BG$76:BG$80))</f>
        <v>#REF!</v>
      </c>
      <c r="BH96" t="e">
        <f t="array" aca="1" ref="BH96" ca="1">SUM(ABS(INDIRECT(ADDRESS(66,22+($V96-1)*2+2)&amp;":"&amp;ADDRESS(70,22+($V96-1)*2+2))-BH$76:BH$80))</f>
        <v>#REF!</v>
      </c>
      <c r="BI96" t="e">
        <f t="array" aca="1" ref="BI96" ca="1">SUM(ABS(INDIRECT(ADDRESS(66,22+($V96-1)*2+1)&amp;":"&amp;ADDRESS(70,22+($V96-1)*2+1))-BI$76:BI$80))</f>
        <v>#REF!</v>
      </c>
      <c r="BJ96" t="e">
        <f t="array" aca="1" ref="BJ96" ca="1">SUM(ABS(INDIRECT(ADDRESS(66,22+($V96-1)*2+2)&amp;":"&amp;ADDRESS(70,22+($V96-1)*2+2))-BJ$76:BJ$80))</f>
        <v>#REF!</v>
      </c>
      <c r="BK96" t="e">
        <f t="array" aca="1" ref="BK96" ca="1">SUM(ABS(INDIRECT(ADDRESS(66,22+($V96-1)*2+1)&amp;":"&amp;ADDRESS(70,22+($V96-1)*2+1))-BK$76:BK$80))</f>
        <v>#REF!</v>
      </c>
      <c r="BL96" t="e">
        <f t="array" aca="1" ref="BL96" ca="1">SUM(ABS(INDIRECT(ADDRESS(66,22+($V96-1)*2+2)&amp;":"&amp;ADDRESS(70,22+($V96-1)*2+2))-BL$76:BL$80))</f>
        <v>#REF!</v>
      </c>
      <c r="CW96" s="1055"/>
      <c r="CX96" s="1150"/>
      <c r="CY96" s="1150"/>
      <c r="CZ96" s="1150"/>
      <c r="DA96" s="1150"/>
      <c r="DB96" s="1150"/>
      <c r="DC96" s="1150"/>
      <c r="DD96" s="1150"/>
      <c r="DE96" s="1150"/>
      <c r="DF96" s="1150"/>
      <c r="DG96" s="1150"/>
      <c r="DM96" s="290"/>
      <c r="DN96" s="290"/>
      <c r="DO96" s="290"/>
      <c r="DP96" s="290"/>
      <c r="DQ96" s="290"/>
      <c r="GH96" s="1066"/>
      <c r="GI96" s="1066"/>
      <c r="GJ96" s="1066"/>
      <c r="GK96" s="1066"/>
      <c r="GL96" s="1066"/>
      <c r="GM96" s="1066"/>
      <c r="GN96" s="1066"/>
      <c r="GO96" s="1066"/>
      <c r="GP96" s="1066"/>
      <c r="GQ96" s="1066"/>
      <c r="GR96" s="1066"/>
    </row>
    <row r="97" spans="22:200" x14ac:dyDescent="0.2">
      <c r="V97">
        <v>15</v>
      </c>
      <c r="W97" t="e">
        <f t="array" aca="1" ref="W97" ca="1">SUM(ABS(INDIRECT(ADDRESS(66,22+($V97-1)*2+1)&amp;":"&amp;ADDRESS(70,22+($V97-1)*2+1))-W$76:W$80))</f>
        <v>#REF!</v>
      </c>
      <c r="X97" t="e">
        <f t="array" aca="1" ref="X97" ca="1">SUM(ABS(INDIRECT(ADDRESS(66,22+($V97-1)*2+2)&amp;":"&amp;ADDRESS(70,22+($V97-1)*2+2))-X$76:X$80))</f>
        <v>#REF!</v>
      </c>
      <c r="Y97" t="e">
        <f t="array" aca="1" ref="Y97" ca="1">SUM(ABS(INDIRECT(ADDRESS(66,22+($V97-1)*2+1)&amp;":"&amp;ADDRESS(70,22+($V97-1)*2+1))-Y$76:Y$80))</f>
        <v>#REF!</v>
      </c>
      <c r="Z97" t="e">
        <f t="array" aca="1" ref="Z97" ca="1">SUM(ABS(INDIRECT(ADDRESS(66,22+($V97-1)*2+2)&amp;":"&amp;ADDRESS(70,22+($V97-1)*2+2))-Z$76:Z$80))</f>
        <v>#REF!</v>
      </c>
      <c r="AA97" t="e">
        <f t="array" aca="1" ref="AA97" ca="1">SUM(ABS(INDIRECT(ADDRESS(66,22+($V97-1)*2+1)&amp;":"&amp;ADDRESS(70,22+($V97-1)*2+1))-AA$76:AA$80))</f>
        <v>#REF!</v>
      </c>
      <c r="AB97" t="e">
        <f t="array" aca="1" ref="AB97" ca="1">SUM(ABS(INDIRECT(ADDRESS(66,22+($V97-1)*2+2)&amp;":"&amp;ADDRESS(70,22+($V97-1)*2+2))-AB$76:AB$80))</f>
        <v>#REF!</v>
      </c>
      <c r="AC97" t="e">
        <f t="array" aca="1" ref="AC97" ca="1">SUM(ABS(INDIRECT(ADDRESS(66,22+($V97-1)*2+1)&amp;":"&amp;ADDRESS(70,22+($V97-1)*2+1))-AC$76:AC$80))</f>
        <v>#REF!</v>
      </c>
      <c r="AD97" t="e">
        <f t="array" aca="1" ref="AD97" ca="1">SUM(ABS(INDIRECT(ADDRESS(66,22+($V97-1)*2+2)&amp;":"&amp;ADDRESS(70,22+($V97-1)*2+2))-AD$76:AD$80))</f>
        <v>#REF!</v>
      </c>
      <c r="AE97" t="e">
        <f t="array" aca="1" ref="AE97" ca="1">SUM(ABS(INDIRECT(ADDRESS(66,22+($V97-1)*2+1)&amp;":"&amp;ADDRESS(70,22+($V97-1)*2+1))-AE$76:AE$80))</f>
        <v>#REF!</v>
      </c>
      <c r="AF97" t="e">
        <f t="array" aca="1" ref="AF97" ca="1">SUM(ABS(INDIRECT(ADDRESS(66,22+($V97-1)*2+2)&amp;":"&amp;ADDRESS(70,22+($V97-1)*2+2))-AF$76:AF$80))</f>
        <v>#REF!</v>
      </c>
      <c r="AG97" t="e">
        <f t="array" aca="1" ref="AG97" ca="1">SUM(ABS(INDIRECT(ADDRESS(66,22+($V97-1)*2+1)&amp;":"&amp;ADDRESS(70,22+($V97-1)*2+1))-AG$76:AG$80))</f>
        <v>#REF!</v>
      </c>
      <c r="AH97" t="e">
        <f t="array" aca="1" ref="AH97" ca="1">SUM(ABS(INDIRECT(ADDRESS(66,22+($V97-1)*2+2)&amp;":"&amp;ADDRESS(70,22+($V97-1)*2+2))-AH$76:AH$80))</f>
        <v>#REF!</v>
      </c>
      <c r="AI97" t="e">
        <f t="array" aca="1" ref="AI97" ca="1">SUM(ABS(INDIRECT(ADDRESS(66,22+($V97-1)*2+1)&amp;":"&amp;ADDRESS(70,22+($V97-1)*2+1))-AI$76:AI$80))</f>
        <v>#REF!</v>
      </c>
      <c r="AJ97" t="e">
        <f t="array" aca="1" ref="AJ97" ca="1">SUM(ABS(INDIRECT(ADDRESS(66,22+($V97-1)*2+2)&amp;":"&amp;ADDRESS(70,22+($V97-1)*2+2))-AJ$76:AJ$80))</f>
        <v>#REF!</v>
      </c>
      <c r="AK97" t="e">
        <f t="array" aca="1" ref="AK97" ca="1">SUM(ABS(INDIRECT(ADDRESS(66,22+($V97-1)*2+1)&amp;":"&amp;ADDRESS(70,22+($V97-1)*2+1))-AK$76:AK$80))</f>
        <v>#REF!</v>
      </c>
      <c r="AL97" t="e">
        <f t="array" aca="1" ref="AL97" ca="1">SUM(ABS(INDIRECT(ADDRESS(66,22+($V97-1)*2+2)&amp;":"&amp;ADDRESS(70,22+($V97-1)*2+2))-AL$76:AL$80))</f>
        <v>#REF!</v>
      </c>
      <c r="AM97" t="e">
        <f t="array" aca="1" ref="AM97" ca="1">SUM(ABS(INDIRECT(ADDRESS(66,22+($V97-1)*2+1)&amp;":"&amp;ADDRESS(70,22+($V97-1)*2+1))-AM$76:AM$80))</f>
        <v>#REF!</v>
      </c>
      <c r="AN97" t="e">
        <f t="array" aca="1" ref="AN97" ca="1">SUM(ABS(INDIRECT(ADDRESS(66,22+($V97-1)*2+2)&amp;":"&amp;ADDRESS(70,22+($V97-1)*2+2))-AN$76:AN$80))</f>
        <v>#REF!</v>
      </c>
      <c r="AO97" t="e">
        <f t="array" aca="1" ref="AO97" ca="1">SUM(ABS(INDIRECT(ADDRESS(66,22+($V97-1)*2+1)&amp;":"&amp;ADDRESS(70,22+($V97-1)*2+1))-AO$76:AO$80))</f>
        <v>#REF!</v>
      </c>
      <c r="AP97" t="e">
        <f t="array" aca="1" ref="AP97" ca="1">SUM(ABS(INDIRECT(ADDRESS(66,22+($V97-1)*2+2)&amp;":"&amp;ADDRESS(70,22+($V97-1)*2+2))-AP$76:AP$80))</f>
        <v>#REF!</v>
      </c>
      <c r="AQ97" t="e">
        <f t="array" aca="1" ref="AQ97" ca="1">SUM(ABS(INDIRECT(ADDRESS(66,22+($V97-1)*2+1)&amp;":"&amp;ADDRESS(70,22+($V97-1)*2+1))-AQ$76:AQ$80))</f>
        <v>#REF!</v>
      </c>
      <c r="AR97" t="e">
        <f t="array" aca="1" ref="AR97" ca="1">SUM(ABS(INDIRECT(ADDRESS(66,22+($V97-1)*2+2)&amp;":"&amp;ADDRESS(70,22+($V97-1)*2+2))-AR$76:AR$80))</f>
        <v>#REF!</v>
      </c>
      <c r="AS97" t="e">
        <f t="array" aca="1" ref="AS97" ca="1">SUM(ABS(INDIRECT(ADDRESS(66,22+($V97-1)*2+1)&amp;":"&amp;ADDRESS(70,22+($V97-1)*2+1))-AS$76:AS$80))</f>
        <v>#REF!</v>
      </c>
      <c r="AT97" t="e">
        <f t="array" aca="1" ref="AT97" ca="1">SUM(ABS(INDIRECT(ADDRESS(66,22+($V97-1)*2+2)&amp;":"&amp;ADDRESS(70,22+($V97-1)*2+2))-AT$76:AT$80))</f>
        <v>#REF!</v>
      </c>
      <c r="AU97" t="e">
        <f t="array" aca="1" ref="AU97" ca="1">SUM(ABS(INDIRECT(ADDRESS(66,22+($V97-1)*2+1)&amp;":"&amp;ADDRESS(70,22+($V97-1)*2+1))-AU$76:AU$80))</f>
        <v>#REF!</v>
      </c>
      <c r="AV97" t="e">
        <f t="array" aca="1" ref="AV97" ca="1">SUM(ABS(INDIRECT(ADDRESS(66,22+($V97-1)*2+2)&amp;":"&amp;ADDRESS(70,22+($V97-1)*2+2))-AV$76:AV$80))</f>
        <v>#REF!</v>
      </c>
      <c r="AW97" t="e">
        <f t="array" aca="1" ref="AW97" ca="1">SUM(ABS(INDIRECT(ADDRESS(66,22+($V97-1)*2+1)&amp;":"&amp;ADDRESS(70,22+($V97-1)*2+1))-AW$76:AW$80))</f>
        <v>#REF!</v>
      </c>
      <c r="AX97" t="e">
        <f t="array" aca="1" ref="AX97" ca="1">SUM(ABS(INDIRECT(ADDRESS(66,22+($V97-1)*2+2)&amp;":"&amp;ADDRESS(70,22+($V97-1)*2+2))-AX$76:AX$80))</f>
        <v>#REF!</v>
      </c>
      <c r="AY97" t="e">
        <f t="array" aca="1" ref="AY97" ca="1">SUM(ABS(INDIRECT(ADDRESS(66,22+($V97-1)*2+1)&amp;":"&amp;ADDRESS(70,22+($V97-1)*2+1))-AY$76:AY$80))</f>
        <v>#REF!</v>
      </c>
      <c r="AZ97" t="e">
        <f t="array" aca="1" ref="AZ97" ca="1">SUM(ABS(INDIRECT(ADDRESS(66,22+($V97-1)*2+2)&amp;":"&amp;ADDRESS(70,22+($V97-1)*2+2))-AZ$76:AZ$80))</f>
        <v>#REF!</v>
      </c>
      <c r="BA97" s="277" t="e">
        <f t="array" aca="1" ref="BA97" ca="1">SUM(ABS(INDIRECT(ADDRESS(66,22+($V97-1)*2+1)&amp;":"&amp;ADDRESS(70,22+($V97-1)*2+1))-BA$76:BA$80))</f>
        <v>#REF!</v>
      </c>
      <c r="BB97" s="277" t="e">
        <f t="array" aca="1" ref="BB97" ca="1">SUM(ABS(INDIRECT(ADDRESS(66,22+($V97-1)*2+2)&amp;":"&amp;ADDRESS(70,22+($V97-1)*2+2))-BB$76:BB$80))</f>
        <v>#REF!</v>
      </c>
      <c r="BC97" s="293" t="e">
        <f t="array" aca="1" ref="BC97" ca="1">SUM(ABS(INDIRECT(ADDRESS(66,22+($V97-1)*2+1)&amp;":"&amp;ADDRESS(70,22+($V97-1)*2+1))-BC$76:BC$80))</f>
        <v>#REF!</v>
      </c>
      <c r="BD97" s="293" t="e">
        <f t="array" aca="1" ref="BD97" ca="1">SUM(ABS(INDIRECT(ADDRESS(66,22+($V97-1)*2+2)&amp;":"&amp;ADDRESS(70,22+($V97-1)*2+2))-BD$76:BD$80))</f>
        <v>#REF!</v>
      </c>
      <c r="BE97" t="e">
        <f t="array" aca="1" ref="BE97" ca="1">SUM(ABS(INDIRECT(ADDRESS(66,22+($V97-1)*2+1)&amp;":"&amp;ADDRESS(70,22+($V97-1)*2+1))-BE$76:BE$80))</f>
        <v>#REF!</v>
      </c>
      <c r="BF97" t="e">
        <f t="array" aca="1" ref="BF97" ca="1">SUM(ABS(INDIRECT(ADDRESS(66,22+($V97-1)*2+2)&amp;":"&amp;ADDRESS(70,22+($V97-1)*2+2))-BF$76:BF$80))</f>
        <v>#REF!</v>
      </c>
      <c r="BG97" t="e">
        <f t="array" aca="1" ref="BG97" ca="1">SUM(ABS(INDIRECT(ADDRESS(66,22+($V97-1)*2+1)&amp;":"&amp;ADDRESS(70,22+($V97-1)*2+1))-BG$76:BG$80))</f>
        <v>#REF!</v>
      </c>
      <c r="BH97" t="e">
        <f t="array" aca="1" ref="BH97" ca="1">SUM(ABS(INDIRECT(ADDRESS(66,22+($V97-1)*2+2)&amp;":"&amp;ADDRESS(70,22+($V97-1)*2+2))-BH$76:BH$80))</f>
        <v>#REF!</v>
      </c>
      <c r="BI97" t="e">
        <f t="array" aca="1" ref="BI97" ca="1">SUM(ABS(INDIRECT(ADDRESS(66,22+($V97-1)*2+1)&amp;":"&amp;ADDRESS(70,22+($V97-1)*2+1))-BI$76:BI$80))</f>
        <v>#REF!</v>
      </c>
      <c r="BJ97" t="e">
        <f t="array" aca="1" ref="BJ97" ca="1">SUM(ABS(INDIRECT(ADDRESS(66,22+($V97-1)*2+2)&amp;":"&amp;ADDRESS(70,22+($V97-1)*2+2))-BJ$76:BJ$80))</f>
        <v>#REF!</v>
      </c>
      <c r="BK97" t="e">
        <f t="array" aca="1" ref="BK97" ca="1">SUM(ABS(INDIRECT(ADDRESS(66,22+($V97-1)*2+1)&amp;":"&amp;ADDRESS(70,22+($V97-1)*2+1))-BK$76:BK$80))</f>
        <v>#REF!</v>
      </c>
      <c r="BL97" t="e">
        <f t="array" aca="1" ref="BL97" ca="1">SUM(ABS(INDIRECT(ADDRESS(66,22+($V97-1)*2+2)&amp;":"&amp;ADDRESS(70,22+($V97-1)*2+2))-BL$76:BL$80))</f>
        <v>#REF!</v>
      </c>
      <c r="CW97" s="1055"/>
      <c r="CX97" s="1150"/>
      <c r="CY97" s="1150"/>
      <c r="CZ97" s="1150"/>
      <c r="DA97" s="1150"/>
      <c r="DB97" s="1150"/>
      <c r="DC97" s="1150"/>
      <c r="DD97" s="1150"/>
      <c r="DE97" s="1150"/>
      <c r="DF97" s="1150"/>
      <c r="DG97" s="1150"/>
      <c r="DM97" s="290"/>
      <c r="DN97" s="290"/>
      <c r="DO97" s="290"/>
      <c r="DP97" s="290"/>
      <c r="DQ97" s="290"/>
      <c r="GH97" s="1066">
        <v>2</v>
      </c>
      <c r="GI97" s="1142">
        <v>0.58068296776281092</v>
      </c>
      <c r="GJ97" s="1142">
        <v>0.17994999999999997</v>
      </c>
      <c r="GK97" s="1142">
        <v>0.58068296776281092</v>
      </c>
      <c r="GL97" s="1142">
        <v>0.17994999999999997</v>
      </c>
      <c r="GM97" s="1142">
        <v>0.44399635942953875</v>
      </c>
      <c r="GN97" s="1142">
        <v>0.26433333333333336</v>
      </c>
      <c r="GO97" s="1142">
        <v>0.44399635942953875</v>
      </c>
      <c r="GP97" s="1142">
        <v>0.26433333333333336</v>
      </c>
      <c r="GQ97" s="1142">
        <v>0.40802144225513387</v>
      </c>
      <c r="GR97" s="1142">
        <v>0.32349999999999995</v>
      </c>
    </row>
    <row r="98" spans="22:200" x14ac:dyDescent="0.2">
      <c r="BA98" s="277"/>
      <c r="BB98" s="277"/>
      <c r="BC98" s="293"/>
      <c r="BD98" s="293"/>
      <c r="CW98" s="1055"/>
      <c r="CX98" s="1150"/>
      <c r="CY98" s="1150"/>
      <c r="CZ98" s="1150"/>
      <c r="DA98" s="1150"/>
      <c r="DB98" s="1150"/>
      <c r="DC98" s="1150"/>
      <c r="DD98" s="1150"/>
      <c r="DE98" s="1150"/>
      <c r="DF98" s="1150"/>
      <c r="DG98" s="1150"/>
      <c r="DM98" s="290"/>
      <c r="DN98" s="290"/>
      <c r="DO98" s="290"/>
      <c r="DP98" s="290"/>
      <c r="DQ98" s="290"/>
      <c r="GH98" s="1066">
        <v>3</v>
      </c>
      <c r="GI98" s="1142">
        <v>0.61953117679298741</v>
      </c>
      <c r="GJ98" s="1142">
        <v>0.16115293397093203</v>
      </c>
      <c r="GK98" s="1142">
        <v>0.61953117679298741</v>
      </c>
      <c r="GL98" s="1142">
        <v>0.16115293397093203</v>
      </c>
      <c r="GM98" s="1142">
        <v>0.50719640931763099</v>
      </c>
      <c r="GN98" s="1142">
        <v>0.25333333333333335</v>
      </c>
      <c r="GO98" s="1142">
        <v>0.50719640931763099</v>
      </c>
      <c r="GP98" s="1142">
        <v>0.25333333333333335</v>
      </c>
      <c r="GQ98" s="1142">
        <v>0.42856871265831603</v>
      </c>
      <c r="GR98" s="1142">
        <v>0.31574999999999998</v>
      </c>
    </row>
    <row r="99" spans="22:200" x14ac:dyDescent="0.2">
      <c r="BA99" s="277"/>
      <c r="BB99" s="277"/>
      <c r="BC99" s="293"/>
      <c r="BD99" s="293"/>
      <c r="CW99" s="1055"/>
      <c r="CX99" s="1150"/>
      <c r="CY99" s="1150"/>
      <c r="CZ99" s="1150"/>
      <c r="DA99" s="1150"/>
      <c r="DB99" s="1150"/>
      <c r="DC99" s="1150"/>
      <c r="DD99" s="1150"/>
      <c r="DE99" s="1150"/>
      <c r="DF99" s="1150"/>
      <c r="DG99" s="1150"/>
      <c r="DM99" s="290"/>
      <c r="DN99" s="290"/>
      <c r="DO99" s="290"/>
      <c r="DP99" s="290"/>
      <c r="DQ99" s="290"/>
      <c r="GH99" s="1066">
        <v>4</v>
      </c>
      <c r="GI99" s="1142">
        <v>0.66473917922725279</v>
      </c>
      <c r="GJ99" s="1142">
        <v>0.14766666666666667</v>
      </c>
      <c r="GK99" s="1142">
        <v>0.66473917922725279</v>
      </c>
      <c r="GL99" s="1142">
        <v>0.14766666666666667</v>
      </c>
      <c r="GM99" s="1142">
        <v>0.54318032850980735</v>
      </c>
      <c r="GN99" s="1142">
        <v>0.24233333333333332</v>
      </c>
      <c r="GO99" s="1142">
        <v>0.54318032850980735</v>
      </c>
      <c r="GP99" s="1142">
        <v>0.24233333333333332</v>
      </c>
      <c r="GQ99" s="1142">
        <v>0.4491159830614983</v>
      </c>
      <c r="GR99" s="1142">
        <v>0.308</v>
      </c>
    </row>
    <row r="100" spans="22:200" x14ac:dyDescent="0.2">
      <c r="BA100" s="277"/>
      <c r="BB100" s="277"/>
      <c r="BC100" s="293"/>
      <c r="BD100" s="293"/>
      <c r="CW100" s="1055"/>
      <c r="CX100" s="1150"/>
      <c r="CY100" s="1150"/>
      <c r="CZ100" s="1150"/>
      <c r="DA100" s="1150"/>
      <c r="DB100" s="1150"/>
      <c r="DC100" s="1150"/>
      <c r="DD100" s="1150"/>
      <c r="DE100" s="1150"/>
      <c r="DF100" s="1150"/>
      <c r="DG100" s="1150"/>
      <c r="DM100" s="290"/>
      <c r="DN100" s="290"/>
      <c r="DO100" s="290"/>
      <c r="DP100" s="290"/>
      <c r="DQ100" s="290"/>
      <c r="GH100" s="1066">
        <v>5</v>
      </c>
      <c r="GI100" s="1142">
        <v>0.69375489756801934</v>
      </c>
      <c r="GJ100" s="1142">
        <v>0.13908333333333331</v>
      </c>
      <c r="GK100" s="1142">
        <v>0.69375489756801934</v>
      </c>
      <c r="GL100" s="1142">
        <v>0.13908333333333331</v>
      </c>
      <c r="GM100" s="1142">
        <v>0.5791642477019836</v>
      </c>
      <c r="GN100" s="1142">
        <v>0.23133333333333331</v>
      </c>
      <c r="GO100" s="1142">
        <v>0.5791642477019836</v>
      </c>
      <c r="GP100" s="1142">
        <v>0.23133333333333331</v>
      </c>
      <c r="GQ100" s="1142">
        <v>0.46966325346468046</v>
      </c>
      <c r="GR100" s="1142">
        <v>0.30025000000000007</v>
      </c>
    </row>
    <row r="101" spans="22:200" x14ac:dyDescent="0.2">
      <c r="BA101" s="277"/>
      <c r="BB101" s="277"/>
      <c r="BC101" s="293"/>
      <c r="BD101" s="293"/>
      <c r="CW101" s="1055"/>
      <c r="CX101" s="1150"/>
      <c r="CY101" s="1150"/>
      <c r="CZ101" s="1150"/>
      <c r="DA101" s="1150"/>
      <c r="DB101" s="1150"/>
      <c r="DC101" s="1150"/>
      <c r="DD101" s="1150"/>
      <c r="DE101" s="1150"/>
      <c r="DF101" s="1150"/>
      <c r="DG101" s="1150"/>
      <c r="DM101" s="290"/>
      <c r="DN101" s="290"/>
      <c r="DO101" s="290"/>
      <c r="DP101" s="290"/>
      <c r="DQ101" s="290"/>
      <c r="GH101" s="1066">
        <v>6</v>
      </c>
      <c r="GI101" s="1142">
        <v>0.7127865803613489</v>
      </c>
      <c r="GJ101" s="1142">
        <v>0.13293749999999999</v>
      </c>
      <c r="GK101" s="1142">
        <v>0.7127865803613489</v>
      </c>
      <c r="GL101" s="1142">
        <v>0.13293749999999999</v>
      </c>
      <c r="GM101" s="1142">
        <v>0.60566037735849065</v>
      </c>
      <c r="GN101" s="1142">
        <v>0.2203333333333333</v>
      </c>
      <c r="GO101" s="1142">
        <v>0.60566037735849065</v>
      </c>
      <c r="GP101" s="1142">
        <v>0.2203333333333333</v>
      </c>
      <c r="GQ101" s="1142">
        <v>0.49539473684210528</v>
      </c>
      <c r="GR101" s="1142">
        <v>0.29250000000000004</v>
      </c>
    </row>
    <row r="102" spans="22:200" x14ac:dyDescent="0.2">
      <c r="V102">
        <v>0.8</v>
      </c>
      <c r="BA102" s="277"/>
      <c r="BB102" s="277"/>
      <c r="BC102" s="293"/>
      <c r="BD102" s="293"/>
      <c r="CW102" s="1055"/>
      <c r="CX102" s="1150"/>
      <c r="CY102" s="1150"/>
      <c r="CZ102" s="1150"/>
      <c r="DA102" s="1150"/>
      <c r="DB102" s="1150"/>
      <c r="DC102" s="1150"/>
      <c r="DD102" s="1150"/>
      <c r="DE102" s="1150"/>
      <c r="DF102" s="1150"/>
      <c r="DG102" s="1150"/>
      <c r="DM102" s="290"/>
      <c r="DN102" s="290"/>
      <c r="DO102" s="290"/>
      <c r="DP102" s="290"/>
      <c r="DQ102" s="290"/>
      <c r="GH102" s="1066">
        <v>7</v>
      </c>
      <c r="GI102" s="1142">
        <v>0.72479078693977517</v>
      </c>
      <c r="GJ102" s="1142">
        <v>0.12679166666666666</v>
      </c>
      <c r="GK102" s="1142">
        <v>0.72479078693977517</v>
      </c>
      <c r="GL102" s="1142">
        <v>0.12679166666666666</v>
      </c>
      <c r="GM102" s="1142">
        <v>0.61981132075471701</v>
      </c>
      <c r="GN102" s="1142">
        <v>0.21458333333333332</v>
      </c>
      <c r="GO102" s="1142">
        <v>0.61981132075471701</v>
      </c>
      <c r="GP102" s="1142">
        <v>0.21458333333333332</v>
      </c>
      <c r="GQ102" s="1142">
        <v>0.51447368421052631</v>
      </c>
      <c r="GR102" s="1142">
        <v>0.28608333333333336</v>
      </c>
    </row>
    <row r="103" spans="22:200" x14ac:dyDescent="0.2">
      <c r="W103">
        <f ca="1">(1-$V$102)*W83+$V$102*X83</f>
        <v>2.4557582800121335E-2</v>
      </c>
      <c r="X103">
        <f t="shared" ref="X103:X115" ca="1" si="124">(1-$V$102)*Y83+$V$102*Z83</f>
        <v>0.10714085583217377</v>
      </c>
      <c r="Y103">
        <f t="shared" ref="Y103:Y115" ca="1" si="125">(1-$V$102)*AA83+$V$102*AB83</f>
        <v>0.24103629788775963</v>
      </c>
      <c r="Z103">
        <f t="shared" ref="Z103:Z115" ca="1" si="126">(1-$V$102)*AC83+$V$102*AD83</f>
        <v>0.38173793039868126</v>
      </c>
      <c r="AA103">
        <f t="shared" ref="AA103:AA115" ca="1" si="127">(1-$V$102)*AE83+$V$102*AF83</f>
        <v>0.65171568500220034</v>
      </c>
      <c r="AB103">
        <f t="shared" ref="AB103:AB115" ca="1" si="128">(1-$V$102)*AG83+$V$102*AH83</f>
        <v>2.4557582800121335E-2</v>
      </c>
      <c r="AC103">
        <f t="shared" ref="AC103:AC115" ca="1" si="129">(1-$V$102)*AI83+$V$102*AJ83</f>
        <v>0.10714085583217377</v>
      </c>
      <c r="AD103">
        <f t="shared" ref="AD103:AD115" ca="1" si="130">(1-$V$102)*AK83+$V$102*AL83</f>
        <v>0.24103629788775963</v>
      </c>
      <c r="AE103">
        <f t="shared" ref="AE103:AE115" ca="1" si="131">(1-$V$102)*AM83+$V$102*AN83</f>
        <v>0.38173793039868126</v>
      </c>
      <c r="AF103">
        <f t="shared" ref="AF103:AF115" ca="1" si="132">(1-$V$102)*AO83+$V$102*AP83</f>
        <v>0.65171568500220034</v>
      </c>
      <c r="AG103">
        <f t="shared" ref="AG103:AG115" ca="1" si="133">(1-$V$102)*AQ83+$V$102*AR83</f>
        <v>2.4557582800121335E-2</v>
      </c>
      <c r="AH103">
        <f t="shared" ref="AH103:AH115" ca="1" si="134">(1-$V$102)*AS83+$V$102*AT83</f>
        <v>0.10714085583217377</v>
      </c>
      <c r="AI103">
        <f t="shared" ref="AI103:AI115" ca="1" si="135">(1-$V$102)*AU83+$V$102*AV83</f>
        <v>0.24103629788775963</v>
      </c>
      <c r="AJ103">
        <f t="shared" ref="AJ103:AJ115" ca="1" si="136">(1-$V$102)*AW83+$V$102*AX83</f>
        <v>0.38173793039868126</v>
      </c>
      <c r="AK103">
        <f t="shared" ref="AK103:AK115" ca="1" si="137">(1-$V$102)*AY83+$V$102*AZ83</f>
        <v>0.65171568500220034</v>
      </c>
      <c r="AL103">
        <f t="shared" ref="AL103:AL115" ca="1" si="138">(1-$V$102)*BA83+$V$102*BB83</f>
        <v>0.53075971189735283</v>
      </c>
      <c r="AM103">
        <f t="shared" ref="AM103:AM115" ca="1" si="139">(1-$V$102)*BC83+$V$102*BD83</f>
        <v>0.42234306312547654</v>
      </c>
      <c r="AN103" t="e">
        <f t="shared" ref="AN103:AN115" ca="1" si="140">(1-$V$102)*BE83+$V$102*BF83</f>
        <v>#DIV/0!</v>
      </c>
      <c r="AO103" t="e">
        <f t="shared" ref="AO103:AO115" ca="1" si="141">(1-$V$102)*BG83+$V$102*BH83</f>
        <v>#DIV/0!</v>
      </c>
      <c r="AP103" t="e">
        <f t="shared" ref="AP103:AP115" ca="1" si="142">(1-$V$102)*BI83+$V$102*BJ83</f>
        <v>#DIV/0!</v>
      </c>
      <c r="AQ103" t="e">
        <f t="shared" ref="AQ103:AQ115" ca="1" si="143">(1-$V$102)*BK83+$V$102*BL83</f>
        <v>#DIV/0!</v>
      </c>
      <c r="CW103" s="1055"/>
      <c r="CX103" s="1150"/>
      <c r="CY103" s="1150"/>
      <c r="CZ103" s="1150"/>
      <c r="DA103" s="1150"/>
      <c r="DB103" s="1150"/>
      <c r="DC103" s="1150"/>
      <c r="DD103" s="1150"/>
      <c r="DE103" s="1150"/>
      <c r="DF103" s="1150"/>
      <c r="DG103" s="1150"/>
      <c r="DM103" s="290"/>
      <c r="DN103" s="290"/>
      <c r="DO103" s="290"/>
      <c r="DP103" s="290"/>
      <c r="DQ103" s="290"/>
      <c r="GH103" s="1066">
        <v>8</v>
      </c>
      <c r="GI103" s="1142">
        <v>0.73679499351820144</v>
      </c>
      <c r="GJ103" s="1142">
        <v>0.12308333333333334</v>
      </c>
      <c r="GK103" s="1142">
        <v>0.73679499351820144</v>
      </c>
      <c r="GL103" s="1142">
        <v>0.12308333333333334</v>
      </c>
      <c r="GM103" s="1142">
        <v>0.64644412191582012</v>
      </c>
      <c r="GN103" s="1142">
        <v>0.20883333333333332</v>
      </c>
      <c r="GO103" s="1142">
        <v>0.64644412191582012</v>
      </c>
      <c r="GP103" s="1142">
        <v>0.20883333333333332</v>
      </c>
      <c r="GQ103" s="1142">
        <v>0.53355263157894739</v>
      </c>
      <c r="GR103" s="1142">
        <v>0.27712500000000001</v>
      </c>
    </row>
    <row r="104" spans="22:200" x14ac:dyDescent="0.2">
      <c r="W104">
        <f t="shared" ref="W104:W115" ca="1" si="144">(1-$V$102)*W84+$V$102*X84</f>
        <v>8.436415588253024E-2</v>
      </c>
      <c r="X104">
        <f t="shared" ca="1" si="124"/>
        <v>8.9431664940248564E-3</v>
      </c>
      <c r="Y104">
        <f t="shared" ca="1" si="125"/>
        <v>0.13449391791024864</v>
      </c>
      <c r="Z104">
        <f t="shared" ca="1" si="126"/>
        <v>0.27519555042117028</v>
      </c>
      <c r="AA104">
        <f t="shared" ca="1" si="127"/>
        <v>0.54517330502468919</v>
      </c>
      <c r="AB104">
        <f t="shared" ca="1" si="128"/>
        <v>8.436415588253024E-2</v>
      </c>
      <c r="AC104">
        <f t="shared" ca="1" si="129"/>
        <v>8.9431664940248564E-3</v>
      </c>
      <c r="AD104">
        <f t="shared" ca="1" si="130"/>
        <v>0.13449391791024864</v>
      </c>
      <c r="AE104">
        <f t="shared" ca="1" si="131"/>
        <v>0.27519555042117028</v>
      </c>
      <c r="AF104">
        <f t="shared" ca="1" si="132"/>
        <v>0.54517330502468919</v>
      </c>
      <c r="AG104">
        <f t="shared" ca="1" si="133"/>
        <v>8.436415588253024E-2</v>
      </c>
      <c r="AH104">
        <f t="shared" ca="1" si="134"/>
        <v>8.9431664940248564E-3</v>
      </c>
      <c r="AI104">
        <f t="shared" ca="1" si="135"/>
        <v>0.13449391791024864</v>
      </c>
      <c r="AJ104">
        <f t="shared" ca="1" si="136"/>
        <v>0.27519555042117028</v>
      </c>
      <c r="AK104">
        <f t="shared" ca="1" si="137"/>
        <v>0.54517330502468919</v>
      </c>
      <c r="AL104">
        <f t="shared" ca="1" si="138"/>
        <v>0.42421733191984179</v>
      </c>
      <c r="AM104">
        <f t="shared" ca="1" si="139"/>
        <v>0.31580068314796556</v>
      </c>
      <c r="AN104" t="e">
        <f t="shared" ca="1" si="140"/>
        <v>#DIV/0!</v>
      </c>
      <c r="AO104" t="e">
        <f t="shared" ca="1" si="141"/>
        <v>#DIV/0!</v>
      </c>
      <c r="AP104" t="e">
        <f t="shared" ca="1" si="142"/>
        <v>#DIV/0!</v>
      </c>
      <c r="AQ104" t="e">
        <f t="shared" ca="1" si="143"/>
        <v>#DIV/0!</v>
      </c>
      <c r="CW104" s="1055"/>
      <c r="CX104" s="1150"/>
      <c r="CY104" s="1150"/>
      <c r="CZ104" s="1150"/>
      <c r="DA104" s="1150"/>
      <c r="DB104" s="1150"/>
      <c r="DC104" s="1150"/>
      <c r="DD104" s="1150"/>
      <c r="DE104" s="1150"/>
      <c r="DF104" s="1150"/>
      <c r="DG104" s="1150"/>
      <c r="DM104" s="290"/>
      <c r="DN104" s="290"/>
      <c r="DO104" s="290"/>
      <c r="DP104" s="290"/>
      <c r="DQ104" s="290"/>
      <c r="GH104" s="1066">
        <v>10</v>
      </c>
      <c r="GI104" s="1142">
        <v>0.76080340667505386</v>
      </c>
      <c r="GJ104" s="1142">
        <v>0.11793055555555557</v>
      </c>
      <c r="GK104" s="1142">
        <v>0.76080340667505386</v>
      </c>
      <c r="GL104" s="1142">
        <v>0.11793055555555557</v>
      </c>
      <c r="GM104" s="1142">
        <v>0.67307692307692313</v>
      </c>
      <c r="GN104" s="1142">
        <v>0.20008333333333334</v>
      </c>
      <c r="GO104" s="1142">
        <v>0.67307692307692313</v>
      </c>
      <c r="GP104" s="1142">
        <v>0.20008333333333334</v>
      </c>
      <c r="GQ104" s="1142">
        <v>0.57171052631578945</v>
      </c>
      <c r="GR104" s="1142">
        <v>0.26816666666666666</v>
      </c>
    </row>
    <row r="105" spans="22:200" x14ac:dyDescent="0.2">
      <c r="W105">
        <f t="shared" ca="1" si="144"/>
        <v>0.23585342011818466</v>
      </c>
      <c r="X105">
        <f t="shared" ca="1" si="124"/>
        <v>0.1520450507950411</v>
      </c>
      <c r="Y105">
        <f t="shared" ca="1" si="125"/>
        <v>2.4387146566162608E-2</v>
      </c>
      <c r="Z105">
        <f t="shared" ca="1" si="126"/>
        <v>0.12255202377146637</v>
      </c>
      <c r="AA105">
        <f t="shared" ca="1" si="127"/>
        <v>0.39252977837498543</v>
      </c>
      <c r="AB105">
        <f t="shared" ca="1" si="128"/>
        <v>0.23585342011818466</v>
      </c>
      <c r="AC105">
        <f t="shared" ca="1" si="129"/>
        <v>0.1520450507950411</v>
      </c>
      <c r="AD105">
        <f t="shared" ca="1" si="130"/>
        <v>2.4387146566162608E-2</v>
      </c>
      <c r="AE105">
        <f t="shared" ca="1" si="131"/>
        <v>0.12255202377146637</v>
      </c>
      <c r="AF105">
        <f t="shared" ca="1" si="132"/>
        <v>0.39252977837498543</v>
      </c>
      <c r="AG105">
        <f t="shared" ca="1" si="133"/>
        <v>0.23585342011818466</v>
      </c>
      <c r="AH105">
        <f t="shared" ca="1" si="134"/>
        <v>0.1520450507950411</v>
      </c>
      <c r="AI105">
        <f t="shared" ca="1" si="135"/>
        <v>2.4387146566162608E-2</v>
      </c>
      <c r="AJ105">
        <f t="shared" ca="1" si="136"/>
        <v>0.12255202377146637</v>
      </c>
      <c r="AK105">
        <f t="shared" ca="1" si="137"/>
        <v>0.39252977837498543</v>
      </c>
      <c r="AL105">
        <f t="shared" ca="1" si="138"/>
        <v>0.27157380527013791</v>
      </c>
      <c r="AM105">
        <f t="shared" ca="1" si="139"/>
        <v>0.16315715649826162</v>
      </c>
      <c r="AN105" t="e">
        <f t="shared" ca="1" si="140"/>
        <v>#DIV/0!</v>
      </c>
      <c r="AO105" t="e">
        <f t="shared" ca="1" si="141"/>
        <v>#DIV/0!</v>
      </c>
      <c r="AP105" t="e">
        <f t="shared" ca="1" si="142"/>
        <v>#DIV/0!</v>
      </c>
      <c r="AQ105" t="e">
        <f t="shared" ca="1" si="143"/>
        <v>#DIV/0!</v>
      </c>
      <c r="CW105" s="1055"/>
      <c r="CX105" s="1150"/>
      <c r="CY105" s="1150"/>
      <c r="CZ105" s="1150"/>
      <c r="DA105" s="1150"/>
      <c r="DB105" s="1150"/>
      <c r="DC105" s="1150"/>
      <c r="DD105" s="1150"/>
      <c r="DE105" s="1150"/>
      <c r="DF105" s="1150"/>
      <c r="DG105" s="1150"/>
      <c r="DM105" s="290"/>
      <c r="DN105" s="290"/>
      <c r="DO105" s="290"/>
      <c r="DP105" s="290"/>
      <c r="DQ105" s="290"/>
      <c r="GH105" s="1066">
        <v>12</v>
      </c>
      <c r="GI105" s="1142">
        <v>0.77659869974068185</v>
      </c>
      <c r="GJ105" s="1142">
        <v>0.11277777777777778</v>
      </c>
      <c r="GK105" s="1142">
        <v>0.77659869974068185</v>
      </c>
      <c r="GL105" s="1142">
        <v>0.11277777777777778</v>
      </c>
      <c r="GM105" s="1142">
        <v>0.69444444444444453</v>
      </c>
      <c r="GN105" s="1142">
        <v>0.19133333333333333</v>
      </c>
      <c r="GO105" s="1142">
        <v>0.69444444444444453</v>
      </c>
      <c r="GP105" s="1142">
        <v>0.19133333333333333</v>
      </c>
      <c r="GQ105" s="1142">
        <v>0.59780701754385968</v>
      </c>
      <c r="GR105" s="1142">
        <v>0.25658333333333333</v>
      </c>
    </row>
    <row r="106" spans="22:200" x14ac:dyDescent="0.2">
      <c r="W106">
        <f t="shared" ca="1" si="144"/>
        <v>0.36477538374184798</v>
      </c>
      <c r="X106">
        <f t="shared" ca="1" si="124"/>
        <v>0.28096701441870442</v>
      </c>
      <c r="Y106">
        <f t="shared" ca="1" si="125"/>
        <v>0.14707157236311857</v>
      </c>
      <c r="Z106">
        <f t="shared" ca="1" si="126"/>
        <v>1.4409756084898849E-2</v>
      </c>
      <c r="AA106">
        <f t="shared" ca="1" si="127"/>
        <v>0.26360781475132211</v>
      </c>
      <c r="AB106">
        <f t="shared" ca="1" si="128"/>
        <v>0.36477538374184798</v>
      </c>
      <c r="AC106">
        <f t="shared" ca="1" si="129"/>
        <v>0.28096701441870442</v>
      </c>
      <c r="AD106">
        <f t="shared" ca="1" si="130"/>
        <v>0.14707157236311857</v>
      </c>
      <c r="AE106">
        <f t="shared" ca="1" si="131"/>
        <v>1.4409756084898849E-2</v>
      </c>
      <c r="AF106">
        <f t="shared" ca="1" si="132"/>
        <v>0.26360781475132211</v>
      </c>
      <c r="AG106">
        <f t="shared" ca="1" si="133"/>
        <v>0.36477538374184798</v>
      </c>
      <c r="AH106">
        <f t="shared" ca="1" si="134"/>
        <v>0.28096701441870442</v>
      </c>
      <c r="AI106">
        <f t="shared" ca="1" si="135"/>
        <v>0.14707157236311857</v>
      </c>
      <c r="AJ106">
        <f t="shared" ca="1" si="136"/>
        <v>1.4409756084898849E-2</v>
      </c>
      <c r="AK106">
        <f t="shared" ca="1" si="137"/>
        <v>0.26360781475132211</v>
      </c>
      <c r="AL106">
        <f t="shared" ca="1" si="138"/>
        <v>0.14454156992916933</v>
      </c>
      <c r="AM106">
        <f t="shared" ca="1" si="139"/>
        <v>3.9949826415253686E-2</v>
      </c>
      <c r="AN106" t="e">
        <f t="shared" ca="1" si="140"/>
        <v>#DIV/0!</v>
      </c>
      <c r="AO106" t="e">
        <f t="shared" ca="1" si="141"/>
        <v>#DIV/0!</v>
      </c>
      <c r="AP106" t="e">
        <f t="shared" ca="1" si="142"/>
        <v>#DIV/0!</v>
      </c>
      <c r="AQ106" t="e">
        <f t="shared" ca="1" si="143"/>
        <v>#DIV/0!</v>
      </c>
      <c r="CW106" s="1055"/>
      <c r="CX106" s="1150"/>
      <c r="CY106" s="1150"/>
      <c r="CZ106" s="1150"/>
      <c r="DA106" s="1150"/>
      <c r="DB106" s="1150"/>
      <c r="DC106" s="1150"/>
      <c r="DD106" s="1150"/>
      <c r="DE106" s="1150"/>
      <c r="DF106" s="1150"/>
      <c r="DG106" s="1150"/>
      <c r="DM106" s="290"/>
      <c r="DN106" s="290"/>
      <c r="DO106" s="290"/>
      <c r="DP106" s="290"/>
      <c r="DQ106" s="290"/>
      <c r="GH106" s="1066">
        <v>14</v>
      </c>
      <c r="GI106" s="1142">
        <v>0.79239399280630984</v>
      </c>
      <c r="GJ106" s="1142">
        <v>0.10988888888888891</v>
      </c>
      <c r="GK106" s="1142">
        <v>0.79239399280630984</v>
      </c>
      <c r="GL106" s="1142">
        <v>0.10988888888888891</v>
      </c>
      <c r="GM106" s="1142">
        <v>0.71581196581196593</v>
      </c>
      <c r="GN106" s="1142">
        <v>0.18533333333333335</v>
      </c>
      <c r="GO106" s="1142">
        <v>0.71581196581196593</v>
      </c>
      <c r="GP106" s="1142">
        <v>0.18533333333333335</v>
      </c>
      <c r="GQ106" s="1142">
        <v>0.62415706359368339</v>
      </c>
      <c r="GR106" s="1142">
        <v>0.245</v>
      </c>
    </row>
    <row r="107" spans="22:200" x14ac:dyDescent="0.2">
      <c r="W107">
        <f t="shared" ca="1" si="144"/>
        <v>0.48410735561583612</v>
      </c>
      <c r="X107">
        <f t="shared" ca="1" si="124"/>
        <v>0.40029898629269256</v>
      </c>
      <c r="Y107">
        <f t="shared" ca="1" si="125"/>
        <v>0.26640354423710666</v>
      </c>
      <c r="Z107">
        <f t="shared" ca="1" si="126"/>
        <v>0.12570191172618503</v>
      </c>
      <c r="AA107">
        <f t="shared" ca="1" si="127"/>
        <v>0.15108169553045214</v>
      </c>
      <c r="AB107">
        <f t="shared" ca="1" si="128"/>
        <v>0.48410735561583612</v>
      </c>
      <c r="AC107">
        <f t="shared" ca="1" si="129"/>
        <v>0.40029898629269256</v>
      </c>
      <c r="AD107">
        <f t="shared" ca="1" si="130"/>
        <v>0.26640354423710666</v>
      </c>
      <c r="AE107">
        <f t="shared" ca="1" si="131"/>
        <v>0.12570191172618503</v>
      </c>
      <c r="AF107">
        <f t="shared" ca="1" si="132"/>
        <v>0.15108169553045214</v>
      </c>
      <c r="AG107">
        <f t="shared" ca="1" si="133"/>
        <v>0.48410735561583612</v>
      </c>
      <c r="AH107">
        <f t="shared" ca="1" si="134"/>
        <v>0.40029898629269256</v>
      </c>
      <c r="AI107">
        <f t="shared" ca="1" si="135"/>
        <v>0.26640354423710666</v>
      </c>
      <c r="AJ107">
        <f t="shared" ca="1" si="136"/>
        <v>0.12570191172618503</v>
      </c>
      <c r="AK107">
        <f t="shared" ca="1" si="137"/>
        <v>0.15108169553045214</v>
      </c>
      <c r="AL107">
        <f t="shared" ca="1" si="138"/>
        <v>3.5951770947211845E-2</v>
      </c>
      <c r="AM107">
        <f t="shared" ca="1" si="139"/>
        <v>8.5096778999389736E-2</v>
      </c>
      <c r="AN107" t="e">
        <f t="shared" ca="1" si="140"/>
        <v>#DIV/0!</v>
      </c>
      <c r="AO107" t="e">
        <f t="shared" ca="1" si="141"/>
        <v>#DIV/0!</v>
      </c>
      <c r="AP107" t="e">
        <f t="shared" ca="1" si="142"/>
        <v>#DIV/0!</v>
      </c>
      <c r="AQ107" t="e">
        <f t="shared" ca="1" si="143"/>
        <v>#DIV/0!</v>
      </c>
      <c r="CW107" s="1055"/>
      <c r="CX107" s="1150"/>
      <c r="CY107" s="1150"/>
      <c r="CZ107" s="1150"/>
      <c r="DA107" s="1150"/>
      <c r="DB107" s="1150"/>
      <c r="DC107" s="1150"/>
      <c r="DD107" s="1150"/>
      <c r="DE107" s="1150"/>
      <c r="DF107" s="1150"/>
      <c r="DG107" s="1150"/>
      <c r="DM107" s="290"/>
      <c r="DN107" s="290"/>
      <c r="DO107" s="290"/>
      <c r="DP107" s="290"/>
      <c r="DQ107" s="290"/>
      <c r="GH107" s="1066">
        <v>16</v>
      </c>
      <c r="GI107" s="1142">
        <v>0.80818928587193783</v>
      </c>
      <c r="GJ107" s="1142">
        <v>0.10700000000000001</v>
      </c>
      <c r="GK107" s="1142">
        <v>0.80818928587193783</v>
      </c>
      <c r="GL107" s="1142">
        <v>0.10700000000000001</v>
      </c>
      <c r="GM107" s="1142">
        <v>0.73717948717948723</v>
      </c>
      <c r="GN107" s="1142">
        <v>0.17933333333333334</v>
      </c>
      <c r="GO107" s="1142">
        <v>0.73717948717948723</v>
      </c>
      <c r="GP107" s="1142">
        <v>0.17933333333333334</v>
      </c>
      <c r="GQ107" s="1142">
        <v>0.65492957746478875</v>
      </c>
      <c r="GR107" s="1142">
        <v>0.23274999999999998</v>
      </c>
    </row>
    <row r="108" spans="22:200" x14ac:dyDescent="0.2">
      <c r="W108">
        <f t="shared" ca="1" si="144"/>
        <v>0.57578574455969112</v>
      </c>
      <c r="X108">
        <f t="shared" ca="1" si="124"/>
        <v>0.49197737523654761</v>
      </c>
      <c r="Y108">
        <f t="shared" ca="1" si="125"/>
        <v>0.35808193318096171</v>
      </c>
      <c r="Z108">
        <f t="shared" ca="1" si="126"/>
        <v>0.21738030067004008</v>
      </c>
      <c r="AA108">
        <f t="shared" ca="1" si="127"/>
        <v>5.8252115966445944E-2</v>
      </c>
      <c r="AB108">
        <f t="shared" ca="1" si="128"/>
        <v>0.57578574455969112</v>
      </c>
      <c r="AC108">
        <f t="shared" ca="1" si="129"/>
        <v>0.49197737523654761</v>
      </c>
      <c r="AD108">
        <f t="shared" ca="1" si="130"/>
        <v>0.35808193318096171</v>
      </c>
      <c r="AE108">
        <f t="shared" ca="1" si="131"/>
        <v>0.21738030067004008</v>
      </c>
      <c r="AF108">
        <f t="shared" ca="1" si="132"/>
        <v>5.8252115966445944E-2</v>
      </c>
      <c r="AG108">
        <f t="shared" ca="1" si="133"/>
        <v>0.57578574455969112</v>
      </c>
      <c r="AH108">
        <f t="shared" ca="1" si="134"/>
        <v>0.49197737523654761</v>
      </c>
      <c r="AI108">
        <f t="shared" ca="1" si="135"/>
        <v>0.35808193318096171</v>
      </c>
      <c r="AJ108">
        <f t="shared" ca="1" si="136"/>
        <v>0.21738030067004008</v>
      </c>
      <c r="AK108">
        <f t="shared" ca="1" si="137"/>
        <v>5.8252115966445944E-2</v>
      </c>
      <c r="AL108">
        <f t="shared" ca="1" si="138"/>
        <v>6.8358519171368565E-2</v>
      </c>
      <c r="AM108">
        <f t="shared" ca="1" si="139"/>
        <v>0.17677516794324483</v>
      </c>
      <c r="AN108" t="e">
        <f t="shared" ca="1" si="140"/>
        <v>#DIV/0!</v>
      </c>
      <c r="AO108" t="e">
        <f t="shared" ca="1" si="141"/>
        <v>#DIV/0!</v>
      </c>
      <c r="AP108" t="e">
        <f t="shared" ca="1" si="142"/>
        <v>#DIV/0!</v>
      </c>
      <c r="AQ108" t="e">
        <f t="shared" ca="1" si="143"/>
        <v>#DIV/0!</v>
      </c>
      <c r="CW108" s="1055"/>
      <c r="CX108" s="1150"/>
      <c r="CY108" s="1150"/>
      <c r="CZ108" s="1150"/>
      <c r="DA108" s="1150"/>
      <c r="DB108" s="1150"/>
      <c r="DC108" s="1150"/>
      <c r="DD108" s="1150"/>
      <c r="DE108" s="1150"/>
      <c r="DF108" s="1150"/>
      <c r="DG108" s="1150"/>
      <c r="DM108" s="290"/>
      <c r="DN108" s="290"/>
      <c r="DO108" s="290"/>
      <c r="DP108" s="290"/>
      <c r="DQ108" s="290"/>
      <c r="GH108" s="1066">
        <v>20</v>
      </c>
      <c r="GI108" s="1142">
        <v>0.8320396673880307</v>
      </c>
      <c r="GJ108" s="1142">
        <v>0.10303333333333332</v>
      </c>
      <c r="GK108" s="1142">
        <v>0.8320396673880307</v>
      </c>
      <c r="GL108" s="1142">
        <v>0.10303333333333332</v>
      </c>
      <c r="GM108" s="1142">
        <v>0.77075471698113218</v>
      </c>
      <c r="GN108" s="1142">
        <v>0.17133333333333334</v>
      </c>
      <c r="GO108" s="1142">
        <v>0.77075471698113218</v>
      </c>
      <c r="GP108" s="1142">
        <v>0.17133333333333334</v>
      </c>
      <c r="GQ108" s="1142">
        <v>0.7065789473684212</v>
      </c>
      <c r="GR108" s="1142">
        <v>0.218</v>
      </c>
    </row>
    <row r="109" spans="22:200" x14ac:dyDescent="0.2">
      <c r="W109" t="e">
        <f t="shared" ca="1" si="144"/>
        <v>#REF!</v>
      </c>
      <c r="X109" t="e">
        <f t="shared" ca="1" si="124"/>
        <v>#REF!</v>
      </c>
      <c r="Y109" t="e">
        <f t="shared" ca="1" si="125"/>
        <v>#REF!</v>
      </c>
      <c r="Z109" t="e">
        <f t="shared" ca="1" si="126"/>
        <v>#REF!</v>
      </c>
      <c r="AA109" t="e">
        <f t="shared" ca="1" si="127"/>
        <v>#REF!</v>
      </c>
      <c r="AB109" t="e">
        <f t="shared" ca="1" si="128"/>
        <v>#REF!</v>
      </c>
      <c r="AC109" t="e">
        <f t="shared" ca="1" si="129"/>
        <v>#REF!</v>
      </c>
      <c r="AD109" t="e">
        <f t="shared" ca="1" si="130"/>
        <v>#REF!</v>
      </c>
      <c r="AE109" t="e">
        <f t="shared" ca="1" si="131"/>
        <v>#REF!</v>
      </c>
      <c r="AF109" t="e">
        <f t="shared" ca="1" si="132"/>
        <v>#REF!</v>
      </c>
      <c r="AG109" t="e">
        <f t="shared" ca="1" si="133"/>
        <v>#REF!</v>
      </c>
      <c r="AH109" t="e">
        <f t="shared" ca="1" si="134"/>
        <v>#REF!</v>
      </c>
      <c r="AI109" t="e">
        <f t="shared" ca="1" si="135"/>
        <v>#REF!</v>
      </c>
      <c r="AJ109" t="e">
        <f t="shared" ca="1" si="136"/>
        <v>#REF!</v>
      </c>
      <c r="AK109" t="e">
        <f t="shared" ca="1" si="137"/>
        <v>#REF!</v>
      </c>
      <c r="AL109" t="e">
        <f t="shared" ca="1" si="138"/>
        <v>#REF!</v>
      </c>
      <c r="AM109" t="e">
        <f t="shared" ca="1" si="139"/>
        <v>#REF!</v>
      </c>
      <c r="AN109" t="e">
        <f t="shared" ca="1" si="140"/>
        <v>#REF!</v>
      </c>
      <c r="AO109" t="e">
        <f t="shared" ca="1" si="141"/>
        <v>#REF!</v>
      </c>
      <c r="AP109" t="e">
        <f t="shared" ca="1" si="142"/>
        <v>#REF!</v>
      </c>
      <c r="AQ109" t="e">
        <f t="shared" ca="1" si="143"/>
        <v>#REF!</v>
      </c>
      <c r="CW109" s="1055"/>
      <c r="CX109" s="1150"/>
      <c r="CY109" s="1150"/>
      <c r="CZ109" s="1150"/>
      <c r="DA109" s="1150"/>
      <c r="DB109" s="1150"/>
      <c r="DC109" s="1150"/>
      <c r="DD109" s="1150"/>
      <c r="DE109" s="1150"/>
      <c r="DF109" s="1150"/>
      <c r="DG109" s="1150"/>
      <c r="DM109" s="290"/>
      <c r="DN109" s="290"/>
      <c r="DO109" s="290"/>
      <c r="DP109" s="290"/>
      <c r="DQ109" s="290"/>
      <c r="GH109" s="1066">
        <v>24</v>
      </c>
      <c r="GI109" s="1142">
        <v>0.85589004890412357</v>
      </c>
      <c r="GJ109" s="1142">
        <v>9.906666666666665E-2</v>
      </c>
      <c r="GK109" s="1142">
        <v>0.85589004890412357</v>
      </c>
      <c r="GL109" s="1142">
        <v>9.906666666666665E-2</v>
      </c>
      <c r="GM109" s="1142">
        <v>0.80503144654088055</v>
      </c>
      <c r="GN109" s="1142">
        <v>0.16333333333333333</v>
      </c>
      <c r="GO109" s="1142">
        <v>0.80503144654088055</v>
      </c>
      <c r="GP109" s="1142">
        <v>0.16333333333333333</v>
      </c>
      <c r="GQ109" s="1142">
        <v>0.75131578947368438</v>
      </c>
      <c r="GR109" s="1142">
        <v>0.20400000000000001</v>
      </c>
    </row>
    <row r="110" spans="22:200" x14ac:dyDescent="0.2">
      <c r="W110" t="e">
        <f t="shared" ca="1" si="144"/>
        <v>#REF!</v>
      </c>
      <c r="X110" t="e">
        <f t="shared" ca="1" si="124"/>
        <v>#REF!</v>
      </c>
      <c r="Y110" t="e">
        <f t="shared" ca="1" si="125"/>
        <v>#REF!</v>
      </c>
      <c r="Z110" t="e">
        <f t="shared" ca="1" si="126"/>
        <v>#REF!</v>
      </c>
      <c r="AA110" t="e">
        <f t="shared" ca="1" si="127"/>
        <v>#REF!</v>
      </c>
      <c r="AB110" t="e">
        <f t="shared" ca="1" si="128"/>
        <v>#REF!</v>
      </c>
      <c r="AC110" t="e">
        <f t="shared" ca="1" si="129"/>
        <v>#REF!</v>
      </c>
      <c r="AD110" t="e">
        <f t="shared" ca="1" si="130"/>
        <v>#REF!</v>
      </c>
      <c r="AE110" t="e">
        <f t="shared" ca="1" si="131"/>
        <v>#REF!</v>
      </c>
      <c r="AF110" t="e">
        <f t="shared" ca="1" si="132"/>
        <v>#REF!</v>
      </c>
      <c r="AG110" t="e">
        <f t="shared" ca="1" si="133"/>
        <v>#REF!</v>
      </c>
      <c r="AH110" t="e">
        <f t="shared" ca="1" si="134"/>
        <v>#REF!</v>
      </c>
      <c r="AI110" t="e">
        <f t="shared" ca="1" si="135"/>
        <v>#REF!</v>
      </c>
      <c r="AJ110" t="e">
        <f t="shared" ca="1" si="136"/>
        <v>#REF!</v>
      </c>
      <c r="AK110" t="e">
        <f t="shared" ca="1" si="137"/>
        <v>#REF!</v>
      </c>
      <c r="AL110" t="e">
        <f t="shared" ca="1" si="138"/>
        <v>#REF!</v>
      </c>
      <c r="AM110" t="e">
        <f t="shared" ca="1" si="139"/>
        <v>#REF!</v>
      </c>
      <c r="AN110" t="e">
        <f t="shared" ca="1" si="140"/>
        <v>#REF!</v>
      </c>
      <c r="AO110" t="e">
        <f t="shared" ca="1" si="141"/>
        <v>#REF!</v>
      </c>
      <c r="AP110" t="e">
        <f t="shared" ca="1" si="142"/>
        <v>#REF!</v>
      </c>
      <c r="AQ110" t="e">
        <f t="shared" ca="1" si="143"/>
        <v>#REF!</v>
      </c>
      <c r="CW110" s="1055"/>
      <c r="CX110" s="1150"/>
      <c r="CY110" s="1150"/>
      <c r="CZ110" s="1150"/>
      <c r="DA110" s="1150"/>
      <c r="DB110" s="1150"/>
      <c r="DC110" s="1150"/>
      <c r="DD110" s="1150"/>
      <c r="DE110" s="1150"/>
      <c r="DF110" s="1150"/>
      <c r="DG110" s="1150"/>
      <c r="DM110" s="290"/>
      <c r="DN110" s="290"/>
      <c r="DO110" s="290"/>
      <c r="DP110" s="290"/>
      <c r="DQ110" s="290"/>
      <c r="GH110" s="1066">
        <v>28</v>
      </c>
      <c r="GI110" s="1142">
        <v>0.87864627243281657</v>
      </c>
      <c r="GJ110" s="1142">
        <v>9.4216666666666657E-2</v>
      </c>
      <c r="GK110" s="1142">
        <v>0.87864627243281657</v>
      </c>
      <c r="GL110" s="1142">
        <v>9.4216666666666657E-2</v>
      </c>
      <c r="GM110" s="1142">
        <v>0.83710691823899375</v>
      </c>
      <c r="GN110" s="1142">
        <v>0.15733333333333333</v>
      </c>
      <c r="GO110" s="1142">
        <v>0.83710691823899375</v>
      </c>
      <c r="GP110" s="1142">
        <v>0.15733333333333333</v>
      </c>
      <c r="GQ110" s="1142">
        <v>0.79605263157894746</v>
      </c>
      <c r="GR110" s="1142">
        <v>0.19</v>
      </c>
    </row>
    <row r="111" spans="22:200" x14ac:dyDescent="0.2">
      <c r="W111" t="e">
        <f t="shared" ca="1" si="144"/>
        <v>#REF!</v>
      </c>
      <c r="X111" t="e">
        <f t="shared" ca="1" si="124"/>
        <v>#REF!</v>
      </c>
      <c r="Y111" t="e">
        <f t="shared" ca="1" si="125"/>
        <v>#REF!</v>
      </c>
      <c r="Z111" t="e">
        <f t="shared" ca="1" si="126"/>
        <v>#REF!</v>
      </c>
      <c r="AA111" t="e">
        <f t="shared" ca="1" si="127"/>
        <v>#REF!</v>
      </c>
      <c r="AB111" t="e">
        <f t="shared" ca="1" si="128"/>
        <v>#REF!</v>
      </c>
      <c r="AC111" t="e">
        <f t="shared" ca="1" si="129"/>
        <v>#REF!</v>
      </c>
      <c r="AD111" t="e">
        <f t="shared" ca="1" si="130"/>
        <v>#REF!</v>
      </c>
      <c r="AE111" t="e">
        <f t="shared" ca="1" si="131"/>
        <v>#REF!</v>
      </c>
      <c r="AF111" t="e">
        <f t="shared" ca="1" si="132"/>
        <v>#REF!</v>
      </c>
      <c r="AG111" t="e">
        <f t="shared" ca="1" si="133"/>
        <v>#REF!</v>
      </c>
      <c r="AH111" t="e">
        <f t="shared" ca="1" si="134"/>
        <v>#REF!</v>
      </c>
      <c r="AI111" t="e">
        <f t="shared" ca="1" si="135"/>
        <v>#REF!</v>
      </c>
      <c r="AJ111" t="e">
        <f t="shared" ca="1" si="136"/>
        <v>#REF!</v>
      </c>
      <c r="AK111" t="e">
        <f t="shared" ca="1" si="137"/>
        <v>#REF!</v>
      </c>
      <c r="AL111" t="e">
        <f t="shared" ca="1" si="138"/>
        <v>#REF!</v>
      </c>
      <c r="AM111" t="e">
        <f t="shared" ca="1" si="139"/>
        <v>#REF!</v>
      </c>
      <c r="AN111" t="e">
        <f t="shared" ca="1" si="140"/>
        <v>#REF!</v>
      </c>
      <c r="AO111" t="e">
        <f t="shared" ca="1" si="141"/>
        <v>#REF!</v>
      </c>
      <c r="AP111" t="e">
        <f t="shared" ca="1" si="142"/>
        <v>#REF!</v>
      </c>
      <c r="AQ111" t="e">
        <f t="shared" ca="1" si="143"/>
        <v>#REF!</v>
      </c>
      <c r="CW111" s="1055"/>
      <c r="CX111" s="1150"/>
      <c r="CY111" s="1150"/>
      <c r="CZ111" s="1150"/>
      <c r="DA111" s="1150"/>
      <c r="DB111" s="1150"/>
      <c r="DC111" s="1150"/>
      <c r="DD111" s="1150"/>
      <c r="DE111" s="1150"/>
      <c r="DF111" s="1150"/>
      <c r="DG111" s="1150"/>
      <c r="DM111" s="290"/>
      <c r="DN111" s="290"/>
      <c r="DO111" s="290"/>
      <c r="DP111" s="290"/>
      <c r="DQ111" s="290"/>
      <c r="GH111" s="1066">
        <v>32</v>
      </c>
      <c r="GI111" s="1142">
        <v>0.90140249596150956</v>
      </c>
      <c r="GJ111" s="1142">
        <v>8.9366666666666678E-2</v>
      </c>
      <c r="GK111" s="1142">
        <v>0.90140249596150956</v>
      </c>
      <c r="GL111" s="1142">
        <v>8.9366666666666678E-2</v>
      </c>
      <c r="GM111" s="1142">
        <v>0.86918238993710695</v>
      </c>
      <c r="GN111" s="1142">
        <v>0.15133333333333335</v>
      </c>
      <c r="GO111" s="1142">
        <v>0.86918238993710695</v>
      </c>
      <c r="GP111" s="1142">
        <v>0.15133333333333335</v>
      </c>
      <c r="GQ111" s="1142">
        <v>0.82894736842105265</v>
      </c>
      <c r="GR111" s="1142">
        <v>0.18</v>
      </c>
    </row>
    <row r="112" spans="22:200" x14ac:dyDescent="0.2">
      <c r="W112" t="e">
        <f t="shared" ca="1" si="144"/>
        <v>#REF!</v>
      </c>
      <c r="X112" t="e">
        <f t="shared" ca="1" si="124"/>
        <v>#REF!</v>
      </c>
      <c r="Y112" t="e">
        <f t="shared" ca="1" si="125"/>
        <v>#REF!</v>
      </c>
      <c r="Z112" t="e">
        <f t="shared" ca="1" si="126"/>
        <v>#REF!</v>
      </c>
      <c r="AA112" t="e">
        <f t="shared" ca="1" si="127"/>
        <v>#REF!</v>
      </c>
      <c r="AB112" t="e">
        <f t="shared" ca="1" si="128"/>
        <v>#REF!</v>
      </c>
      <c r="AC112" t="e">
        <f t="shared" ca="1" si="129"/>
        <v>#REF!</v>
      </c>
      <c r="AD112" t="e">
        <f t="shared" ca="1" si="130"/>
        <v>#REF!</v>
      </c>
      <c r="AE112" t="e">
        <f t="shared" ca="1" si="131"/>
        <v>#REF!</v>
      </c>
      <c r="AF112" t="e">
        <f t="shared" ca="1" si="132"/>
        <v>#REF!</v>
      </c>
      <c r="AG112" t="e">
        <f t="shared" ca="1" si="133"/>
        <v>#REF!</v>
      </c>
      <c r="AH112" t="e">
        <f t="shared" ca="1" si="134"/>
        <v>#REF!</v>
      </c>
      <c r="AI112" t="e">
        <f t="shared" ca="1" si="135"/>
        <v>#REF!</v>
      </c>
      <c r="AJ112" t="e">
        <f t="shared" ca="1" si="136"/>
        <v>#REF!</v>
      </c>
      <c r="AK112" t="e">
        <f t="shared" ca="1" si="137"/>
        <v>#REF!</v>
      </c>
      <c r="AL112" t="e">
        <f t="shared" ca="1" si="138"/>
        <v>#REF!</v>
      </c>
      <c r="AM112" t="e">
        <f t="shared" ca="1" si="139"/>
        <v>#REF!</v>
      </c>
      <c r="AN112" t="e">
        <f t="shared" ca="1" si="140"/>
        <v>#REF!</v>
      </c>
      <c r="AO112" t="e">
        <f t="shared" ca="1" si="141"/>
        <v>#REF!</v>
      </c>
      <c r="AP112" t="e">
        <f t="shared" ca="1" si="142"/>
        <v>#REF!</v>
      </c>
      <c r="AQ112" t="e">
        <f t="shared" ca="1" si="143"/>
        <v>#REF!</v>
      </c>
      <c r="CW112" s="1055"/>
      <c r="CX112" s="1150"/>
      <c r="CY112" s="1150"/>
      <c r="CZ112" s="1150"/>
      <c r="DA112" s="1150"/>
      <c r="DB112" s="1150"/>
      <c r="DC112" s="1150"/>
      <c r="DD112" s="1150"/>
      <c r="DE112" s="1150"/>
      <c r="DF112" s="1150"/>
      <c r="DG112" s="1150"/>
      <c r="DM112" s="290"/>
      <c r="DN112" s="290"/>
      <c r="DO112" s="290"/>
      <c r="DP112" s="290"/>
      <c r="DQ112" s="290"/>
      <c r="GH112" s="1066">
        <v>36</v>
      </c>
      <c r="GI112" s="1142">
        <v>0.92415871949020256</v>
      </c>
      <c r="GJ112" s="1142">
        <v>8.4516666666666684E-2</v>
      </c>
      <c r="GK112" s="1142">
        <v>0.92415871949020256</v>
      </c>
      <c r="GL112" s="1142">
        <v>8.4516666666666684E-2</v>
      </c>
      <c r="GM112" s="1142">
        <v>0.89614175133043061</v>
      </c>
      <c r="GN112" s="1142">
        <v>0.14522222222222222</v>
      </c>
      <c r="GO112" s="1142">
        <v>0.89614175133043061</v>
      </c>
      <c r="GP112" s="1142">
        <v>0.14522222222222222</v>
      </c>
      <c r="GQ112" s="1142">
        <v>0.86184210526315796</v>
      </c>
      <c r="GR112" s="1142">
        <v>0.17</v>
      </c>
    </row>
    <row r="113" spans="23:208" x14ac:dyDescent="0.2">
      <c r="W113" t="e">
        <f t="shared" ca="1" si="144"/>
        <v>#REF!</v>
      </c>
      <c r="X113" t="e">
        <f t="shared" ca="1" si="124"/>
        <v>#REF!</v>
      </c>
      <c r="Y113" t="e">
        <f t="shared" ca="1" si="125"/>
        <v>#REF!</v>
      </c>
      <c r="Z113" t="e">
        <f t="shared" ca="1" si="126"/>
        <v>#REF!</v>
      </c>
      <c r="AA113" t="e">
        <f t="shared" ca="1" si="127"/>
        <v>#REF!</v>
      </c>
      <c r="AB113" t="e">
        <f t="shared" ca="1" si="128"/>
        <v>#REF!</v>
      </c>
      <c r="AC113" t="e">
        <f t="shared" ca="1" si="129"/>
        <v>#REF!</v>
      </c>
      <c r="AD113" t="e">
        <f t="shared" ca="1" si="130"/>
        <v>#REF!</v>
      </c>
      <c r="AE113" t="e">
        <f t="shared" ca="1" si="131"/>
        <v>#REF!</v>
      </c>
      <c r="AF113" t="e">
        <f t="shared" ca="1" si="132"/>
        <v>#REF!</v>
      </c>
      <c r="AG113" t="e">
        <f t="shared" ca="1" si="133"/>
        <v>#REF!</v>
      </c>
      <c r="AH113" t="e">
        <f t="shared" ca="1" si="134"/>
        <v>#REF!</v>
      </c>
      <c r="AI113" t="e">
        <f t="shared" ca="1" si="135"/>
        <v>#REF!</v>
      </c>
      <c r="AJ113" t="e">
        <f t="shared" ca="1" si="136"/>
        <v>#REF!</v>
      </c>
      <c r="AK113" t="e">
        <f t="shared" ca="1" si="137"/>
        <v>#REF!</v>
      </c>
      <c r="AL113" t="e">
        <f t="shared" ca="1" si="138"/>
        <v>#REF!</v>
      </c>
      <c r="AM113" t="e">
        <f t="shared" ca="1" si="139"/>
        <v>#REF!</v>
      </c>
      <c r="AN113" t="e">
        <f t="shared" ca="1" si="140"/>
        <v>#REF!</v>
      </c>
      <c r="AO113" t="e">
        <f t="shared" ca="1" si="141"/>
        <v>#REF!</v>
      </c>
      <c r="AP113" t="e">
        <f t="shared" ca="1" si="142"/>
        <v>#REF!</v>
      </c>
      <c r="AQ113" t="e">
        <f t="shared" ca="1" si="143"/>
        <v>#REF!</v>
      </c>
      <c r="CW113" s="1055"/>
      <c r="CX113" s="1150"/>
      <c r="CY113" s="1150"/>
      <c r="CZ113" s="1150"/>
      <c r="DA113" s="1150"/>
      <c r="DB113" s="1150"/>
      <c r="DC113" s="1150"/>
      <c r="DD113" s="1150"/>
      <c r="DE113" s="1150"/>
      <c r="DF113" s="1150"/>
      <c r="DG113" s="1150"/>
      <c r="DM113" s="290"/>
      <c r="DN113" s="290"/>
      <c r="DO113" s="290"/>
      <c r="DP113" s="290"/>
      <c r="DQ113" s="290"/>
      <c r="GH113" s="1066">
        <v>40</v>
      </c>
      <c r="GI113" s="1142">
        <v>0.94009029476311889</v>
      </c>
      <c r="GJ113" s="1142">
        <v>8.1216666666666673E-2</v>
      </c>
      <c r="GK113" s="1142">
        <v>0.94009029476311889</v>
      </c>
      <c r="GL113" s="1142">
        <v>8.1216666666666673E-2</v>
      </c>
      <c r="GM113" s="1142">
        <v>0.91879535558780845</v>
      </c>
      <c r="GN113" s="1142">
        <v>0.1391111111111111</v>
      </c>
      <c r="GO113" s="1142">
        <v>0.91879535558780845</v>
      </c>
      <c r="GP113" s="1142">
        <v>0.1391111111111111</v>
      </c>
      <c r="GQ113" s="1142">
        <v>0.89035087719298256</v>
      </c>
      <c r="GR113" s="1142">
        <v>0.16</v>
      </c>
    </row>
    <row r="114" spans="23:208" x14ac:dyDescent="0.2">
      <c r="W114" t="e">
        <f t="shared" ca="1" si="144"/>
        <v>#REF!</v>
      </c>
      <c r="X114" t="e">
        <f t="shared" ca="1" si="124"/>
        <v>#REF!</v>
      </c>
      <c r="Y114" t="e">
        <f t="shared" ca="1" si="125"/>
        <v>#REF!</v>
      </c>
      <c r="Z114" t="e">
        <f t="shared" ca="1" si="126"/>
        <v>#REF!</v>
      </c>
      <c r="AA114" t="e">
        <f t="shared" ca="1" si="127"/>
        <v>#REF!</v>
      </c>
      <c r="AB114" t="e">
        <f t="shared" ca="1" si="128"/>
        <v>#REF!</v>
      </c>
      <c r="AC114" t="e">
        <f t="shared" ca="1" si="129"/>
        <v>#REF!</v>
      </c>
      <c r="AD114" t="e">
        <f t="shared" ca="1" si="130"/>
        <v>#REF!</v>
      </c>
      <c r="AE114" t="e">
        <f t="shared" ca="1" si="131"/>
        <v>#REF!</v>
      </c>
      <c r="AF114" t="e">
        <f t="shared" ca="1" si="132"/>
        <v>#REF!</v>
      </c>
      <c r="AG114" t="e">
        <f t="shared" ca="1" si="133"/>
        <v>#REF!</v>
      </c>
      <c r="AH114" t="e">
        <f t="shared" ca="1" si="134"/>
        <v>#REF!</v>
      </c>
      <c r="AI114" t="e">
        <f t="shared" ca="1" si="135"/>
        <v>#REF!</v>
      </c>
      <c r="AJ114" t="e">
        <f t="shared" ca="1" si="136"/>
        <v>#REF!</v>
      </c>
      <c r="AK114" t="e">
        <f t="shared" ca="1" si="137"/>
        <v>#REF!</v>
      </c>
      <c r="AL114" t="e">
        <f t="shared" ca="1" si="138"/>
        <v>#REF!</v>
      </c>
      <c r="AM114" t="e">
        <f t="shared" ca="1" si="139"/>
        <v>#REF!</v>
      </c>
      <c r="AN114" t="e">
        <f t="shared" ca="1" si="140"/>
        <v>#REF!</v>
      </c>
      <c r="AO114" t="e">
        <f t="shared" ca="1" si="141"/>
        <v>#REF!</v>
      </c>
      <c r="AP114" t="e">
        <f t="shared" ca="1" si="142"/>
        <v>#REF!</v>
      </c>
      <c r="AQ114" t="e">
        <f t="shared" ca="1" si="143"/>
        <v>#REF!</v>
      </c>
      <c r="CW114" s="1055"/>
      <c r="CX114" s="1150"/>
      <c r="CY114" s="1150"/>
      <c r="CZ114" s="1150"/>
      <c r="DA114" s="1150"/>
      <c r="DB114" s="1150"/>
      <c r="DC114" s="1150"/>
      <c r="DD114" s="1150"/>
      <c r="DE114" s="1150"/>
      <c r="DF114" s="1150"/>
      <c r="DG114" s="1150"/>
      <c r="DM114" s="290"/>
      <c r="DN114" s="290"/>
      <c r="DO114" s="290"/>
      <c r="DP114" s="290"/>
      <c r="DQ114" s="290"/>
      <c r="GH114" s="1066">
        <v>48</v>
      </c>
      <c r="GI114" s="1142">
        <v>0.97195344530895167</v>
      </c>
      <c r="GJ114" s="1142">
        <v>7.4616666666666664E-2</v>
      </c>
      <c r="GK114" s="1142">
        <v>0.97195344530895167</v>
      </c>
      <c r="GL114" s="1142">
        <v>7.4616666666666664E-2</v>
      </c>
      <c r="GM114" s="1142">
        <v>0.96410256410256401</v>
      </c>
      <c r="GN114" s="1142">
        <v>0.12666666666666668</v>
      </c>
      <c r="GO114" s="1142">
        <v>0.96410256410256401</v>
      </c>
      <c r="GP114" s="1142">
        <v>0.12666666666666668</v>
      </c>
      <c r="GQ114" s="1142">
        <v>0.95128205128205134</v>
      </c>
      <c r="GR114" s="1142">
        <v>0.14300000000000002</v>
      </c>
    </row>
    <row r="115" spans="23:208" x14ac:dyDescent="0.2">
      <c r="W115" t="e">
        <f t="shared" ca="1" si="144"/>
        <v>#REF!</v>
      </c>
      <c r="X115" t="e">
        <f t="shared" ca="1" si="124"/>
        <v>#REF!</v>
      </c>
      <c r="Y115" t="e">
        <f t="shared" ca="1" si="125"/>
        <v>#REF!</v>
      </c>
      <c r="Z115" t="e">
        <f t="shared" ca="1" si="126"/>
        <v>#REF!</v>
      </c>
      <c r="AA115" t="e">
        <f t="shared" ca="1" si="127"/>
        <v>#REF!</v>
      </c>
      <c r="AB115" t="e">
        <f t="shared" ca="1" si="128"/>
        <v>#REF!</v>
      </c>
      <c r="AC115" t="e">
        <f t="shared" ca="1" si="129"/>
        <v>#REF!</v>
      </c>
      <c r="AD115" t="e">
        <f t="shared" ca="1" si="130"/>
        <v>#REF!</v>
      </c>
      <c r="AE115" t="e">
        <f t="shared" ca="1" si="131"/>
        <v>#REF!</v>
      </c>
      <c r="AF115" t="e">
        <f t="shared" ca="1" si="132"/>
        <v>#REF!</v>
      </c>
      <c r="AG115" t="e">
        <f t="shared" ca="1" si="133"/>
        <v>#REF!</v>
      </c>
      <c r="AH115" t="e">
        <f t="shared" ca="1" si="134"/>
        <v>#REF!</v>
      </c>
      <c r="AI115" t="e">
        <f t="shared" ca="1" si="135"/>
        <v>#REF!</v>
      </c>
      <c r="AJ115" t="e">
        <f t="shared" ca="1" si="136"/>
        <v>#REF!</v>
      </c>
      <c r="AK115" t="e">
        <f t="shared" ca="1" si="137"/>
        <v>#REF!</v>
      </c>
      <c r="AL115" t="e">
        <f t="shared" ca="1" si="138"/>
        <v>#REF!</v>
      </c>
      <c r="AM115" t="e">
        <f t="shared" ca="1" si="139"/>
        <v>#REF!</v>
      </c>
      <c r="AN115" t="e">
        <f t="shared" ca="1" si="140"/>
        <v>#REF!</v>
      </c>
      <c r="AO115" t="e">
        <f t="shared" ca="1" si="141"/>
        <v>#REF!</v>
      </c>
      <c r="AP115" t="e">
        <f t="shared" ca="1" si="142"/>
        <v>#REF!</v>
      </c>
      <c r="AQ115" t="e">
        <f t="shared" ca="1" si="143"/>
        <v>#REF!</v>
      </c>
      <c r="CW115" s="1055"/>
      <c r="CX115" s="1150"/>
      <c r="CY115" s="1150"/>
      <c r="CZ115" s="1150"/>
      <c r="DA115" s="1150"/>
      <c r="DB115" s="1150"/>
      <c r="DC115" s="1150"/>
      <c r="DD115" s="1150"/>
      <c r="DE115" s="1150"/>
      <c r="DF115" s="1150"/>
      <c r="DG115" s="1150"/>
      <c r="DM115" s="290"/>
      <c r="DN115" s="290"/>
      <c r="DO115" s="290"/>
      <c r="DP115" s="290"/>
      <c r="DQ115" s="290"/>
      <c r="GH115" s="1066">
        <v>54</v>
      </c>
      <c r="GI115" s="1142">
        <v>0.98597672265447578</v>
      </c>
      <c r="GJ115" s="1142">
        <v>7.1616666666666676E-2</v>
      </c>
      <c r="GK115" s="1142">
        <v>0.98597672265447578</v>
      </c>
      <c r="GL115" s="1142">
        <v>7.1616666666666676E-2</v>
      </c>
      <c r="GM115" s="1142">
        <v>0.98205128205128212</v>
      </c>
      <c r="GN115" s="1142">
        <v>0.1205</v>
      </c>
      <c r="GO115" s="1142">
        <v>0.98205128205128212</v>
      </c>
      <c r="GP115" s="1142">
        <v>0.1205</v>
      </c>
      <c r="GQ115" s="1142">
        <v>0.97535211267605637</v>
      </c>
      <c r="GR115" s="1142">
        <v>0.13300000000000001</v>
      </c>
    </row>
    <row r="116" spans="23:208" x14ac:dyDescent="0.2">
      <c r="W116" t="e">
        <f ca="1">(1-$V$102)*W96+$V$102*X96</f>
        <v>#REF!</v>
      </c>
      <c r="X116" t="e">
        <f t="shared" ref="X116" ca="1" si="145">(1-$V$102)*Y96+$V$102*Z96</f>
        <v>#REF!</v>
      </c>
      <c r="Y116" t="e">
        <f t="shared" ref="Y116" ca="1" si="146">(1-$V$102)*AA96+$V$102*AB96</f>
        <v>#REF!</v>
      </c>
      <c r="Z116" t="e">
        <f t="shared" ref="Z116" ca="1" si="147">(1-$V$102)*AC96+$V$102*AD96</f>
        <v>#REF!</v>
      </c>
      <c r="AA116" t="e">
        <f t="shared" ref="AA116" ca="1" si="148">(1-$V$102)*AE96+$V$102*AF96</f>
        <v>#REF!</v>
      </c>
      <c r="AB116" t="e">
        <f t="shared" ref="AB116" ca="1" si="149">(1-$V$102)*AG96+$V$102*AH96</f>
        <v>#REF!</v>
      </c>
      <c r="AC116" t="e">
        <f t="shared" ref="AC116" ca="1" si="150">(1-$V$102)*AI96+$V$102*AJ96</f>
        <v>#REF!</v>
      </c>
      <c r="AD116" t="e">
        <f t="shared" ref="AD116" ca="1" si="151">(1-$V$102)*AK96+$V$102*AL96</f>
        <v>#REF!</v>
      </c>
      <c r="AE116" t="e">
        <f t="shared" ref="AE116" ca="1" si="152">(1-$V$102)*AM96+$V$102*AN96</f>
        <v>#REF!</v>
      </c>
      <c r="AF116" t="e">
        <f t="shared" ref="AF116" ca="1" si="153">(1-$V$102)*AO96+$V$102*AP96</f>
        <v>#REF!</v>
      </c>
      <c r="AG116" t="e">
        <f t="shared" ref="AG116" ca="1" si="154">(1-$V$102)*AQ96+$V$102*AR96</f>
        <v>#REF!</v>
      </c>
      <c r="AH116" t="e">
        <f t="shared" ref="AH116" ca="1" si="155">(1-$V$102)*AS96+$V$102*AT96</f>
        <v>#REF!</v>
      </c>
      <c r="AI116" t="e">
        <f t="shared" ref="AI116" ca="1" si="156">(1-$V$102)*AU96+$V$102*AV96</f>
        <v>#REF!</v>
      </c>
      <c r="AJ116" t="e">
        <f t="shared" ref="AJ116" ca="1" si="157">(1-$V$102)*AW96+$V$102*AX96</f>
        <v>#REF!</v>
      </c>
      <c r="AK116" t="e">
        <f t="shared" ref="AK116" ca="1" si="158">(1-$V$102)*AY96+$V$102*AZ96</f>
        <v>#REF!</v>
      </c>
      <c r="AL116" t="e">
        <f t="shared" ref="AL116" ca="1" si="159">(1-$V$102)*BA96+$V$102*BB96</f>
        <v>#REF!</v>
      </c>
      <c r="AM116" t="e">
        <f t="shared" ref="AM116" ca="1" si="160">(1-$V$102)*BC96+$V$102*BD96</f>
        <v>#REF!</v>
      </c>
      <c r="AN116" t="e">
        <f t="shared" ref="AN116" ca="1" si="161">(1-$V$102)*BE96+$V$102*BF96</f>
        <v>#REF!</v>
      </c>
      <c r="AO116" t="e">
        <f t="shared" ref="AO116" ca="1" si="162">(1-$V$102)*BG96+$V$102*BH96</f>
        <v>#REF!</v>
      </c>
      <c r="AP116" t="e">
        <f t="shared" ref="AP116" ca="1" si="163">(1-$V$102)*BI96+$V$102*BJ96</f>
        <v>#REF!</v>
      </c>
      <c r="AQ116" t="e">
        <f t="shared" ref="AQ116" ca="1" si="164">(1-$V$102)*BK96+$V$102*BL96</f>
        <v>#REF!</v>
      </c>
      <c r="BA116" s="277"/>
      <c r="BB116" s="277"/>
      <c r="BC116" s="293"/>
      <c r="BD116" s="293"/>
      <c r="CW116" s="1055"/>
      <c r="CX116" s="1150"/>
      <c r="CY116" s="1150"/>
      <c r="CZ116" s="1150"/>
      <c r="DA116" s="1150"/>
      <c r="DB116" s="1150"/>
      <c r="DC116" s="1150"/>
      <c r="DD116" s="1150"/>
      <c r="DE116" s="1150"/>
      <c r="DF116" s="1150"/>
      <c r="DG116" s="1150"/>
      <c r="DM116" s="290"/>
      <c r="DN116" s="290"/>
      <c r="DO116" s="290"/>
      <c r="DP116" s="290"/>
      <c r="DQ116" s="290"/>
      <c r="GH116" s="1066">
        <v>60</v>
      </c>
      <c r="GI116" s="1142">
        <v>1</v>
      </c>
      <c r="GJ116" s="1142">
        <v>6.8616666666666673E-2</v>
      </c>
      <c r="GK116" s="1142">
        <v>1</v>
      </c>
      <c r="GL116" s="1142">
        <v>6.8616666666666673E-2</v>
      </c>
      <c r="GM116" s="1142">
        <v>1</v>
      </c>
      <c r="GN116" s="1142">
        <v>0.11199999999999999</v>
      </c>
      <c r="GO116" s="1142">
        <v>1</v>
      </c>
      <c r="GP116" s="1142">
        <v>0.11199999999999999</v>
      </c>
      <c r="GQ116" s="1142">
        <v>1</v>
      </c>
      <c r="GR116" s="1142">
        <v>0.11900000000000001</v>
      </c>
    </row>
    <row r="117" spans="23:208" x14ac:dyDescent="0.2">
      <c r="W117" t="e">
        <f ca="1">(1-$V$102)*W97+$V$102*X97</f>
        <v>#REF!</v>
      </c>
      <c r="X117" t="e">
        <f t="shared" ref="X117" ca="1" si="165">(1-$V$102)*Y97+$V$102*Z97</f>
        <v>#REF!</v>
      </c>
      <c r="Y117" t="e">
        <f t="shared" ref="Y117" ca="1" si="166">(1-$V$102)*AA97+$V$102*AB97</f>
        <v>#REF!</v>
      </c>
      <c r="Z117" t="e">
        <f t="shared" ref="Z117" ca="1" si="167">(1-$V$102)*AC97+$V$102*AD97</f>
        <v>#REF!</v>
      </c>
      <c r="AA117" t="e">
        <f t="shared" ref="AA117" ca="1" si="168">(1-$V$102)*AE97+$V$102*AF97</f>
        <v>#REF!</v>
      </c>
      <c r="AB117" t="e">
        <f t="shared" ref="AB117" ca="1" si="169">(1-$V$102)*AG97+$V$102*AH97</f>
        <v>#REF!</v>
      </c>
      <c r="AC117" t="e">
        <f t="shared" ref="AC117" ca="1" si="170">(1-$V$102)*AI97+$V$102*AJ97</f>
        <v>#REF!</v>
      </c>
      <c r="AD117" t="e">
        <f t="shared" ref="AD117" ca="1" si="171">(1-$V$102)*AK97+$V$102*AL97</f>
        <v>#REF!</v>
      </c>
      <c r="AE117" t="e">
        <f t="shared" ref="AE117" ca="1" si="172">(1-$V$102)*AM97+$V$102*AN97</f>
        <v>#REF!</v>
      </c>
      <c r="AF117" t="e">
        <f t="shared" ref="AF117" ca="1" si="173">(1-$V$102)*AO97+$V$102*AP97</f>
        <v>#REF!</v>
      </c>
      <c r="AG117" t="e">
        <f t="shared" ref="AG117" ca="1" si="174">(1-$V$102)*AQ97+$V$102*AR97</f>
        <v>#REF!</v>
      </c>
      <c r="AH117" t="e">
        <f t="shared" ref="AH117" ca="1" si="175">(1-$V$102)*AS97+$V$102*AT97</f>
        <v>#REF!</v>
      </c>
      <c r="AI117" t="e">
        <f t="shared" ref="AI117" ca="1" si="176">(1-$V$102)*AU97+$V$102*AV97</f>
        <v>#REF!</v>
      </c>
      <c r="AJ117" t="e">
        <f t="shared" ref="AJ117" ca="1" si="177">(1-$V$102)*AW97+$V$102*AX97</f>
        <v>#REF!</v>
      </c>
      <c r="AK117" t="e">
        <f t="shared" ref="AK117" ca="1" si="178">(1-$V$102)*AY97+$V$102*AZ97</f>
        <v>#REF!</v>
      </c>
      <c r="AL117" t="e">
        <f t="shared" ref="AL117" ca="1" si="179">(1-$V$102)*BA97+$V$102*BB97</f>
        <v>#REF!</v>
      </c>
      <c r="AM117" t="e">
        <f t="shared" ref="AM117" ca="1" si="180">(1-$V$102)*BC97+$V$102*BD97</f>
        <v>#REF!</v>
      </c>
      <c r="AN117" t="e">
        <f t="shared" ref="AN117" ca="1" si="181">(1-$V$102)*BE97+$V$102*BF97</f>
        <v>#REF!</v>
      </c>
      <c r="AO117" t="e">
        <f t="shared" ref="AO117" ca="1" si="182">(1-$V$102)*BG97+$V$102*BH97</f>
        <v>#REF!</v>
      </c>
      <c r="AP117" t="e">
        <f t="shared" ref="AP117" ca="1" si="183">(1-$V$102)*BI97+$V$102*BJ97</f>
        <v>#REF!</v>
      </c>
      <c r="AQ117" t="e">
        <f t="shared" ref="AQ117" ca="1" si="184">(1-$V$102)*BK97+$V$102*BL97</f>
        <v>#REF!</v>
      </c>
      <c r="BA117" s="277"/>
      <c r="BB117" s="277"/>
      <c r="BC117" s="293"/>
      <c r="BD117" s="293"/>
      <c r="CW117" s="1055"/>
      <c r="CX117" s="1150"/>
      <c r="CY117" s="1150"/>
      <c r="CZ117" s="1150"/>
      <c r="DA117" s="1150"/>
      <c r="DB117" s="1150"/>
      <c r="DC117" s="1150"/>
      <c r="DD117" s="1150"/>
      <c r="DE117" s="1150"/>
      <c r="DF117" s="1150"/>
      <c r="DG117" s="1150"/>
      <c r="DM117" s="290"/>
      <c r="DN117" s="290"/>
      <c r="DO117" s="290"/>
      <c r="DP117" s="290"/>
      <c r="DQ117" s="290"/>
    </row>
    <row r="118" spans="23:208" x14ac:dyDescent="0.2">
      <c r="BA118" s="277"/>
      <c r="BB118" s="277"/>
      <c r="BC118" s="293"/>
      <c r="BD118" s="293"/>
      <c r="CW118" s="1055"/>
      <c r="CX118" s="1150"/>
      <c r="CY118" s="1150"/>
      <c r="CZ118" s="1150"/>
      <c r="DA118" s="1150"/>
      <c r="DB118" s="1150"/>
      <c r="DC118" s="1150"/>
      <c r="DD118" s="1150"/>
      <c r="DE118" s="1150"/>
      <c r="DF118" s="1150"/>
      <c r="DG118" s="1150"/>
      <c r="DM118" s="290"/>
      <c r="DN118" s="290"/>
      <c r="DO118" s="290"/>
      <c r="DP118" s="290"/>
      <c r="DQ118" s="290"/>
    </row>
    <row r="119" spans="23:208" x14ac:dyDescent="0.2">
      <c r="BA119" s="277"/>
      <c r="BB119" s="277"/>
      <c r="BC119" s="293"/>
      <c r="BD119" s="293"/>
      <c r="CW119" s="1055"/>
      <c r="CX119" s="1150"/>
      <c r="CY119" s="1150"/>
      <c r="CZ119" s="1150"/>
      <c r="DA119" s="1150"/>
      <c r="DB119" s="1150"/>
      <c r="DC119" s="1150"/>
      <c r="DD119" s="1150"/>
      <c r="DE119" s="1150"/>
      <c r="DF119" s="1150"/>
      <c r="DG119" s="1150"/>
      <c r="DM119" s="290"/>
      <c r="DN119" s="290"/>
      <c r="DO119" s="290"/>
      <c r="DP119" s="290"/>
      <c r="DQ119" s="290"/>
    </row>
    <row r="120" spans="23:208" x14ac:dyDescent="0.2">
      <c r="BA120" s="277"/>
      <c r="BB120" s="277"/>
      <c r="BC120" s="293"/>
      <c r="BD120" s="293"/>
      <c r="CW120" s="1055"/>
      <c r="CX120" s="1150"/>
      <c r="CY120" s="1150"/>
      <c r="CZ120" s="1150"/>
      <c r="DA120" s="1150"/>
      <c r="DB120" s="1150"/>
      <c r="DC120" s="1150"/>
      <c r="DD120" s="1150"/>
      <c r="DE120" s="1150"/>
      <c r="DF120" s="1150"/>
      <c r="DG120" s="1150"/>
      <c r="DM120" s="290"/>
      <c r="DN120" s="290"/>
      <c r="DO120" s="290"/>
      <c r="DP120" s="290"/>
      <c r="DQ120" s="290"/>
    </row>
    <row r="121" spans="23:208" x14ac:dyDescent="0.2">
      <c r="CW121" s="1055"/>
      <c r="CX121" s="1150"/>
      <c r="CY121" s="1150"/>
      <c r="CZ121" s="1150"/>
      <c r="DA121" s="1150"/>
      <c r="DB121" s="1150"/>
      <c r="DC121" s="1150"/>
      <c r="DD121" s="1150"/>
      <c r="DE121" s="1150"/>
      <c r="DF121" s="1150"/>
      <c r="DG121" s="1150"/>
      <c r="DM121" s="290"/>
      <c r="DN121" s="290"/>
      <c r="DO121" s="290"/>
      <c r="DP121" s="290"/>
      <c r="DQ121" s="290"/>
    </row>
    <row r="122" spans="23:208" x14ac:dyDescent="0.2">
      <c r="CW122" s="1055"/>
      <c r="CX122" s="1150"/>
      <c r="CY122" s="1150"/>
      <c r="CZ122" s="1150"/>
      <c r="DA122" s="1150"/>
      <c r="DB122" s="1150"/>
      <c r="DC122" s="1150"/>
      <c r="DD122" s="1150"/>
      <c r="DE122" s="1150"/>
      <c r="DF122" s="1150"/>
      <c r="DG122" s="1150"/>
      <c r="DM122" s="290"/>
      <c r="DN122" s="290"/>
      <c r="DO122" s="290"/>
      <c r="DP122" s="290"/>
      <c r="DQ122" s="290"/>
      <c r="GH122" s="412"/>
      <c r="GI122" s="412"/>
      <c r="GJ122" s="412"/>
      <c r="GK122" s="412"/>
      <c r="GL122" s="412"/>
      <c r="GM122" s="412"/>
      <c r="GN122" s="412"/>
      <c r="GO122" s="412"/>
      <c r="GP122" s="412"/>
      <c r="GQ122" s="412"/>
      <c r="GR122" s="412"/>
      <c r="GS122" s="412"/>
      <c r="GT122" s="412"/>
      <c r="GU122" s="412"/>
      <c r="GV122" s="412"/>
      <c r="GW122" s="412"/>
      <c r="GX122" s="412"/>
      <c r="GY122" s="412"/>
    </row>
    <row r="123" spans="23:208" x14ac:dyDescent="0.2">
      <c r="CW123" s="1055"/>
      <c r="CX123" s="1150"/>
      <c r="CY123" s="1150"/>
      <c r="CZ123" s="1150"/>
      <c r="DA123" s="1150"/>
      <c r="DB123" s="1150"/>
      <c r="DC123" s="1150"/>
      <c r="DD123" s="1150"/>
      <c r="DE123" s="1150"/>
      <c r="DF123" s="1150"/>
      <c r="DG123" s="1150"/>
      <c r="DM123" s="290"/>
      <c r="DN123" s="290"/>
      <c r="DO123" s="290"/>
      <c r="DP123" s="290"/>
      <c r="DQ123" s="290"/>
      <c r="GH123" s="412"/>
      <c r="GI123" s="412"/>
      <c r="GJ123" s="412"/>
      <c r="GK123" s="412"/>
      <c r="GL123" s="412"/>
      <c r="GM123" s="412"/>
      <c r="GN123" s="412"/>
      <c r="GO123" s="412"/>
      <c r="GP123" s="412"/>
      <c r="GQ123" s="412"/>
      <c r="GR123" s="412"/>
      <c r="GS123" s="412"/>
      <c r="GT123" s="412"/>
      <c r="GU123" s="412"/>
      <c r="GV123" s="412"/>
      <c r="GW123" s="412"/>
      <c r="GX123" s="412"/>
      <c r="GY123" s="412"/>
    </row>
    <row r="124" spans="23:208" ht="18.75" x14ac:dyDescent="0.3">
      <c r="CW124" s="1055"/>
      <c r="CX124" s="1150"/>
      <c r="CY124" s="1150"/>
      <c r="CZ124" s="1150"/>
      <c r="DA124" s="1150"/>
      <c r="DB124" s="1150"/>
      <c r="DC124" s="1150"/>
      <c r="DD124" s="1150"/>
      <c r="DE124" s="1150"/>
      <c r="DF124" s="1150"/>
      <c r="DG124" s="1150"/>
      <c r="DM124" s="290"/>
      <c r="DN124" s="290"/>
      <c r="DO124" s="290"/>
      <c r="DP124" s="290"/>
      <c r="DQ124" s="290"/>
      <c r="GH124" s="1224" t="s">
        <v>542</v>
      </c>
      <c r="GI124" s="1224" t="s">
        <v>642</v>
      </c>
      <c r="GJ124" s="1225" t="s">
        <v>551</v>
      </c>
      <c r="GK124" s="1225"/>
      <c r="GL124" s="1225"/>
      <c r="GM124" s="1225"/>
      <c r="GN124" s="1225"/>
      <c r="GO124" s="1225"/>
      <c r="GP124" s="1225"/>
      <c r="GQ124" s="1225"/>
      <c r="GR124" s="1225"/>
      <c r="GS124" s="1225"/>
      <c r="GT124" s="1225"/>
      <c r="GU124" s="1225"/>
      <c r="GV124" s="1225"/>
      <c r="GW124" s="1225"/>
      <c r="GX124" s="1225"/>
      <c r="GY124" s="1225"/>
      <c r="GZ124" s="1224" t="s">
        <v>643</v>
      </c>
    </row>
    <row r="125" spans="23:208" ht="18.75" x14ac:dyDescent="0.3">
      <c r="CW125" s="1055"/>
      <c r="CX125" s="1150"/>
      <c r="CY125" s="1150"/>
      <c r="CZ125" s="1150"/>
      <c r="DA125" s="1150"/>
      <c r="DB125" s="1150"/>
      <c r="DC125" s="1150"/>
      <c r="DD125" s="1150"/>
      <c r="DE125" s="1150"/>
      <c r="DF125" s="1150"/>
      <c r="DG125" s="1150"/>
      <c r="DM125" s="290"/>
      <c r="DN125" s="290"/>
      <c r="DO125" s="290"/>
      <c r="DP125" s="290"/>
      <c r="DQ125" s="290"/>
      <c r="GH125" s="1224"/>
      <c r="GI125" s="1224"/>
      <c r="GJ125" s="1138">
        <v>1</v>
      </c>
      <c r="GK125" s="1138">
        <v>2</v>
      </c>
      <c r="GL125" s="1138">
        <v>3</v>
      </c>
      <c r="GM125" s="1138">
        <v>4</v>
      </c>
      <c r="GN125" s="1138">
        <v>5</v>
      </c>
      <c r="GO125" s="1138">
        <v>6</v>
      </c>
      <c r="GP125" s="1138">
        <v>7</v>
      </c>
      <c r="GQ125" s="1138">
        <v>8</v>
      </c>
      <c r="GR125" s="1138">
        <v>9</v>
      </c>
      <c r="GS125" s="1138">
        <v>10</v>
      </c>
      <c r="GT125" s="1138">
        <v>11</v>
      </c>
      <c r="GU125" s="1138">
        <v>12</v>
      </c>
      <c r="GV125" s="1138">
        <v>13</v>
      </c>
      <c r="GW125" s="1138">
        <v>14</v>
      </c>
      <c r="GX125" s="1138">
        <v>15</v>
      </c>
      <c r="GY125" s="1138">
        <v>16</v>
      </c>
      <c r="GZ125" s="1224"/>
    </row>
    <row r="126" spans="23:208" ht="15" x14ac:dyDescent="0.25">
      <c r="CW126" s="1055"/>
      <c r="CX126" s="1150"/>
      <c r="CY126" s="1150"/>
      <c r="CZ126" s="1150"/>
      <c r="DA126" s="1150"/>
      <c r="DB126" s="1150"/>
      <c r="DC126" s="1150"/>
      <c r="DD126" s="1150"/>
      <c r="DE126" s="1150"/>
      <c r="DF126" s="1150"/>
      <c r="DG126" s="1150"/>
      <c r="DM126" s="290"/>
      <c r="DN126" s="290"/>
      <c r="DO126" s="290"/>
      <c r="DP126" s="290"/>
      <c r="DQ126" s="290"/>
      <c r="GH126" s="1025" t="s">
        <v>748</v>
      </c>
      <c r="GI126" s="1141">
        <v>48</v>
      </c>
      <c r="GJ126" s="1141">
        <v>20</v>
      </c>
      <c r="GK126" s="1141">
        <v>12</v>
      </c>
      <c r="GL126" s="1141">
        <v>12</v>
      </c>
      <c r="GM126" s="1141">
        <v>12</v>
      </c>
      <c r="GN126" s="1141">
        <v>12</v>
      </c>
      <c r="GO126" s="1141">
        <v>12</v>
      </c>
      <c r="GP126" s="1141">
        <v>12</v>
      </c>
      <c r="GQ126" s="1141">
        <v>12</v>
      </c>
      <c r="GR126" s="1141">
        <v>5</v>
      </c>
      <c r="GS126" s="1141">
        <v>5</v>
      </c>
      <c r="GT126" s="1141">
        <v>5</v>
      </c>
      <c r="GU126" s="1141">
        <v>5</v>
      </c>
      <c r="GV126" s="1141">
        <v>5</v>
      </c>
      <c r="GW126" s="1141">
        <v>5</v>
      </c>
      <c r="GX126" s="1141">
        <v>5</v>
      </c>
      <c r="GY126" s="1141">
        <v>5</v>
      </c>
      <c r="GZ126" s="1141">
        <v>3</v>
      </c>
    </row>
    <row r="127" spans="23:208" x14ac:dyDescent="0.2">
      <c r="CW127" s="1055"/>
      <c r="CX127" s="1150"/>
      <c r="CY127" s="1150"/>
      <c r="CZ127" s="1150"/>
      <c r="DA127" s="1150"/>
      <c r="DB127" s="1150"/>
      <c r="DC127" s="1150"/>
      <c r="DD127" s="1150"/>
      <c r="DE127" s="1150"/>
      <c r="DF127" s="1150"/>
      <c r="DG127" s="1150"/>
      <c r="DM127" s="290"/>
      <c r="DN127" s="290"/>
      <c r="DO127" s="290"/>
      <c r="DP127" s="290"/>
      <c r="DQ127" s="290"/>
      <c r="GH127" s="1025" t="s">
        <v>749</v>
      </c>
      <c r="GI127" s="1065">
        <v>25</v>
      </c>
      <c r="GJ127" s="1065">
        <v>0</v>
      </c>
      <c r="GK127" s="1065">
        <v>18</v>
      </c>
      <c r="GL127" s="1065">
        <v>18</v>
      </c>
      <c r="GM127" s="1065">
        <v>18</v>
      </c>
      <c r="GN127" s="1065">
        <v>18</v>
      </c>
      <c r="GO127" s="1065">
        <v>18</v>
      </c>
      <c r="GP127" s="1065">
        <v>18</v>
      </c>
      <c r="GQ127" s="1065">
        <v>18</v>
      </c>
      <c r="GR127" s="1065">
        <v>17</v>
      </c>
      <c r="GS127" s="1065">
        <v>17</v>
      </c>
      <c r="GT127" s="1065">
        <v>17</v>
      </c>
      <c r="GU127" s="1065">
        <v>17</v>
      </c>
      <c r="GV127" s="1065">
        <v>17</v>
      </c>
      <c r="GW127" s="1065">
        <v>17</v>
      </c>
      <c r="GX127" s="1065">
        <v>17</v>
      </c>
      <c r="GY127" s="1065">
        <v>17</v>
      </c>
      <c r="GZ127" s="1179">
        <v>20</v>
      </c>
    </row>
    <row r="128" spans="23:208" x14ac:dyDescent="0.2">
      <c r="CW128" s="1055"/>
      <c r="CX128" s="1150"/>
      <c r="CY128" s="1150"/>
      <c r="CZ128" s="1150"/>
      <c r="DA128" s="1150"/>
      <c r="DB128" s="1150"/>
      <c r="DC128" s="1150"/>
      <c r="DD128" s="1150"/>
      <c r="DE128" s="1150"/>
      <c r="DF128" s="1150"/>
      <c r="DG128" s="1150"/>
      <c r="DM128" s="290"/>
      <c r="DN128" s="290"/>
      <c r="DO128" s="290"/>
      <c r="DP128" s="290"/>
      <c r="DQ128" s="290"/>
      <c r="GH128" s="1025" t="s">
        <v>750</v>
      </c>
      <c r="GI128" s="1065">
        <v>8</v>
      </c>
      <c r="GJ128" s="1065">
        <v>0</v>
      </c>
      <c r="GK128" s="1065">
        <v>0</v>
      </c>
      <c r="GL128" s="1065">
        <v>75</v>
      </c>
      <c r="GM128" s="1065">
        <v>75</v>
      </c>
      <c r="GN128" s="1065">
        <v>75</v>
      </c>
      <c r="GO128" s="1065">
        <v>65</v>
      </c>
      <c r="GP128" s="1065">
        <v>65</v>
      </c>
      <c r="GQ128" s="1065">
        <v>65</v>
      </c>
      <c r="GR128" s="1065">
        <v>50</v>
      </c>
      <c r="GS128" s="1065">
        <v>50</v>
      </c>
      <c r="GT128" s="1065">
        <v>50</v>
      </c>
      <c r="GU128" s="1065">
        <v>50</v>
      </c>
      <c r="GV128" s="1065">
        <v>50</v>
      </c>
      <c r="GW128" s="1065">
        <v>50</v>
      </c>
      <c r="GX128" s="1065">
        <v>50</v>
      </c>
      <c r="GY128" s="1065">
        <v>50</v>
      </c>
      <c r="GZ128" s="1065">
        <v>75</v>
      </c>
    </row>
    <row r="129" spans="15:121" x14ac:dyDescent="0.2">
      <c r="CW129" s="1055"/>
      <c r="CX129" s="1150"/>
      <c r="CY129" s="1150"/>
      <c r="CZ129" s="1150"/>
      <c r="DA129" s="1150"/>
      <c r="DB129" s="1150"/>
      <c r="DC129" s="1150"/>
      <c r="DD129" s="1150"/>
      <c r="DE129" s="1150"/>
      <c r="DF129" s="1150"/>
      <c r="DG129" s="1150"/>
      <c r="DM129" s="290"/>
      <c r="DN129" s="290"/>
      <c r="DO129" s="290"/>
      <c r="DP129" s="290"/>
      <c r="DQ129" s="290"/>
    </row>
    <row r="130" spans="15:121" x14ac:dyDescent="0.2">
      <c r="CW130" s="1055"/>
      <c r="CX130" s="1150"/>
      <c r="CY130" s="1150"/>
      <c r="CZ130" s="412"/>
      <c r="DA130" s="412"/>
      <c r="DB130" s="412"/>
      <c r="DC130" s="412"/>
      <c r="DD130" s="412"/>
      <c r="DE130" s="412"/>
      <c r="DF130" s="412"/>
      <c r="DG130" s="412"/>
      <c r="DM130" s="290"/>
      <c r="DN130" s="290"/>
      <c r="DO130" s="290"/>
      <c r="DP130" s="290"/>
      <c r="DQ130" s="290"/>
    </row>
    <row r="131" spans="15:121" x14ac:dyDescent="0.2">
      <c r="CW131" s="1055"/>
      <c r="CX131" s="1150"/>
      <c r="CY131" s="1150"/>
      <c r="CZ131" s="412"/>
      <c r="DA131" s="412"/>
      <c r="DB131" s="412"/>
      <c r="DC131" s="412"/>
      <c r="DD131" s="412"/>
      <c r="DE131" s="412"/>
      <c r="DF131" s="412"/>
      <c r="DG131" s="412"/>
      <c r="DM131" s="290"/>
      <c r="DN131" s="290"/>
      <c r="DO131" s="290"/>
      <c r="DP131" s="290"/>
      <c r="DQ131" s="290"/>
    </row>
    <row r="132" spans="15:121" x14ac:dyDescent="0.2">
      <c r="CW132" s="1055"/>
      <c r="CX132" s="1150"/>
      <c r="CY132" s="1150"/>
      <c r="CZ132" s="412"/>
      <c r="DA132" s="412"/>
      <c r="DB132" s="412"/>
      <c r="DC132" s="412"/>
      <c r="DD132" s="412"/>
      <c r="DE132" s="412"/>
      <c r="DF132" s="412"/>
      <c r="DG132" s="412"/>
      <c r="DM132" s="290"/>
      <c r="DN132" s="290"/>
      <c r="DO132" s="290"/>
      <c r="DP132" s="290"/>
      <c r="DQ132" s="290"/>
    </row>
    <row r="133" spans="15:121" x14ac:dyDescent="0.2">
      <c r="CW133" s="1055"/>
      <c r="CX133" s="1150"/>
      <c r="CY133" s="1150"/>
      <c r="CZ133" s="412"/>
      <c r="DA133" s="412"/>
      <c r="DB133" s="412"/>
      <c r="DC133" s="412"/>
      <c r="DD133" s="412"/>
      <c r="DE133" s="412"/>
      <c r="DF133" s="412"/>
      <c r="DG133" s="412"/>
      <c r="DM133" s="290"/>
      <c r="DN133" s="290"/>
      <c r="DO133" s="290"/>
      <c r="DP133" s="290"/>
      <c r="DQ133" s="290"/>
    </row>
    <row r="134" spans="15:121" x14ac:dyDescent="0.2">
      <c r="CW134" s="1055"/>
      <c r="CX134" s="1150"/>
      <c r="CY134" s="1150"/>
      <c r="CZ134" s="412"/>
      <c r="DA134" s="412"/>
      <c r="DB134" s="412"/>
      <c r="DC134" s="412"/>
      <c r="DD134" s="412"/>
      <c r="DE134" s="412"/>
      <c r="DF134" s="412"/>
      <c r="DG134" s="412"/>
      <c r="DM134" s="290"/>
      <c r="DN134" s="290"/>
      <c r="DO134" s="290"/>
      <c r="DP134" s="290"/>
      <c r="DQ134" s="290"/>
    </row>
    <row r="135" spans="15:121" x14ac:dyDescent="0.2">
      <c r="CW135" s="1055"/>
      <c r="CX135" s="1150"/>
      <c r="CY135" s="1150"/>
      <c r="CZ135" s="412"/>
      <c r="DA135" s="412"/>
      <c r="DB135" s="412"/>
      <c r="DC135" s="412"/>
      <c r="DD135" s="412"/>
      <c r="DE135" s="412"/>
      <c r="DF135" s="412"/>
      <c r="DG135" s="412"/>
      <c r="DM135" s="290"/>
      <c r="DN135" s="290"/>
      <c r="DO135" s="290"/>
      <c r="DP135" s="290"/>
      <c r="DQ135" s="290"/>
    </row>
    <row r="136" spans="15:121" x14ac:dyDescent="0.2">
      <c r="CW136" s="1055"/>
      <c r="CX136" s="1150"/>
      <c r="CY136" s="1150"/>
      <c r="CZ136" s="412"/>
      <c r="DA136" s="412"/>
      <c r="DB136" s="412"/>
      <c r="DC136" s="412"/>
      <c r="DD136" s="412"/>
      <c r="DE136" s="412"/>
      <c r="DF136" s="412"/>
      <c r="DG136" s="412"/>
      <c r="DM136" s="290"/>
      <c r="DN136" s="290"/>
      <c r="DO136" s="290"/>
      <c r="DP136" s="290"/>
      <c r="DQ136" s="290"/>
    </row>
    <row r="137" spans="15:121" x14ac:dyDescent="0.2">
      <c r="BA137" s="277"/>
      <c r="BB137" s="277"/>
      <c r="BC137" s="293"/>
      <c r="BD137" s="293"/>
      <c r="CW137" s="1055"/>
      <c r="CX137" s="1150"/>
      <c r="CY137" s="1150"/>
      <c r="CZ137" s="412"/>
      <c r="DA137" s="412"/>
      <c r="DB137" s="412"/>
      <c r="DC137" s="412"/>
      <c r="DD137" s="412"/>
      <c r="DE137" s="412"/>
      <c r="DF137" s="412"/>
      <c r="DG137" s="412"/>
      <c r="DM137" s="290"/>
      <c r="DN137" s="290"/>
      <c r="DO137" s="290"/>
      <c r="DP137" s="290"/>
      <c r="DQ137" s="290"/>
    </row>
    <row r="138" spans="15:121" x14ac:dyDescent="0.2">
      <c r="BA138" s="277"/>
      <c r="BB138" s="277"/>
      <c r="BC138" s="293"/>
      <c r="BD138" s="293"/>
      <c r="CW138" s="1055"/>
      <c r="CX138" s="1150"/>
      <c r="CY138" s="1150"/>
      <c r="CZ138" s="412"/>
      <c r="DA138" s="412"/>
      <c r="DB138" s="412"/>
      <c r="DC138" s="412"/>
      <c r="DD138" s="412"/>
      <c r="DE138" s="412"/>
      <c r="DF138" s="412"/>
      <c r="DG138" s="412"/>
      <c r="DM138" s="290"/>
      <c r="DN138" s="290"/>
      <c r="DO138" s="290"/>
      <c r="DP138" s="290"/>
      <c r="DQ138" s="290"/>
    </row>
    <row r="139" spans="15:121" x14ac:dyDescent="0.2">
      <c r="O139" s="84"/>
      <c r="P139" s="84"/>
      <c r="Q139" s="84"/>
      <c r="BA139" s="277"/>
      <c r="BB139" s="277"/>
      <c r="BC139" s="293"/>
      <c r="BD139" s="293"/>
      <c r="CW139" s="1055"/>
      <c r="CX139" s="1150"/>
      <c r="CY139" s="1150"/>
      <c r="CZ139" s="412"/>
      <c r="DA139" s="412"/>
      <c r="DB139" s="412"/>
      <c r="DC139" s="412"/>
      <c r="DD139" s="412"/>
      <c r="DE139" s="412"/>
      <c r="DF139" s="412"/>
      <c r="DG139" s="412"/>
      <c r="DM139" s="290"/>
      <c r="DN139" s="290"/>
      <c r="DO139" s="290"/>
      <c r="DP139" s="290"/>
      <c r="DQ139" s="290"/>
    </row>
    <row r="140" spans="15:121" x14ac:dyDescent="0.2">
      <c r="O140" s="84"/>
      <c r="P140" s="84"/>
      <c r="Q140" s="84"/>
      <c r="BA140" s="277"/>
      <c r="BB140" s="277"/>
      <c r="BC140" s="293"/>
      <c r="BD140" s="293"/>
      <c r="CW140" s="1055"/>
      <c r="CX140" s="1150"/>
      <c r="CY140" s="1150"/>
      <c r="CZ140" s="412"/>
      <c r="DA140" s="412"/>
      <c r="DB140" s="412"/>
      <c r="DC140" s="412"/>
      <c r="DD140" s="412"/>
      <c r="DE140" s="412"/>
      <c r="DF140" s="412"/>
      <c r="DG140" s="412"/>
      <c r="DM140" s="290"/>
      <c r="DN140" s="290"/>
      <c r="DO140" s="290"/>
      <c r="DP140" s="290"/>
      <c r="DQ140" s="290"/>
    </row>
    <row r="141" spans="15:121" x14ac:dyDescent="0.2">
      <c r="O141" s="84"/>
      <c r="P141" s="84"/>
      <c r="Q141" s="84"/>
      <c r="BA141" s="277"/>
      <c r="BB141" s="277"/>
      <c r="BC141" s="293"/>
      <c r="BD141" s="293"/>
      <c r="CW141" s="1055"/>
      <c r="CX141" s="1150"/>
      <c r="CY141" s="1150"/>
      <c r="CZ141" s="412"/>
      <c r="DA141" s="412"/>
      <c r="DB141" s="412"/>
      <c r="DC141" s="412"/>
      <c r="DD141" s="412"/>
      <c r="DE141" s="412"/>
      <c r="DF141" s="412"/>
      <c r="DG141" s="412"/>
      <c r="DM141" s="290"/>
      <c r="DN141" s="290"/>
      <c r="DO141" s="290"/>
      <c r="DP141" s="290"/>
      <c r="DQ141" s="290"/>
    </row>
    <row r="142" spans="15:121" x14ac:dyDescent="0.2">
      <c r="O142" s="84"/>
      <c r="P142" s="84"/>
      <c r="Q142" s="84"/>
      <c r="CW142" s="1055"/>
      <c r="CX142" s="1150"/>
      <c r="CY142" s="1150"/>
      <c r="CZ142" s="412"/>
      <c r="DA142" s="412"/>
      <c r="DB142" s="412"/>
      <c r="DC142" s="412"/>
      <c r="DD142" s="412"/>
      <c r="DE142" s="412"/>
      <c r="DF142" s="412"/>
      <c r="DG142" s="412"/>
      <c r="DM142" s="290"/>
      <c r="DN142" s="290"/>
      <c r="DO142" s="290"/>
      <c r="DP142" s="290"/>
      <c r="DQ142" s="290"/>
    </row>
    <row r="143" spans="15:121" x14ac:dyDescent="0.2">
      <c r="O143" s="84"/>
      <c r="P143" s="84"/>
      <c r="Q143" s="84"/>
      <c r="CW143" s="1055"/>
      <c r="CX143" s="1150"/>
      <c r="CY143" s="1150"/>
      <c r="CZ143" s="412"/>
      <c r="DA143" s="412"/>
      <c r="DB143" s="412"/>
      <c r="DC143" s="412"/>
      <c r="DD143" s="412"/>
      <c r="DE143" s="412"/>
      <c r="DF143" s="412"/>
      <c r="DG143" s="412"/>
      <c r="DM143" s="290"/>
      <c r="DN143" s="290"/>
      <c r="DO143" s="290"/>
      <c r="DP143" s="290"/>
      <c r="DQ143" s="290"/>
    </row>
    <row r="144" spans="15:121" x14ac:dyDescent="0.2">
      <c r="O144" s="84"/>
      <c r="P144" s="84"/>
      <c r="Q144" s="84"/>
      <c r="CW144" s="1055"/>
      <c r="CX144" s="1150"/>
      <c r="CY144" s="1150"/>
      <c r="CZ144" s="412"/>
      <c r="DA144" s="412"/>
      <c r="DB144" s="412"/>
      <c r="DC144" s="412"/>
      <c r="DD144" s="412"/>
      <c r="DE144" s="412"/>
      <c r="DF144" s="412"/>
      <c r="DG144" s="412"/>
      <c r="DM144" s="290"/>
      <c r="DN144" s="290"/>
      <c r="DO144" s="290"/>
      <c r="DP144" s="290"/>
      <c r="DQ144" s="290"/>
    </row>
    <row r="145" spans="15:121" x14ac:dyDescent="0.2">
      <c r="O145" s="84"/>
      <c r="P145" s="84"/>
      <c r="Q145" s="84"/>
      <c r="BA145" s="1231"/>
      <c r="BB145" s="1231"/>
      <c r="BC145" s="1232"/>
      <c r="BD145" s="1232"/>
      <c r="CW145" s="1055"/>
      <c r="CX145" s="1150"/>
      <c r="CY145" s="1150"/>
      <c r="CZ145" s="412"/>
      <c r="DA145" s="412"/>
      <c r="DB145" s="412"/>
      <c r="DC145" s="412"/>
      <c r="DD145" s="412"/>
      <c r="DE145" s="412"/>
      <c r="DF145" s="412"/>
      <c r="DG145" s="412"/>
      <c r="DM145" s="290"/>
      <c r="DN145" s="290"/>
      <c r="DO145" s="290"/>
      <c r="DP145" s="290"/>
      <c r="DQ145" s="290"/>
    </row>
    <row r="146" spans="15:121" x14ac:dyDescent="0.2">
      <c r="O146" s="84"/>
      <c r="P146" s="84"/>
      <c r="Q146" s="84"/>
      <c r="BA146" s="58"/>
      <c r="BB146" s="58"/>
      <c r="BC146" s="291"/>
      <c r="BD146" s="291"/>
      <c r="CW146" s="1055"/>
      <c r="CX146" s="1150"/>
      <c r="CY146" s="1150"/>
      <c r="CZ146" s="412"/>
      <c r="DA146" s="412"/>
      <c r="DB146" s="412"/>
      <c r="DC146" s="412"/>
      <c r="DD146" s="412"/>
      <c r="DE146" s="412"/>
      <c r="DF146" s="412"/>
      <c r="DG146" s="412"/>
      <c r="DM146" s="290"/>
      <c r="DN146" s="290"/>
      <c r="DO146" s="290"/>
      <c r="DP146" s="290"/>
      <c r="DQ146" s="290"/>
    </row>
    <row r="147" spans="15:121" x14ac:dyDescent="0.2">
      <c r="O147" s="84"/>
      <c r="P147" s="84"/>
      <c r="Q147" s="84"/>
      <c r="BC147" s="292"/>
      <c r="BD147" s="292"/>
      <c r="CW147" s="1055"/>
      <c r="CX147" s="1150"/>
      <c r="CY147" s="1150"/>
      <c r="CZ147" s="412"/>
      <c r="DA147" s="412"/>
      <c r="DB147" s="412"/>
      <c r="DC147" s="412"/>
      <c r="DD147" s="412"/>
      <c r="DE147" s="412"/>
      <c r="DF147" s="412"/>
      <c r="DG147" s="412"/>
      <c r="DM147" s="290"/>
      <c r="DN147" s="290"/>
      <c r="DO147" s="290"/>
      <c r="DP147" s="290"/>
      <c r="DQ147" s="290"/>
    </row>
    <row r="148" spans="15:121" x14ac:dyDescent="0.2">
      <c r="O148" s="84"/>
      <c r="P148" s="84"/>
      <c r="Q148" s="84"/>
      <c r="BA148" s="277"/>
      <c r="BB148" s="277"/>
      <c r="BC148" s="293"/>
      <c r="BD148" s="293"/>
      <c r="CW148" s="1055"/>
      <c r="CX148" s="1150"/>
      <c r="CY148" s="1150"/>
      <c r="CZ148" s="412"/>
      <c r="DA148" s="412"/>
      <c r="DB148" s="412"/>
      <c r="DC148" s="412"/>
      <c r="DD148" s="412"/>
      <c r="DE148" s="412"/>
      <c r="DF148" s="412"/>
      <c r="DG148" s="412"/>
      <c r="DM148" s="290"/>
      <c r="DN148" s="290"/>
      <c r="DO148" s="290"/>
      <c r="DP148" s="290"/>
      <c r="DQ148" s="290"/>
    </row>
    <row r="149" spans="15:121" x14ac:dyDescent="0.2">
      <c r="O149" s="84"/>
      <c r="P149" s="84"/>
      <c r="Q149" s="84"/>
      <c r="BA149" s="277"/>
      <c r="BB149" s="277"/>
      <c r="BC149" s="293"/>
      <c r="BD149" s="293"/>
      <c r="CW149" s="1055"/>
      <c r="CX149" s="1150"/>
      <c r="CY149" s="1150"/>
      <c r="CZ149" s="412"/>
      <c r="DA149" s="412"/>
      <c r="DB149" s="412"/>
      <c r="DC149" s="412"/>
      <c r="DD149" s="412"/>
      <c r="DE149" s="412"/>
      <c r="DF149" s="412"/>
      <c r="DG149" s="412"/>
      <c r="DM149" s="290"/>
      <c r="DN149" s="290"/>
      <c r="DO149" s="290"/>
      <c r="DP149" s="290"/>
      <c r="DQ149" s="290"/>
    </row>
    <row r="150" spans="15:121" x14ac:dyDescent="0.2">
      <c r="BA150" s="277"/>
      <c r="BB150" s="277"/>
      <c r="BC150" s="293"/>
      <c r="BD150" s="293"/>
      <c r="CW150" s="1055"/>
      <c r="CX150" s="1150"/>
      <c r="CY150" s="1150"/>
      <c r="CZ150" s="412"/>
      <c r="DA150" s="412"/>
      <c r="DB150" s="412"/>
      <c r="DC150" s="412"/>
      <c r="DD150" s="412"/>
      <c r="DE150" s="412"/>
      <c r="DF150" s="412"/>
      <c r="DG150" s="412"/>
      <c r="DM150" s="290"/>
      <c r="DN150" s="290"/>
      <c r="DO150" s="290"/>
      <c r="DP150" s="290"/>
      <c r="DQ150" s="290"/>
    </row>
    <row r="151" spans="15:121" x14ac:dyDescent="0.2">
      <c r="BA151" s="277"/>
      <c r="BB151" s="277"/>
      <c r="BC151" s="293"/>
      <c r="BD151" s="293"/>
      <c r="CW151" s="1055"/>
      <c r="CX151" s="1150"/>
      <c r="CY151" s="1150"/>
      <c r="CZ151" s="412"/>
      <c r="DA151" s="412"/>
      <c r="DB151" s="412"/>
      <c r="DC151" s="412"/>
      <c r="DD151" s="412"/>
      <c r="DE151" s="412"/>
      <c r="DF151" s="412"/>
      <c r="DG151" s="412"/>
      <c r="DM151" s="290"/>
      <c r="DN151" s="290"/>
      <c r="DO151" s="290"/>
      <c r="DP151" s="290"/>
      <c r="DQ151" s="290"/>
    </row>
    <row r="152" spans="15:121" x14ac:dyDescent="0.2">
      <c r="BA152" s="277"/>
      <c r="BB152" s="277"/>
      <c r="BC152" s="293"/>
      <c r="BD152" s="293"/>
      <c r="CW152" s="1055"/>
      <c r="CX152" s="1150"/>
      <c r="CY152" s="1150"/>
      <c r="CZ152" s="412"/>
      <c r="DA152" s="412"/>
      <c r="DB152" s="412"/>
      <c r="DC152" s="412"/>
      <c r="DD152" s="412"/>
      <c r="DE152" s="412"/>
      <c r="DF152" s="412"/>
      <c r="DG152" s="412"/>
      <c r="DM152" s="290"/>
      <c r="DN152" s="290"/>
      <c r="DO152" s="290"/>
      <c r="DP152" s="290"/>
      <c r="DQ152" s="290"/>
    </row>
    <row r="153" spans="15:121" x14ac:dyDescent="0.2">
      <c r="BA153" s="277"/>
      <c r="BB153" s="277"/>
      <c r="BC153" s="293"/>
      <c r="BD153" s="293"/>
      <c r="CW153" s="1055"/>
      <c r="CX153" s="1150"/>
      <c r="CY153" s="1150"/>
      <c r="CZ153" s="412"/>
      <c r="DA153" s="412"/>
      <c r="DB153" s="412"/>
      <c r="DC153" s="412"/>
      <c r="DD153" s="412"/>
      <c r="DE153" s="412"/>
      <c r="DF153" s="412"/>
      <c r="DG153" s="412"/>
      <c r="DM153" s="290"/>
      <c r="DN153" s="290"/>
      <c r="DO153" s="290"/>
      <c r="DP153" s="290"/>
      <c r="DQ153" s="290"/>
    </row>
    <row r="154" spans="15:121" x14ac:dyDescent="0.2">
      <c r="BA154" s="277"/>
      <c r="BB154" s="277"/>
      <c r="BC154" s="293"/>
      <c r="BD154" s="293"/>
      <c r="CW154" s="1055"/>
      <c r="CX154" s="1150"/>
      <c r="CY154" s="1150"/>
      <c r="CZ154" s="412"/>
      <c r="DA154" s="412"/>
      <c r="DB154" s="412"/>
      <c r="DC154" s="412"/>
      <c r="DD154" s="412"/>
      <c r="DE154" s="412"/>
      <c r="DF154" s="412"/>
      <c r="DG154" s="412"/>
      <c r="DM154" s="290"/>
      <c r="DN154" s="290"/>
      <c r="DO154" s="290"/>
      <c r="DP154" s="290"/>
      <c r="DQ154" s="290"/>
    </row>
    <row r="155" spans="15:121" x14ac:dyDescent="0.2">
      <c r="BA155" s="277"/>
      <c r="BB155" s="277"/>
      <c r="BC155" s="293"/>
      <c r="BD155" s="293"/>
      <c r="CW155" s="1055"/>
      <c r="CX155" s="1150"/>
      <c r="CY155" s="1150"/>
      <c r="CZ155" s="412"/>
      <c r="DA155" s="412"/>
      <c r="DB155" s="412"/>
      <c r="DC155" s="412"/>
      <c r="DD155" s="412"/>
      <c r="DE155" s="412"/>
      <c r="DF155" s="412"/>
      <c r="DG155" s="412"/>
      <c r="DM155" s="290"/>
      <c r="DN155" s="290"/>
      <c r="DO155" s="290"/>
      <c r="DP155" s="290"/>
      <c r="DQ155" s="290"/>
    </row>
    <row r="156" spans="15:121" x14ac:dyDescent="0.2">
      <c r="BA156" s="277"/>
      <c r="BB156" s="277"/>
      <c r="BC156" s="293"/>
      <c r="BD156" s="293"/>
      <c r="CW156" s="1055"/>
      <c r="CX156" s="1150"/>
      <c r="CY156" s="1150"/>
      <c r="CZ156" s="412"/>
      <c r="DA156" s="412"/>
      <c r="DB156" s="412"/>
      <c r="DC156" s="412"/>
      <c r="DD156" s="412"/>
      <c r="DE156" s="412"/>
      <c r="DF156" s="412"/>
      <c r="DG156" s="412"/>
      <c r="DM156" s="290"/>
      <c r="DN156" s="290"/>
      <c r="DO156" s="290"/>
      <c r="DP156" s="290"/>
      <c r="DQ156" s="290"/>
    </row>
    <row r="157" spans="15:121" x14ac:dyDescent="0.2">
      <c r="BA157" s="277"/>
      <c r="BB157" s="277"/>
      <c r="BC157" s="293"/>
      <c r="BD157" s="293"/>
      <c r="CW157" s="1055"/>
      <c r="CX157" s="1150"/>
      <c r="CY157" s="1150"/>
      <c r="CZ157" s="412"/>
      <c r="DA157" s="412"/>
      <c r="DB157" s="412"/>
      <c r="DC157" s="412"/>
      <c r="DD157" s="412"/>
      <c r="DE157" s="412"/>
      <c r="DF157" s="412"/>
      <c r="DG157" s="412"/>
      <c r="DM157" s="290"/>
      <c r="DN157" s="290"/>
      <c r="DO157" s="290"/>
      <c r="DP157" s="290"/>
      <c r="DQ157" s="290"/>
    </row>
    <row r="158" spans="15:121" x14ac:dyDescent="0.2">
      <c r="BA158" s="277"/>
      <c r="BB158" s="277"/>
      <c r="BC158" s="293"/>
      <c r="BD158" s="293"/>
      <c r="CW158" s="1055"/>
      <c r="CX158" s="1150"/>
      <c r="CY158" s="1150"/>
      <c r="CZ158" s="412"/>
      <c r="DA158" s="412"/>
      <c r="DB158" s="412"/>
      <c r="DC158" s="412"/>
      <c r="DD158" s="412"/>
      <c r="DE158" s="412"/>
      <c r="DF158" s="412"/>
      <c r="DG158" s="412"/>
      <c r="DM158" s="290"/>
      <c r="DN158" s="290"/>
      <c r="DO158" s="290"/>
      <c r="DP158" s="290"/>
      <c r="DQ158" s="290"/>
    </row>
    <row r="159" spans="15:121" x14ac:dyDescent="0.2">
      <c r="BA159" s="277"/>
      <c r="BB159" s="277"/>
      <c r="BC159" s="293"/>
      <c r="BD159" s="293"/>
      <c r="CW159" s="1055"/>
      <c r="CX159" s="1150"/>
      <c r="CY159" s="1150"/>
      <c r="CZ159" s="412"/>
      <c r="DA159" s="412"/>
      <c r="DB159" s="412"/>
      <c r="DC159" s="412"/>
      <c r="DD159" s="412"/>
      <c r="DE159" s="412"/>
      <c r="DF159" s="412"/>
      <c r="DG159" s="412"/>
      <c r="DM159" s="290"/>
      <c r="DN159" s="290"/>
      <c r="DO159" s="290"/>
      <c r="DP159" s="290"/>
      <c r="DQ159" s="290"/>
    </row>
    <row r="160" spans="15:121" x14ac:dyDescent="0.2">
      <c r="BA160" s="277"/>
      <c r="BB160" s="277"/>
      <c r="BC160" s="293"/>
      <c r="BD160" s="293"/>
      <c r="CW160" s="1055"/>
      <c r="CX160" s="1150"/>
      <c r="CY160" s="1150"/>
      <c r="CZ160" s="412"/>
      <c r="DA160" s="412"/>
      <c r="DB160" s="412"/>
      <c r="DC160" s="412"/>
      <c r="DD160" s="412"/>
      <c r="DE160" s="412"/>
      <c r="DF160" s="412"/>
      <c r="DG160" s="412"/>
      <c r="DM160" s="290"/>
      <c r="DN160" s="290"/>
      <c r="DO160" s="290"/>
      <c r="DP160" s="290"/>
      <c r="DQ160" s="290"/>
    </row>
    <row r="161" spans="53:121" x14ac:dyDescent="0.2">
      <c r="BA161" s="277"/>
      <c r="BB161" s="277"/>
      <c r="BC161" s="293"/>
      <c r="BD161" s="293"/>
      <c r="CW161" s="1055"/>
      <c r="CX161" s="1150"/>
      <c r="CY161" s="1150"/>
      <c r="CZ161" s="412"/>
      <c r="DA161" s="412"/>
      <c r="DB161" s="412"/>
      <c r="DC161" s="412"/>
      <c r="DD161" s="412"/>
      <c r="DE161" s="412"/>
      <c r="DF161" s="412"/>
      <c r="DG161" s="412"/>
      <c r="DM161" s="290"/>
      <c r="DN161" s="290"/>
      <c r="DO161" s="290"/>
      <c r="DP161" s="290"/>
      <c r="DQ161" s="290"/>
    </row>
    <row r="162" spans="53:121" x14ac:dyDescent="0.2">
      <c r="BA162" s="277"/>
      <c r="BB162" s="277"/>
      <c r="BC162" s="293"/>
      <c r="BD162" s="293"/>
      <c r="CW162" s="1055"/>
      <c r="CX162" s="412"/>
      <c r="CY162" s="412"/>
      <c r="CZ162" s="412"/>
      <c r="DA162" s="412"/>
      <c r="DB162" s="412"/>
      <c r="DC162" s="412"/>
      <c r="DD162" s="412"/>
      <c r="DE162" s="412"/>
      <c r="DF162" s="412"/>
      <c r="DG162" s="412"/>
      <c r="DM162" s="290"/>
      <c r="DN162" s="290"/>
      <c r="DO162" s="290"/>
      <c r="DP162" s="290"/>
      <c r="DQ162" s="290"/>
    </row>
    <row r="163" spans="53:121" x14ac:dyDescent="0.2">
      <c r="BA163" s="277"/>
      <c r="BB163" s="277"/>
      <c r="BC163" s="293"/>
      <c r="BD163" s="293"/>
      <c r="CW163" s="1055"/>
      <c r="CX163" s="412"/>
      <c r="CY163" s="412"/>
      <c r="CZ163" s="412"/>
      <c r="DA163" s="412"/>
      <c r="DB163" s="412"/>
      <c r="DC163" s="412"/>
      <c r="DD163" s="412"/>
      <c r="DE163" s="412"/>
      <c r="DF163" s="412"/>
      <c r="DG163" s="412"/>
      <c r="DM163" s="290"/>
      <c r="DN163" s="290"/>
      <c r="DO163" s="290"/>
      <c r="DP163" s="290"/>
      <c r="DQ163" s="290"/>
    </row>
    <row r="164" spans="53:121" x14ac:dyDescent="0.2">
      <c r="BA164" s="277"/>
      <c r="BB164" s="277"/>
      <c r="BC164" s="293"/>
      <c r="BD164" s="293"/>
      <c r="CW164" s="1055"/>
      <c r="CX164" s="412"/>
      <c r="CY164" s="412"/>
      <c r="CZ164" s="412"/>
      <c r="DA164" s="412"/>
      <c r="DB164" s="412"/>
      <c r="DC164" s="412"/>
      <c r="DD164" s="412"/>
      <c r="DE164" s="412"/>
      <c r="DF164" s="412"/>
      <c r="DG164" s="412"/>
      <c r="DM164" s="290"/>
      <c r="DN164" s="290"/>
      <c r="DO164" s="290"/>
      <c r="DP164" s="290"/>
      <c r="DQ164" s="290"/>
    </row>
    <row r="165" spans="53:121" x14ac:dyDescent="0.2">
      <c r="BA165" s="277"/>
      <c r="BB165" s="277"/>
      <c r="BC165" s="293"/>
      <c r="BD165" s="293"/>
      <c r="CW165" s="1055"/>
      <c r="CX165" s="412"/>
      <c r="CY165" s="412"/>
      <c r="CZ165" s="412"/>
      <c r="DA165" s="412"/>
      <c r="DB165" s="412"/>
      <c r="DC165" s="412"/>
      <c r="DD165" s="412"/>
      <c r="DE165" s="412"/>
      <c r="DF165" s="412"/>
      <c r="DG165" s="412"/>
      <c r="DM165" s="290"/>
      <c r="DN165" s="290"/>
      <c r="DO165" s="290"/>
      <c r="DP165" s="290"/>
      <c r="DQ165" s="290"/>
    </row>
    <row r="166" spans="53:121" x14ac:dyDescent="0.2">
      <c r="BA166" s="277"/>
      <c r="BB166" s="277"/>
      <c r="BC166" s="293"/>
      <c r="BD166" s="293"/>
      <c r="CW166" s="1055"/>
      <c r="CX166" s="412"/>
      <c r="CY166" s="412"/>
      <c r="CZ166" s="412"/>
      <c r="DA166" s="412"/>
      <c r="DB166" s="412"/>
      <c r="DC166" s="412"/>
      <c r="DD166" s="412"/>
      <c r="DE166" s="412"/>
      <c r="DF166" s="412"/>
      <c r="DG166" s="412"/>
      <c r="DM166" s="290"/>
      <c r="DN166" s="290"/>
      <c r="DO166" s="290"/>
      <c r="DP166" s="290"/>
      <c r="DQ166" s="290"/>
    </row>
    <row r="167" spans="53:121" x14ac:dyDescent="0.2">
      <c r="BA167" s="277"/>
      <c r="BB167" s="277"/>
      <c r="BC167" s="293"/>
      <c r="BD167" s="293"/>
      <c r="CW167" s="1055"/>
      <c r="CX167" s="412"/>
      <c r="CY167" s="412"/>
      <c r="CZ167" s="412"/>
      <c r="DA167" s="412"/>
      <c r="DB167" s="412"/>
      <c r="DC167" s="412"/>
      <c r="DD167" s="412"/>
      <c r="DE167" s="412"/>
      <c r="DF167" s="412"/>
      <c r="DG167" s="412"/>
      <c r="DM167" s="290"/>
      <c r="DN167" s="290"/>
      <c r="DO167" s="290"/>
      <c r="DP167" s="290"/>
      <c r="DQ167" s="290"/>
    </row>
    <row r="168" spans="53:121" x14ac:dyDescent="0.2">
      <c r="BA168" s="277"/>
      <c r="BB168" s="277"/>
      <c r="BC168" s="293"/>
      <c r="BD168" s="293"/>
      <c r="CW168" s="1055"/>
      <c r="CX168" s="412"/>
      <c r="CY168" s="412"/>
      <c r="CZ168" s="412"/>
      <c r="DA168" s="412"/>
      <c r="DB168" s="412"/>
      <c r="DC168" s="412"/>
      <c r="DD168" s="412"/>
      <c r="DE168" s="412"/>
      <c r="DF168" s="412"/>
      <c r="DG168" s="412"/>
      <c r="DM168" s="290"/>
      <c r="DN168" s="290"/>
      <c r="DO168" s="290"/>
      <c r="DP168" s="290"/>
      <c r="DQ168" s="290"/>
    </row>
    <row r="169" spans="53:121" x14ac:dyDescent="0.2">
      <c r="CW169" s="1055"/>
      <c r="CX169" s="412"/>
      <c r="CY169" s="412"/>
      <c r="CZ169" s="412"/>
      <c r="DA169" s="412"/>
      <c r="DB169" s="412"/>
      <c r="DC169" s="412"/>
      <c r="DD169" s="412"/>
      <c r="DE169" s="412"/>
      <c r="DF169" s="412"/>
      <c r="DG169" s="412"/>
      <c r="DM169" s="290"/>
      <c r="DN169" s="290"/>
      <c r="DO169" s="290"/>
      <c r="DP169" s="290"/>
      <c r="DQ169" s="290"/>
    </row>
    <row r="170" spans="53:121" x14ac:dyDescent="0.2">
      <c r="BA170" s="1231"/>
      <c r="BB170" s="1231"/>
      <c r="BC170" s="1232"/>
      <c r="BD170" s="1232"/>
      <c r="CW170" s="1055"/>
      <c r="CX170" s="412"/>
      <c r="CY170" s="412"/>
      <c r="CZ170" s="412"/>
      <c r="DA170" s="412"/>
      <c r="DB170" s="412"/>
      <c r="DC170" s="412"/>
      <c r="DD170" s="412"/>
      <c r="DE170" s="412"/>
      <c r="DF170" s="412"/>
      <c r="DG170" s="412"/>
      <c r="DM170" s="290"/>
      <c r="DN170" s="290"/>
      <c r="DO170" s="290"/>
      <c r="DP170" s="290"/>
      <c r="DQ170" s="290"/>
    </row>
    <row r="171" spans="53:121" x14ac:dyDescent="0.2">
      <c r="BA171" s="58"/>
      <c r="BB171" s="58"/>
      <c r="BC171" s="291"/>
      <c r="BD171" s="291"/>
      <c r="CW171" s="1055"/>
      <c r="CX171" s="412"/>
      <c r="CY171" s="412"/>
      <c r="CZ171" s="412"/>
      <c r="DA171" s="412"/>
      <c r="DB171" s="412"/>
      <c r="DC171" s="412"/>
      <c r="DD171" s="412"/>
      <c r="DE171" s="412"/>
      <c r="DF171" s="412"/>
      <c r="DG171" s="412"/>
      <c r="DM171" s="290"/>
      <c r="DN171" s="290"/>
      <c r="DO171" s="290"/>
      <c r="DP171" s="290"/>
      <c r="DQ171" s="290"/>
    </row>
    <row r="172" spans="53:121" x14ac:dyDescent="0.2">
      <c r="BC172" s="292"/>
      <c r="BD172" s="292"/>
      <c r="CW172" s="1055"/>
      <c r="CX172" s="412"/>
      <c r="CY172" s="412"/>
      <c r="CZ172" s="412"/>
      <c r="DA172" s="412"/>
      <c r="DB172" s="412"/>
      <c r="DC172" s="412"/>
      <c r="DD172" s="412"/>
      <c r="DE172" s="412"/>
      <c r="DF172" s="412"/>
      <c r="DG172" s="412"/>
      <c r="DM172" s="290"/>
      <c r="DN172" s="290"/>
      <c r="DO172" s="290"/>
      <c r="DP172" s="290"/>
      <c r="DQ172" s="290"/>
    </row>
    <row r="173" spans="53:121" x14ac:dyDescent="0.2">
      <c r="BA173" s="277"/>
      <c r="BB173" s="277"/>
      <c r="BC173" s="293"/>
      <c r="BD173" s="293"/>
      <c r="CW173" s="1055"/>
      <c r="CX173" s="412"/>
      <c r="CY173" s="412"/>
      <c r="CZ173" s="412"/>
      <c r="DA173" s="412"/>
      <c r="DB173" s="412"/>
      <c r="DC173" s="412"/>
      <c r="DD173" s="412"/>
      <c r="DE173" s="412"/>
      <c r="DF173" s="412"/>
      <c r="DG173" s="412"/>
      <c r="DM173" s="290"/>
      <c r="DN173" s="290"/>
      <c r="DO173" s="290"/>
      <c r="DP173" s="290"/>
      <c r="DQ173" s="290"/>
    </row>
    <row r="174" spans="53:121" x14ac:dyDescent="0.2">
      <c r="BA174" s="277"/>
      <c r="BB174" s="277"/>
      <c r="BC174" s="293"/>
      <c r="BD174" s="293"/>
      <c r="CW174" s="1055"/>
      <c r="CX174" s="412"/>
      <c r="CY174" s="412"/>
      <c r="CZ174" s="412"/>
      <c r="DA174" s="412"/>
      <c r="DB174" s="412"/>
      <c r="DC174" s="412"/>
      <c r="DD174" s="412"/>
      <c r="DE174" s="412"/>
      <c r="DF174" s="412"/>
      <c r="DG174" s="412"/>
      <c r="DM174" s="290"/>
      <c r="DN174" s="290"/>
      <c r="DO174" s="290"/>
      <c r="DP174" s="290"/>
      <c r="DQ174" s="290"/>
    </row>
    <row r="175" spans="53:121" x14ac:dyDescent="0.2">
      <c r="BA175" s="277"/>
      <c r="BB175" s="277"/>
      <c r="BC175" s="293"/>
      <c r="BD175" s="293"/>
      <c r="CW175" s="1055"/>
      <c r="CX175" s="412"/>
      <c r="CY175" s="412"/>
      <c r="CZ175" s="412"/>
      <c r="DA175" s="412"/>
      <c r="DB175" s="412"/>
      <c r="DC175" s="412"/>
      <c r="DD175" s="412"/>
      <c r="DE175" s="412"/>
      <c r="DF175" s="412"/>
      <c r="DG175" s="412"/>
      <c r="DM175" s="290"/>
      <c r="DN175" s="290"/>
      <c r="DO175" s="290"/>
      <c r="DP175" s="290"/>
      <c r="DQ175" s="290"/>
    </row>
    <row r="176" spans="53:121" x14ac:dyDescent="0.2">
      <c r="BA176" s="277"/>
      <c r="BB176" s="277"/>
      <c r="BC176" s="293"/>
      <c r="BD176" s="293"/>
      <c r="CW176" s="1055"/>
      <c r="CX176" s="412"/>
      <c r="CY176" s="412"/>
      <c r="CZ176" s="412"/>
      <c r="DA176" s="412"/>
      <c r="DB176" s="412"/>
      <c r="DC176" s="412"/>
      <c r="DD176" s="412"/>
      <c r="DE176" s="412"/>
      <c r="DF176" s="412"/>
      <c r="DG176" s="412"/>
      <c r="DM176" s="290"/>
      <c r="DN176" s="290"/>
      <c r="DO176" s="290"/>
      <c r="DP176" s="290"/>
      <c r="DQ176" s="290"/>
    </row>
    <row r="177" spans="24:121" x14ac:dyDescent="0.2">
      <c r="X177" s="290"/>
      <c r="BA177" s="277"/>
      <c r="BB177" s="277"/>
      <c r="BC177" s="293"/>
      <c r="BD177" s="293"/>
      <c r="CW177" s="1055"/>
      <c r="CX177" s="412"/>
      <c r="CY177" s="412"/>
      <c r="CZ177" s="412"/>
      <c r="DA177" s="412"/>
      <c r="DB177" s="412"/>
      <c r="DC177" s="412"/>
      <c r="DD177" s="412"/>
      <c r="DE177" s="412"/>
      <c r="DF177" s="412"/>
      <c r="DG177" s="412"/>
      <c r="DM177" s="290"/>
      <c r="DN177" s="290"/>
      <c r="DO177" s="290"/>
      <c r="DP177" s="290"/>
      <c r="DQ177" s="290"/>
    </row>
    <row r="178" spans="24:121" x14ac:dyDescent="0.2">
      <c r="BA178" s="277"/>
      <c r="BB178" s="277"/>
      <c r="BC178" s="293"/>
      <c r="BD178" s="293"/>
      <c r="CW178" s="1055"/>
      <c r="CX178" s="412"/>
      <c r="CY178" s="412"/>
      <c r="CZ178" s="412"/>
      <c r="DA178" s="412"/>
      <c r="DB178" s="412"/>
      <c r="DC178" s="412"/>
      <c r="DD178" s="412"/>
      <c r="DE178" s="412"/>
      <c r="DF178" s="412"/>
      <c r="DG178" s="412"/>
      <c r="DM178" s="290"/>
      <c r="DN178" s="290"/>
      <c r="DO178" s="290"/>
      <c r="DP178" s="290"/>
      <c r="DQ178" s="290"/>
    </row>
    <row r="179" spans="24:121" x14ac:dyDescent="0.2">
      <c r="BA179" s="277"/>
      <c r="BB179" s="277"/>
      <c r="BC179" s="293"/>
      <c r="BD179" s="293"/>
      <c r="CW179" s="1055"/>
      <c r="CX179" s="412"/>
      <c r="CY179" s="412"/>
      <c r="CZ179" s="412"/>
      <c r="DA179" s="412"/>
      <c r="DB179" s="412"/>
      <c r="DC179" s="412"/>
      <c r="DD179" s="412"/>
      <c r="DE179" s="412"/>
      <c r="DF179" s="412"/>
      <c r="DG179" s="412"/>
      <c r="DM179" s="290"/>
      <c r="DN179" s="290"/>
      <c r="DO179" s="290"/>
      <c r="DP179" s="290"/>
      <c r="DQ179" s="290"/>
    </row>
    <row r="180" spans="24:121" x14ac:dyDescent="0.2">
      <c r="BA180" s="277"/>
      <c r="BB180" s="277"/>
      <c r="BC180" s="293"/>
      <c r="BD180" s="293"/>
      <c r="CW180" s="1055"/>
      <c r="CX180" s="412"/>
      <c r="CY180" s="412"/>
      <c r="CZ180" s="412"/>
      <c r="DA180" s="412"/>
      <c r="DB180" s="412"/>
      <c r="DC180" s="412"/>
      <c r="DD180" s="412"/>
      <c r="DE180" s="412"/>
      <c r="DF180" s="412"/>
      <c r="DG180" s="412"/>
      <c r="DM180" s="290"/>
      <c r="DN180" s="290"/>
      <c r="DO180" s="290"/>
      <c r="DP180" s="290"/>
      <c r="DQ180" s="290"/>
    </row>
    <row r="181" spans="24:121" x14ac:dyDescent="0.2">
      <c r="BA181" s="277"/>
      <c r="BB181" s="277"/>
      <c r="BC181" s="293"/>
      <c r="BD181" s="293"/>
      <c r="CW181" s="1055"/>
      <c r="CX181" s="412"/>
      <c r="CY181" s="412"/>
      <c r="CZ181" s="412"/>
      <c r="DA181" s="412"/>
      <c r="DB181" s="412"/>
      <c r="DC181" s="412"/>
      <c r="DD181" s="412"/>
      <c r="DE181" s="412"/>
      <c r="DF181" s="412"/>
      <c r="DG181" s="412"/>
      <c r="DM181" s="290"/>
      <c r="DN181" s="290"/>
      <c r="DO181" s="290"/>
      <c r="DP181" s="290"/>
      <c r="DQ181" s="290"/>
    </row>
    <row r="182" spans="24:121" x14ac:dyDescent="0.2">
      <c r="BA182" s="277"/>
      <c r="BB182" s="277"/>
      <c r="BC182" s="293"/>
      <c r="BD182" s="293"/>
      <c r="CW182" s="1055"/>
      <c r="CX182" s="412"/>
      <c r="CY182" s="412"/>
      <c r="CZ182" s="412"/>
      <c r="DA182" s="412"/>
      <c r="DB182" s="412"/>
      <c r="DC182" s="412"/>
      <c r="DD182" s="412"/>
      <c r="DE182" s="412"/>
      <c r="DF182" s="412"/>
      <c r="DG182" s="412"/>
      <c r="DM182" s="290"/>
      <c r="DN182" s="290"/>
      <c r="DO182" s="290"/>
      <c r="DP182" s="290"/>
      <c r="DQ182" s="290"/>
    </row>
    <row r="183" spans="24:121" x14ac:dyDescent="0.2">
      <c r="BA183" s="277"/>
      <c r="BB183" s="277"/>
      <c r="BC183" s="293"/>
      <c r="BD183" s="293"/>
      <c r="CW183" s="1055"/>
      <c r="CX183" s="412"/>
      <c r="CY183" s="412"/>
      <c r="CZ183" s="412"/>
      <c r="DA183" s="412"/>
      <c r="DB183" s="412"/>
      <c r="DC183" s="412"/>
      <c r="DD183" s="412"/>
      <c r="DE183" s="412"/>
      <c r="DF183" s="412"/>
      <c r="DG183" s="412"/>
      <c r="DM183" s="290"/>
      <c r="DN183" s="290"/>
      <c r="DO183" s="290"/>
      <c r="DP183" s="290"/>
      <c r="DQ183" s="290"/>
    </row>
    <row r="184" spans="24:121" x14ac:dyDescent="0.2">
      <c r="BA184" s="277"/>
      <c r="BB184" s="277"/>
      <c r="BC184" s="293"/>
      <c r="BD184" s="293"/>
      <c r="CW184" s="1055"/>
      <c r="CX184" s="412"/>
      <c r="CY184" s="412"/>
      <c r="CZ184" s="412"/>
      <c r="DA184" s="412"/>
      <c r="DB184" s="412"/>
      <c r="DC184" s="412"/>
      <c r="DD184" s="412"/>
      <c r="DE184" s="412"/>
      <c r="DF184" s="412"/>
      <c r="DG184" s="412"/>
      <c r="DM184" s="290"/>
      <c r="DN184" s="290"/>
      <c r="DO184" s="290"/>
      <c r="DP184" s="290"/>
      <c r="DQ184" s="290"/>
    </row>
    <row r="185" spans="24:121" x14ac:dyDescent="0.2">
      <c r="BA185" s="277"/>
      <c r="BB185" s="277"/>
      <c r="BC185" s="293"/>
      <c r="BD185" s="293"/>
      <c r="CW185" s="1055"/>
      <c r="CX185" s="412"/>
      <c r="CY185" s="412"/>
      <c r="CZ185" s="412"/>
      <c r="DA185" s="412"/>
      <c r="DB185" s="412"/>
      <c r="DC185" s="412"/>
      <c r="DD185" s="412"/>
      <c r="DE185" s="412"/>
      <c r="DF185" s="412"/>
      <c r="DG185" s="412"/>
      <c r="DM185" s="290"/>
      <c r="DN185" s="290"/>
      <c r="DO185" s="290"/>
      <c r="DP185" s="290"/>
      <c r="DQ185" s="290"/>
    </row>
    <row r="186" spans="24:121" x14ac:dyDescent="0.2">
      <c r="BA186" s="277"/>
      <c r="BB186" s="277"/>
      <c r="BC186" s="293"/>
      <c r="BD186" s="293"/>
      <c r="CW186" s="1055"/>
      <c r="CX186" s="412"/>
      <c r="CY186" s="412"/>
      <c r="CZ186" s="412"/>
      <c r="DA186" s="412"/>
      <c r="DB186" s="412"/>
      <c r="DC186" s="412"/>
      <c r="DD186" s="412"/>
      <c r="DE186" s="412"/>
      <c r="DF186" s="412"/>
      <c r="DG186" s="412"/>
      <c r="DM186" s="290"/>
      <c r="DN186" s="290"/>
      <c r="DO186" s="290"/>
      <c r="DP186" s="290"/>
      <c r="DQ186" s="290"/>
    </row>
    <row r="187" spans="24:121" x14ac:dyDescent="0.2">
      <c r="BA187" s="277"/>
      <c r="BB187" s="277"/>
      <c r="BC187" s="293"/>
      <c r="BD187" s="293"/>
      <c r="CW187" s="1055"/>
      <c r="CX187" s="412"/>
      <c r="CY187" s="412"/>
      <c r="CZ187" s="412"/>
      <c r="DA187" s="412"/>
      <c r="DB187" s="412"/>
      <c r="DC187" s="412"/>
      <c r="DD187" s="412"/>
      <c r="DE187" s="412"/>
      <c r="DF187" s="412"/>
      <c r="DG187" s="412"/>
      <c r="DM187" s="290"/>
      <c r="DN187" s="290"/>
      <c r="DO187" s="290"/>
      <c r="DP187" s="290"/>
      <c r="DQ187" s="290"/>
    </row>
    <row r="188" spans="24:121" x14ac:dyDescent="0.2">
      <c r="BA188" s="277"/>
      <c r="BB188" s="277"/>
      <c r="BC188" s="293"/>
      <c r="BD188" s="293"/>
      <c r="CW188" s="1055"/>
      <c r="CX188" s="412"/>
      <c r="CY188" s="412"/>
      <c r="CZ188" s="412"/>
      <c r="DA188" s="412"/>
      <c r="DB188" s="412"/>
      <c r="DC188" s="412"/>
      <c r="DD188" s="412"/>
      <c r="DE188" s="412"/>
      <c r="DF188" s="412"/>
      <c r="DG188" s="412"/>
      <c r="DM188" s="290"/>
      <c r="DN188" s="290"/>
      <c r="DO188" s="290"/>
      <c r="DP188" s="290"/>
      <c r="DQ188" s="290"/>
    </row>
    <row r="189" spans="24:121" x14ac:dyDescent="0.2">
      <c r="BA189" s="277"/>
      <c r="BB189" s="277"/>
      <c r="BC189" s="293"/>
      <c r="BD189" s="293"/>
      <c r="CW189" s="1055"/>
      <c r="CX189" s="412"/>
      <c r="CY189" s="412"/>
      <c r="CZ189" s="412"/>
      <c r="DA189" s="412"/>
      <c r="DB189" s="412"/>
      <c r="DC189" s="412"/>
      <c r="DD189" s="412"/>
      <c r="DE189" s="412"/>
      <c r="DF189" s="412"/>
      <c r="DG189" s="412"/>
      <c r="DM189" s="290"/>
      <c r="DN189" s="290"/>
      <c r="DO189" s="290"/>
      <c r="DP189" s="290"/>
      <c r="DQ189" s="290"/>
    </row>
    <row r="190" spans="24:121" x14ac:dyDescent="0.2">
      <c r="BA190" s="277"/>
      <c r="BB190" s="277"/>
      <c r="BC190" s="293"/>
      <c r="BD190" s="293"/>
      <c r="CW190" s="1055"/>
      <c r="CX190" s="412"/>
      <c r="CY190" s="412"/>
      <c r="CZ190" s="412"/>
      <c r="DA190" s="412"/>
      <c r="DB190" s="412"/>
      <c r="DC190" s="412"/>
      <c r="DD190" s="412"/>
      <c r="DE190" s="412"/>
      <c r="DF190" s="412"/>
      <c r="DG190" s="412"/>
      <c r="DM190" s="290"/>
      <c r="DN190" s="290"/>
      <c r="DO190" s="290"/>
      <c r="DP190" s="290"/>
      <c r="DQ190" s="290"/>
    </row>
    <row r="191" spans="24:121" x14ac:dyDescent="0.2">
      <c r="BA191" s="277"/>
      <c r="BB191" s="277"/>
      <c r="BC191" s="293"/>
      <c r="BD191" s="293"/>
      <c r="CW191" s="1055"/>
      <c r="CX191" s="412"/>
      <c r="CY191" s="412"/>
      <c r="CZ191" s="412"/>
      <c r="DA191" s="412"/>
      <c r="DB191" s="412"/>
      <c r="DC191" s="412"/>
      <c r="DD191" s="412"/>
      <c r="DE191" s="412"/>
      <c r="DF191" s="412"/>
      <c r="DG191" s="412"/>
      <c r="DM191" s="290"/>
      <c r="DN191" s="290"/>
      <c r="DO191" s="290"/>
      <c r="DP191" s="290"/>
      <c r="DQ191" s="290"/>
    </row>
    <row r="192" spans="24:121" x14ac:dyDescent="0.2">
      <c r="BA192" s="277"/>
      <c r="BB192" s="277"/>
      <c r="BC192" s="293"/>
      <c r="BD192" s="293"/>
      <c r="CW192" s="1055"/>
      <c r="CX192" s="412"/>
      <c r="CY192" s="412"/>
      <c r="CZ192" s="412"/>
      <c r="DA192" s="412"/>
      <c r="DB192" s="412"/>
      <c r="DC192" s="412"/>
      <c r="DD192" s="412"/>
      <c r="DE192" s="412"/>
      <c r="DF192" s="412"/>
      <c r="DG192" s="412"/>
      <c r="DM192" s="290"/>
      <c r="DN192" s="290"/>
      <c r="DO192" s="290"/>
      <c r="DP192" s="290"/>
      <c r="DQ192" s="290"/>
    </row>
    <row r="193" spans="53:121" x14ac:dyDescent="0.2">
      <c r="BA193" s="277"/>
      <c r="BB193" s="277"/>
      <c r="BC193" s="293"/>
      <c r="BD193" s="293"/>
      <c r="CW193" s="1055"/>
      <c r="CX193" s="412"/>
      <c r="CY193" s="412"/>
      <c r="CZ193" s="412"/>
      <c r="DA193" s="412"/>
      <c r="DB193" s="412"/>
      <c r="DC193" s="412"/>
      <c r="DD193" s="412"/>
      <c r="DE193" s="412"/>
      <c r="DF193" s="412"/>
      <c r="DG193" s="412"/>
      <c r="DM193" s="290"/>
      <c r="DN193" s="290"/>
      <c r="DO193" s="290"/>
      <c r="DP193" s="290"/>
      <c r="DQ193" s="290"/>
    </row>
    <row r="194" spans="53:121" x14ac:dyDescent="0.2">
      <c r="CW194" s="1055"/>
      <c r="CX194" s="412"/>
      <c r="CY194" s="412"/>
      <c r="CZ194" s="412"/>
      <c r="DA194" s="412"/>
      <c r="DB194" s="412"/>
      <c r="DC194" s="412"/>
      <c r="DD194" s="412"/>
      <c r="DE194" s="412"/>
      <c r="DF194" s="412"/>
      <c r="DG194" s="412"/>
      <c r="DM194" s="290"/>
      <c r="DN194" s="290"/>
      <c r="DO194" s="290"/>
      <c r="DP194" s="290"/>
      <c r="DQ194" s="290"/>
    </row>
    <row r="195" spans="53:121" x14ac:dyDescent="0.2">
      <c r="CW195" s="1055"/>
      <c r="CX195" s="412"/>
      <c r="CY195" s="412"/>
      <c r="CZ195" s="412"/>
      <c r="DA195" s="412"/>
      <c r="DB195" s="412"/>
      <c r="DC195" s="412"/>
      <c r="DD195" s="412"/>
      <c r="DE195" s="412"/>
      <c r="DF195" s="412"/>
      <c r="DG195" s="412"/>
      <c r="DM195" s="290"/>
      <c r="DN195" s="290"/>
      <c r="DO195" s="290"/>
      <c r="DP195" s="290"/>
      <c r="DQ195" s="290"/>
    </row>
    <row r="196" spans="53:121" x14ac:dyDescent="0.2">
      <c r="CW196" s="1055"/>
      <c r="CX196" s="412"/>
      <c r="CY196" s="412"/>
      <c r="CZ196" s="412"/>
      <c r="DA196" s="412"/>
      <c r="DB196" s="412"/>
      <c r="DC196" s="412"/>
      <c r="DD196" s="412"/>
      <c r="DE196" s="412"/>
      <c r="DF196" s="412"/>
      <c r="DG196" s="412"/>
      <c r="DM196" s="290"/>
      <c r="DN196" s="290"/>
      <c r="DO196" s="290"/>
      <c r="DP196" s="290"/>
      <c r="DQ196" s="290"/>
    </row>
    <row r="197" spans="53:121" x14ac:dyDescent="0.2">
      <c r="CW197" s="1055"/>
      <c r="CX197" s="412"/>
      <c r="CY197" s="412"/>
      <c r="CZ197" s="412"/>
      <c r="DA197" s="412"/>
      <c r="DB197" s="412"/>
      <c r="DC197" s="412"/>
      <c r="DD197" s="412"/>
      <c r="DE197" s="412"/>
      <c r="DF197" s="412"/>
      <c r="DG197" s="412"/>
      <c r="DM197" s="290"/>
      <c r="DN197" s="290"/>
      <c r="DO197" s="290"/>
      <c r="DP197" s="290"/>
      <c r="DQ197" s="290"/>
    </row>
    <row r="198" spans="53:121" x14ac:dyDescent="0.2">
      <c r="BA198" s="1231"/>
      <c r="BB198" s="1231"/>
      <c r="BC198" s="1232"/>
      <c r="BD198" s="1232"/>
      <c r="CW198" s="1055"/>
      <c r="CX198" s="412"/>
      <c r="CY198" s="412"/>
      <c r="CZ198" s="412"/>
      <c r="DA198" s="412"/>
      <c r="DB198" s="412"/>
      <c r="DC198" s="412"/>
      <c r="DD198" s="412"/>
      <c r="DE198" s="412"/>
      <c r="DF198" s="412"/>
      <c r="DG198" s="412"/>
      <c r="DM198" s="290"/>
      <c r="DN198" s="290"/>
      <c r="DO198" s="290"/>
      <c r="DP198" s="290"/>
      <c r="DQ198" s="290"/>
    </row>
    <row r="199" spans="53:121" x14ac:dyDescent="0.2">
      <c r="BA199" s="58"/>
      <c r="BB199" s="58"/>
      <c r="BC199" s="291"/>
      <c r="BD199" s="291"/>
      <c r="CW199" s="1055"/>
      <c r="CX199" s="412"/>
      <c r="CY199" s="412"/>
      <c r="CZ199" s="412"/>
      <c r="DA199" s="412"/>
      <c r="DB199" s="412"/>
      <c r="DC199" s="412"/>
      <c r="DD199" s="412"/>
      <c r="DE199" s="412"/>
      <c r="DF199" s="412"/>
      <c r="DG199" s="412"/>
      <c r="DM199" s="290"/>
      <c r="DN199" s="290"/>
      <c r="DO199" s="290"/>
      <c r="DP199" s="290"/>
      <c r="DQ199" s="290"/>
    </row>
    <row r="200" spans="53:121" x14ac:dyDescent="0.2">
      <c r="BC200" s="292"/>
      <c r="BD200" s="292"/>
      <c r="CW200" s="1055"/>
      <c r="CX200" s="412"/>
      <c r="CY200" s="412"/>
      <c r="CZ200" s="412"/>
      <c r="DA200" s="412"/>
      <c r="DB200" s="412"/>
      <c r="DC200" s="412"/>
      <c r="DD200" s="412"/>
      <c r="DE200" s="412"/>
      <c r="DF200" s="412"/>
      <c r="DG200" s="412"/>
      <c r="DM200" s="290"/>
      <c r="DN200" s="290"/>
      <c r="DO200" s="290"/>
      <c r="DP200" s="290"/>
      <c r="DQ200" s="290"/>
    </row>
    <row r="201" spans="53:121" x14ac:dyDescent="0.2">
      <c r="BA201" s="277"/>
      <c r="BB201" s="277"/>
      <c r="BC201" s="293"/>
      <c r="BD201" s="293"/>
      <c r="CW201" s="1055"/>
      <c r="CX201" s="412"/>
      <c r="CY201" s="412"/>
      <c r="CZ201" s="412"/>
      <c r="DA201" s="412"/>
      <c r="DB201" s="412"/>
      <c r="DC201" s="412"/>
      <c r="DD201" s="412"/>
      <c r="DE201" s="412"/>
      <c r="DF201" s="412"/>
      <c r="DG201" s="412"/>
      <c r="DM201" s="290"/>
      <c r="DN201" s="290"/>
      <c r="DO201" s="290"/>
      <c r="DP201" s="290"/>
      <c r="DQ201" s="290"/>
    </row>
    <row r="202" spans="53:121" x14ac:dyDescent="0.2">
      <c r="BA202" s="277"/>
      <c r="BB202" s="277"/>
      <c r="BC202" s="293"/>
      <c r="BD202" s="293"/>
      <c r="CW202" s="1055"/>
      <c r="CX202" s="412"/>
      <c r="CY202" s="412"/>
      <c r="CZ202" s="412"/>
      <c r="DA202" s="412"/>
      <c r="DB202" s="412"/>
      <c r="DC202" s="412"/>
      <c r="DD202" s="412"/>
      <c r="DE202" s="412"/>
      <c r="DF202" s="412"/>
      <c r="DG202" s="412"/>
      <c r="DM202" s="290"/>
      <c r="DN202" s="290"/>
      <c r="DO202" s="290"/>
      <c r="DP202" s="290"/>
      <c r="DQ202" s="290"/>
    </row>
    <row r="203" spans="53:121" x14ac:dyDescent="0.2">
      <c r="BA203" s="277"/>
      <c r="BB203" s="277"/>
      <c r="BC203" s="293"/>
      <c r="BD203" s="293"/>
      <c r="CW203" s="1055"/>
      <c r="CX203" s="412"/>
      <c r="CY203" s="412"/>
      <c r="CZ203" s="412"/>
      <c r="DA203" s="412"/>
      <c r="DB203" s="412"/>
      <c r="DC203" s="412"/>
      <c r="DD203" s="412"/>
      <c r="DE203" s="412"/>
      <c r="DF203" s="412"/>
      <c r="DG203" s="412"/>
      <c r="DM203" s="290"/>
      <c r="DN203" s="290"/>
      <c r="DO203" s="290"/>
      <c r="DP203" s="290"/>
      <c r="DQ203" s="290"/>
    </row>
    <row r="204" spans="53:121" x14ac:dyDescent="0.2">
      <c r="BA204" s="277"/>
      <c r="BB204" s="277"/>
      <c r="BC204" s="293"/>
      <c r="BD204" s="293"/>
      <c r="CW204" s="1055"/>
      <c r="CX204" s="412"/>
      <c r="CY204" s="412"/>
      <c r="CZ204" s="412"/>
      <c r="DA204" s="412"/>
      <c r="DB204" s="412"/>
      <c r="DC204" s="412"/>
      <c r="DD204" s="412"/>
      <c r="DE204" s="412"/>
      <c r="DF204" s="412"/>
      <c r="DG204" s="412"/>
      <c r="DM204" s="290"/>
      <c r="DN204" s="290"/>
      <c r="DO204" s="290"/>
      <c r="DP204" s="290"/>
      <c r="DQ204" s="290"/>
    </row>
    <row r="205" spans="53:121" x14ac:dyDescent="0.2">
      <c r="BA205" s="277"/>
      <c r="BB205" s="277"/>
      <c r="BC205" s="293"/>
      <c r="BD205" s="293"/>
      <c r="CW205" s="1055"/>
      <c r="CX205" s="412"/>
      <c r="CY205" s="412"/>
      <c r="CZ205" s="412"/>
      <c r="DA205" s="412"/>
      <c r="DB205" s="412"/>
      <c r="DC205" s="412"/>
      <c r="DD205" s="412"/>
      <c r="DE205" s="412"/>
      <c r="DF205" s="412"/>
      <c r="DG205" s="412"/>
      <c r="DM205" s="290"/>
      <c r="DN205" s="290"/>
      <c r="DO205" s="290"/>
      <c r="DP205" s="290"/>
      <c r="DQ205" s="290"/>
    </row>
    <row r="206" spans="53:121" x14ac:dyDescent="0.2">
      <c r="BA206" s="277"/>
      <c r="BB206" s="277"/>
      <c r="BC206" s="293"/>
      <c r="BD206" s="293"/>
      <c r="CW206" s="1055"/>
      <c r="CX206" s="412"/>
      <c r="CY206" s="412"/>
      <c r="CZ206" s="412"/>
      <c r="DA206" s="412"/>
      <c r="DB206" s="412"/>
      <c r="DC206" s="412"/>
      <c r="DD206" s="412"/>
      <c r="DE206" s="412"/>
      <c r="DF206" s="412"/>
      <c r="DG206" s="412"/>
      <c r="DM206" s="290"/>
      <c r="DN206" s="290"/>
      <c r="DO206" s="290"/>
      <c r="DP206" s="290"/>
      <c r="DQ206" s="290"/>
    </row>
    <row r="207" spans="53:121" x14ac:dyDescent="0.2">
      <c r="BA207" s="277"/>
      <c r="BB207" s="277"/>
      <c r="BC207" s="293"/>
      <c r="BD207" s="293"/>
      <c r="CW207" s="1055"/>
      <c r="CX207" s="412"/>
      <c r="CY207" s="412"/>
      <c r="CZ207" s="412"/>
      <c r="DA207" s="412"/>
      <c r="DB207" s="412"/>
      <c r="DC207" s="412"/>
      <c r="DD207" s="412"/>
      <c r="DE207" s="412"/>
      <c r="DF207" s="412"/>
      <c r="DG207" s="412"/>
      <c r="DM207" s="290"/>
      <c r="DN207" s="290"/>
      <c r="DO207" s="290"/>
      <c r="DP207" s="290"/>
      <c r="DQ207" s="290"/>
    </row>
    <row r="208" spans="53:121" x14ac:dyDescent="0.2">
      <c r="BA208" s="277"/>
      <c r="BB208" s="277"/>
      <c r="BC208" s="293"/>
      <c r="BD208" s="293"/>
      <c r="CW208" s="1055"/>
      <c r="CX208" s="412"/>
      <c r="CY208" s="412"/>
      <c r="CZ208" s="412"/>
      <c r="DA208" s="412"/>
      <c r="DB208" s="412"/>
      <c r="DC208" s="412"/>
      <c r="DD208" s="412"/>
      <c r="DE208" s="412"/>
      <c r="DF208" s="412"/>
      <c r="DG208" s="412"/>
    </row>
    <row r="209" spans="53:111" x14ac:dyDescent="0.2">
      <c r="BA209" s="277"/>
      <c r="BB209" s="277"/>
      <c r="BC209" s="293"/>
      <c r="BD209" s="293"/>
      <c r="CW209" s="1055"/>
      <c r="CX209" s="412"/>
      <c r="CY209" s="412"/>
      <c r="CZ209" s="412"/>
      <c r="DA209" s="412"/>
      <c r="DB209" s="412"/>
      <c r="DC209" s="412"/>
      <c r="DD209" s="412"/>
      <c r="DE209" s="412"/>
      <c r="DF209" s="412"/>
      <c r="DG209" s="412"/>
    </row>
    <row r="210" spans="53:111" x14ac:dyDescent="0.2">
      <c r="BA210" s="277"/>
      <c r="BB210" s="277"/>
      <c r="BC210" s="293"/>
      <c r="BD210" s="293"/>
      <c r="CW210" s="1055"/>
      <c r="CX210" s="412"/>
      <c r="CY210" s="412"/>
      <c r="CZ210" s="412"/>
      <c r="DA210" s="412"/>
      <c r="DB210" s="412"/>
      <c r="DC210" s="412"/>
      <c r="DD210" s="412"/>
      <c r="DE210" s="412"/>
      <c r="DF210" s="412"/>
      <c r="DG210" s="412"/>
    </row>
    <row r="211" spans="53:111" x14ac:dyDescent="0.2">
      <c r="BA211" s="277"/>
      <c r="BB211" s="277"/>
      <c r="BC211" s="293"/>
      <c r="BD211" s="293"/>
      <c r="CW211" s="1055"/>
      <c r="CX211" s="412"/>
      <c r="CY211" s="412"/>
      <c r="CZ211" s="412"/>
      <c r="DA211" s="412"/>
      <c r="DB211" s="412"/>
      <c r="DC211" s="412"/>
      <c r="DD211" s="412"/>
      <c r="DE211" s="412"/>
      <c r="DF211" s="412"/>
      <c r="DG211" s="412"/>
    </row>
    <row r="212" spans="53:111" x14ac:dyDescent="0.2">
      <c r="BA212" s="277"/>
      <c r="BB212" s="277"/>
      <c r="BC212" s="293"/>
      <c r="BD212" s="293"/>
      <c r="CW212" s="1055"/>
      <c r="CX212" s="412"/>
      <c r="CY212" s="412"/>
      <c r="CZ212" s="412"/>
      <c r="DA212" s="412"/>
      <c r="DB212" s="412"/>
      <c r="DC212" s="412"/>
      <c r="DD212" s="412"/>
      <c r="DE212" s="412"/>
      <c r="DF212" s="412"/>
      <c r="DG212" s="412"/>
    </row>
    <row r="213" spans="53:111" x14ac:dyDescent="0.2">
      <c r="BA213" s="277"/>
      <c r="BB213" s="277"/>
      <c r="BC213" s="293"/>
      <c r="BD213" s="293"/>
      <c r="CW213" s="1055"/>
      <c r="CX213" s="412"/>
      <c r="CY213" s="412"/>
      <c r="CZ213" s="412"/>
      <c r="DA213" s="412"/>
      <c r="DB213" s="412"/>
      <c r="DC213" s="412"/>
      <c r="DD213" s="412"/>
      <c r="DE213" s="412"/>
      <c r="DF213" s="412"/>
      <c r="DG213" s="412"/>
    </row>
    <row r="214" spans="53:111" x14ac:dyDescent="0.2">
      <c r="BA214" s="277"/>
      <c r="BB214" s="277"/>
      <c r="BC214" s="293"/>
      <c r="BD214" s="293"/>
      <c r="CW214" s="1055"/>
      <c r="CX214" s="412"/>
      <c r="CY214" s="412"/>
      <c r="CZ214" s="412"/>
      <c r="DA214" s="412"/>
      <c r="DB214" s="412"/>
      <c r="DC214" s="412"/>
      <c r="DD214" s="412"/>
      <c r="DE214" s="412"/>
      <c r="DF214" s="412"/>
      <c r="DG214" s="412"/>
    </row>
    <row r="215" spans="53:111" x14ac:dyDescent="0.2">
      <c r="BA215" s="277"/>
      <c r="BB215" s="277"/>
      <c r="BC215" s="293"/>
      <c r="BD215" s="293"/>
      <c r="CW215" s="1055"/>
      <c r="CX215" s="412"/>
      <c r="CY215" s="412"/>
      <c r="CZ215" s="412"/>
      <c r="DA215" s="412"/>
      <c r="DB215" s="412"/>
      <c r="DC215" s="412"/>
      <c r="DD215" s="412"/>
      <c r="DE215" s="412"/>
      <c r="DF215" s="412"/>
      <c r="DG215" s="412"/>
    </row>
    <row r="216" spans="53:111" x14ac:dyDescent="0.2">
      <c r="BA216" s="277"/>
      <c r="BB216" s="277"/>
      <c r="BC216" s="293"/>
      <c r="BD216" s="293"/>
      <c r="CW216" s="1055"/>
      <c r="CX216" s="412"/>
      <c r="CY216" s="412"/>
      <c r="CZ216" s="412"/>
      <c r="DA216" s="412"/>
      <c r="DB216" s="412"/>
      <c r="DC216" s="412"/>
      <c r="DD216" s="412"/>
      <c r="DE216" s="412"/>
      <c r="DF216" s="412"/>
      <c r="DG216" s="412"/>
    </row>
    <row r="217" spans="53:111" x14ac:dyDescent="0.2">
      <c r="BA217" s="277"/>
      <c r="BB217" s="277"/>
      <c r="BC217" s="293"/>
      <c r="BD217" s="293"/>
      <c r="CW217" s="1055"/>
      <c r="CX217" s="412"/>
      <c r="CY217" s="412"/>
      <c r="CZ217" s="412"/>
      <c r="DA217" s="412"/>
      <c r="DB217" s="412"/>
      <c r="DC217" s="412"/>
      <c r="DD217" s="412"/>
      <c r="DE217" s="412"/>
      <c r="DF217" s="412"/>
      <c r="DG217" s="412"/>
    </row>
    <row r="218" spans="53:111" x14ac:dyDescent="0.2">
      <c r="BA218" s="277"/>
      <c r="BB218" s="277"/>
      <c r="BC218" s="293"/>
      <c r="BD218" s="293"/>
      <c r="CW218" s="1055"/>
      <c r="CX218" s="412"/>
      <c r="CY218" s="412"/>
      <c r="CZ218" s="412"/>
      <c r="DA218" s="412"/>
      <c r="DB218" s="412"/>
      <c r="DC218" s="412"/>
      <c r="DD218" s="412"/>
      <c r="DE218" s="412"/>
      <c r="DF218" s="412"/>
      <c r="DG218" s="412"/>
    </row>
    <row r="219" spans="53:111" x14ac:dyDescent="0.2">
      <c r="BA219" s="277"/>
      <c r="BB219" s="277"/>
      <c r="BC219" s="293"/>
      <c r="BD219" s="293"/>
      <c r="CW219" s="1055"/>
      <c r="CX219" s="412"/>
      <c r="CY219" s="412"/>
      <c r="CZ219" s="412"/>
      <c r="DA219" s="412"/>
      <c r="DB219" s="412"/>
      <c r="DC219" s="412"/>
      <c r="DD219" s="412"/>
      <c r="DE219" s="412"/>
      <c r="DF219" s="412"/>
      <c r="DG219" s="412"/>
    </row>
    <row r="220" spans="53:111" x14ac:dyDescent="0.2">
      <c r="BA220" s="277"/>
      <c r="BB220" s="277"/>
      <c r="BC220" s="293"/>
      <c r="BD220" s="293"/>
      <c r="CW220" s="1055"/>
      <c r="CX220" s="412"/>
      <c r="CY220" s="412"/>
      <c r="CZ220" s="412"/>
      <c r="DA220" s="412"/>
      <c r="DB220" s="412"/>
      <c r="DC220" s="412"/>
      <c r="DD220" s="412"/>
      <c r="DE220" s="412"/>
      <c r="DF220" s="412"/>
      <c r="DG220" s="412"/>
    </row>
    <row r="221" spans="53:111" x14ac:dyDescent="0.2">
      <c r="BA221" s="277"/>
      <c r="BB221" s="277"/>
      <c r="BC221" s="293"/>
      <c r="BD221" s="293"/>
      <c r="CW221" s="1055"/>
      <c r="CX221" s="412"/>
      <c r="CY221" s="412"/>
      <c r="CZ221" s="412"/>
      <c r="DA221" s="412"/>
      <c r="DB221" s="412"/>
      <c r="DC221" s="412"/>
      <c r="DD221" s="412"/>
      <c r="DE221" s="412"/>
      <c r="DF221" s="412"/>
      <c r="DG221" s="412"/>
    </row>
    <row r="222" spans="53:111" x14ac:dyDescent="0.2">
      <c r="CW222" s="1055"/>
      <c r="CX222" s="412"/>
      <c r="CY222" s="412"/>
      <c r="CZ222" s="412"/>
      <c r="DA222" s="412"/>
      <c r="DB222" s="412"/>
      <c r="DC222" s="412"/>
      <c r="DD222" s="412"/>
      <c r="DE222" s="412"/>
      <c r="DF222" s="412"/>
      <c r="DG222" s="412"/>
    </row>
    <row r="223" spans="53:111" x14ac:dyDescent="0.2">
      <c r="CW223" s="1055"/>
      <c r="CX223" s="412"/>
      <c r="CY223" s="412"/>
      <c r="CZ223" s="412"/>
      <c r="DA223" s="412"/>
      <c r="DB223" s="412"/>
      <c r="DC223" s="412"/>
      <c r="DD223" s="412"/>
      <c r="DE223" s="412"/>
      <c r="DF223" s="412"/>
      <c r="DG223" s="412"/>
    </row>
    <row r="224" spans="53:111" x14ac:dyDescent="0.2">
      <c r="CW224" s="1055"/>
      <c r="CX224" s="412"/>
      <c r="CY224" s="412"/>
      <c r="CZ224" s="412"/>
      <c r="DA224" s="412"/>
      <c r="DB224" s="412"/>
      <c r="DC224" s="412"/>
      <c r="DD224" s="412"/>
      <c r="DE224" s="412"/>
      <c r="DF224" s="412"/>
      <c r="DG224" s="412"/>
    </row>
    <row r="225" spans="53:111" x14ac:dyDescent="0.2">
      <c r="BA225" s="1231"/>
      <c r="BB225" s="1231"/>
      <c r="BC225" s="1232"/>
      <c r="BD225" s="1232"/>
      <c r="CW225" s="1055"/>
      <c r="CX225" s="412"/>
      <c r="CY225" s="412"/>
      <c r="CZ225" s="412"/>
      <c r="DA225" s="412"/>
      <c r="DB225" s="412"/>
      <c r="DC225" s="412"/>
      <c r="DD225" s="412"/>
      <c r="DE225" s="412"/>
      <c r="DF225" s="412"/>
      <c r="DG225" s="412"/>
    </row>
    <row r="226" spans="53:111" x14ac:dyDescent="0.2">
      <c r="BA226" s="58"/>
      <c r="BB226" s="58"/>
      <c r="BC226" s="291"/>
      <c r="BD226" s="291"/>
      <c r="CW226" s="1055"/>
      <c r="CX226" s="412"/>
      <c r="CY226" s="412"/>
      <c r="CZ226" s="412"/>
      <c r="DA226" s="412"/>
      <c r="DB226" s="412"/>
      <c r="DC226" s="412"/>
      <c r="DD226" s="412"/>
      <c r="DE226" s="412"/>
      <c r="DF226" s="412"/>
      <c r="DG226" s="412"/>
    </row>
    <row r="227" spans="53:111" x14ac:dyDescent="0.2">
      <c r="BC227" s="292"/>
      <c r="BD227" s="292"/>
      <c r="CW227" s="1055"/>
      <c r="CX227" s="412"/>
      <c r="CY227" s="412"/>
      <c r="CZ227" s="412"/>
      <c r="DA227" s="412"/>
      <c r="DB227" s="412"/>
      <c r="DC227" s="412"/>
      <c r="DD227" s="412"/>
      <c r="DE227" s="412"/>
      <c r="DF227" s="412"/>
      <c r="DG227" s="412"/>
    </row>
    <row r="228" spans="53:111" x14ac:dyDescent="0.2">
      <c r="BA228" s="277"/>
      <c r="BB228" s="277"/>
      <c r="BC228" s="293"/>
      <c r="BD228" s="293"/>
      <c r="CW228" s="1055"/>
      <c r="CX228" s="412"/>
      <c r="CY228" s="412"/>
      <c r="CZ228" s="412"/>
      <c r="DA228" s="412"/>
      <c r="DB228" s="412"/>
      <c r="DC228" s="412"/>
      <c r="DD228" s="412"/>
      <c r="DE228" s="412"/>
      <c r="DF228" s="412"/>
      <c r="DG228" s="412"/>
    </row>
    <row r="229" spans="53:111" x14ac:dyDescent="0.2">
      <c r="BA229" s="277"/>
      <c r="BB229" s="277"/>
      <c r="BC229" s="293"/>
      <c r="BD229" s="293"/>
      <c r="CW229" s="1055"/>
      <c r="CX229" s="412"/>
      <c r="CY229" s="412"/>
      <c r="CZ229" s="412"/>
      <c r="DA229" s="412"/>
      <c r="DB229" s="412"/>
      <c r="DC229" s="412"/>
      <c r="DD229" s="412"/>
      <c r="DE229" s="412"/>
      <c r="DF229" s="412"/>
      <c r="DG229" s="412"/>
    </row>
    <row r="230" spans="53:111" x14ac:dyDescent="0.2">
      <c r="BA230" s="277"/>
      <c r="BB230" s="277"/>
      <c r="BC230" s="293"/>
      <c r="BD230" s="293"/>
      <c r="CW230" s="1055"/>
      <c r="CX230" s="412"/>
      <c r="CY230" s="412"/>
      <c r="CZ230" s="412"/>
      <c r="DA230" s="412"/>
      <c r="DB230" s="412"/>
      <c r="DC230" s="412"/>
      <c r="DD230" s="412"/>
      <c r="DE230" s="412"/>
      <c r="DF230" s="412"/>
      <c r="DG230" s="412"/>
    </row>
    <row r="231" spans="53:111" x14ac:dyDescent="0.2">
      <c r="BA231" s="277"/>
      <c r="BB231" s="277"/>
      <c r="BC231" s="293"/>
      <c r="BD231" s="293"/>
      <c r="CW231" s="1055"/>
      <c r="CX231" s="412"/>
      <c r="CY231" s="412"/>
      <c r="CZ231" s="412"/>
      <c r="DA231" s="412"/>
      <c r="DB231" s="412"/>
      <c r="DC231" s="412"/>
      <c r="DD231" s="412"/>
      <c r="DE231" s="412"/>
      <c r="DF231" s="412"/>
      <c r="DG231" s="412"/>
    </row>
    <row r="232" spans="53:111" x14ac:dyDescent="0.2">
      <c r="BA232" s="277"/>
      <c r="BB232" s="277"/>
      <c r="BC232" s="293"/>
      <c r="BD232" s="293"/>
      <c r="CW232" s="1055"/>
      <c r="CX232" s="412"/>
      <c r="CY232" s="412"/>
      <c r="CZ232" s="412"/>
      <c r="DA232" s="412"/>
      <c r="DB232" s="412"/>
      <c r="DC232" s="412"/>
      <c r="DD232" s="412"/>
      <c r="DE232" s="412"/>
      <c r="DF232" s="412"/>
      <c r="DG232" s="412"/>
    </row>
    <row r="233" spans="53:111" x14ac:dyDescent="0.2">
      <c r="BA233" s="277"/>
      <c r="BB233" s="277"/>
      <c r="BC233" s="293"/>
      <c r="BD233" s="293"/>
      <c r="CW233" s="1055"/>
      <c r="CX233" s="412"/>
      <c r="CY233" s="412"/>
      <c r="CZ233" s="412"/>
      <c r="DA233" s="412"/>
      <c r="DB233" s="412"/>
      <c r="DC233" s="412"/>
      <c r="DD233" s="412"/>
      <c r="DE233" s="412"/>
      <c r="DF233" s="412"/>
      <c r="DG233" s="412"/>
    </row>
    <row r="234" spans="53:111" x14ac:dyDescent="0.2">
      <c r="BA234" s="277"/>
      <c r="BB234" s="277"/>
      <c r="BC234" s="293"/>
      <c r="BD234" s="293"/>
      <c r="CW234" s="1055"/>
      <c r="CX234" s="412"/>
      <c r="CY234" s="412"/>
      <c r="CZ234" s="412"/>
      <c r="DA234" s="412"/>
      <c r="DB234" s="412"/>
      <c r="DC234" s="412"/>
      <c r="DD234" s="412"/>
      <c r="DE234" s="412"/>
      <c r="DF234" s="412"/>
      <c r="DG234" s="412"/>
    </row>
    <row r="235" spans="53:111" x14ac:dyDescent="0.2">
      <c r="BA235" s="277"/>
      <c r="BB235" s="277"/>
      <c r="BC235" s="293"/>
      <c r="BD235" s="293"/>
      <c r="CW235" s="1055"/>
      <c r="CX235" s="412"/>
      <c r="CY235" s="412"/>
      <c r="CZ235" s="412"/>
      <c r="DA235" s="412"/>
      <c r="DB235" s="412"/>
      <c r="DC235" s="412"/>
      <c r="DD235" s="412"/>
      <c r="DE235" s="412"/>
      <c r="DF235" s="412"/>
      <c r="DG235" s="412"/>
    </row>
    <row r="236" spans="53:111" x14ac:dyDescent="0.2">
      <c r="BA236" s="277"/>
      <c r="BB236" s="277"/>
      <c r="BC236" s="293"/>
      <c r="BD236" s="293"/>
      <c r="CW236" s="1055"/>
      <c r="CX236" s="412"/>
      <c r="CY236" s="412"/>
      <c r="CZ236" s="412"/>
      <c r="DA236" s="412"/>
      <c r="DB236" s="412"/>
      <c r="DC236" s="412"/>
      <c r="DD236" s="412"/>
      <c r="DE236" s="412"/>
      <c r="DF236" s="412"/>
      <c r="DG236" s="412"/>
    </row>
    <row r="237" spans="53:111" x14ac:dyDescent="0.2">
      <c r="BA237" s="277"/>
      <c r="BB237" s="277"/>
      <c r="BC237" s="293"/>
      <c r="BD237" s="293"/>
      <c r="CW237" s="1055"/>
      <c r="CX237" s="412"/>
      <c r="CY237" s="412"/>
      <c r="CZ237" s="412"/>
      <c r="DA237" s="412"/>
      <c r="DB237" s="412"/>
      <c r="DC237" s="412"/>
      <c r="DD237" s="412"/>
      <c r="DE237" s="412"/>
      <c r="DF237" s="412"/>
      <c r="DG237" s="412"/>
    </row>
    <row r="238" spans="53:111" x14ac:dyDescent="0.2">
      <c r="BA238" s="277"/>
      <c r="BB238" s="277"/>
      <c r="BC238" s="293"/>
      <c r="BD238" s="293"/>
      <c r="CW238" s="1055"/>
      <c r="CX238" s="412"/>
      <c r="CY238" s="412"/>
      <c r="CZ238" s="412"/>
      <c r="DA238" s="412"/>
      <c r="DB238" s="412"/>
      <c r="DC238" s="412"/>
      <c r="DD238" s="412"/>
      <c r="DE238" s="412"/>
      <c r="DF238" s="412"/>
      <c r="DG238" s="412"/>
    </row>
    <row r="239" spans="53:111" x14ac:dyDescent="0.2">
      <c r="BA239" s="277"/>
      <c r="BB239" s="277"/>
      <c r="BC239" s="293"/>
      <c r="BD239" s="293"/>
      <c r="CW239" s="1055"/>
      <c r="CX239" s="412"/>
      <c r="CY239" s="412"/>
      <c r="CZ239" s="412"/>
      <c r="DA239" s="412"/>
      <c r="DB239" s="412"/>
      <c r="DC239" s="412"/>
      <c r="DD239" s="412"/>
      <c r="DE239" s="412"/>
      <c r="DF239" s="412"/>
      <c r="DG239" s="412"/>
    </row>
    <row r="240" spans="53:111" x14ac:dyDescent="0.2">
      <c r="BA240" s="277"/>
      <c r="BB240" s="277"/>
      <c r="BC240" s="293"/>
      <c r="BD240" s="293"/>
      <c r="CW240" s="1055"/>
      <c r="CX240" s="412"/>
      <c r="CY240" s="412"/>
      <c r="CZ240" s="412"/>
      <c r="DA240" s="412"/>
      <c r="DB240" s="412"/>
      <c r="DC240" s="412"/>
      <c r="DD240" s="412"/>
      <c r="DE240" s="412"/>
      <c r="DF240" s="412"/>
      <c r="DG240" s="412"/>
    </row>
    <row r="241" spans="53:111" x14ac:dyDescent="0.2">
      <c r="BA241" s="277"/>
      <c r="BB241" s="277"/>
      <c r="BC241" s="293"/>
      <c r="BD241" s="293"/>
      <c r="CW241" s="1055"/>
      <c r="CX241" s="412"/>
      <c r="CY241" s="412"/>
      <c r="CZ241" s="412"/>
      <c r="DA241" s="412"/>
      <c r="DB241" s="412"/>
      <c r="DC241" s="412"/>
      <c r="DD241" s="412"/>
      <c r="DE241" s="412"/>
      <c r="DF241" s="412"/>
      <c r="DG241" s="412"/>
    </row>
    <row r="242" spans="53:111" x14ac:dyDescent="0.2">
      <c r="BA242" s="277"/>
      <c r="BB242" s="277"/>
      <c r="BC242" s="293"/>
      <c r="BD242" s="293"/>
      <c r="CW242" s="1055"/>
      <c r="CX242" s="412"/>
      <c r="CY242" s="412"/>
      <c r="CZ242" s="412"/>
      <c r="DA242" s="412"/>
      <c r="DB242" s="412"/>
      <c r="DC242" s="412"/>
      <c r="DD242" s="412"/>
      <c r="DE242" s="412"/>
      <c r="DF242" s="412"/>
      <c r="DG242" s="412"/>
    </row>
    <row r="243" spans="53:111" x14ac:dyDescent="0.2">
      <c r="BA243" s="277"/>
      <c r="BB243" s="277"/>
      <c r="BC243" s="293"/>
      <c r="BD243" s="293"/>
      <c r="CW243" s="1055"/>
      <c r="CX243" s="412"/>
      <c r="CY243" s="412"/>
      <c r="CZ243" s="412"/>
      <c r="DA243" s="412"/>
      <c r="DB243" s="412"/>
      <c r="DC243" s="412"/>
      <c r="DD243" s="412"/>
      <c r="DE243" s="412"/>
      <c r="DF243" s="412"/>
      <c r="DG243" s="412"/>
    </row>
    <row r="244" spans="53:111" x14ac:dyDescent="0.2">
      <c r="BA244" s="277"/>
      <c r="BB244" s="277"/>
      <c r="BC244" s="293"/>
      <c r="BD244" s="293"/>
      <c r="CW244" s="1055"/>
      <c r="CX244" s="412"/>
      <c r="CY244" s="412"/>
      <c r="CZ244" s="412"/>
      <c r="DA244" s="412"/>
      <c r="DB244" s="412"/>
      <c r="DC244" s="412"/>
      <c r="DD244" s="412"/>
      <c r="DE244" s="412"/>
      <c r="DF244" s="412"/>
      <c r="DG244" s="412"/>
    </row>
    <row r="245" spans="53:111" x14ac:dyDescent="0.2">
      <c r="BA245" s="277"/>
      <c r="BB245" s="277"/>
      <c r="BC245" s="293"/>
      <c r="BD245" s="293"/>
      <c r="CW245" s="1055"/>
      <c r="CX245" s="412"/>
      <c r="CY245" s="412"/>
      <c r="CZ245" s="412"/>
      <c r="DA245" s="412"/>
      <c r="DB245" s="412"/>
      <c r="DC245" s="412"/>
      <c r="DD245" s="412"/>
      <c r="DE245" s="412"/>
      <c r="DF245" s="412"/>
      <c r="DG245" s="412"/>
    </row>
    <row r="246" spans="53:111" x14ac:dyDescent="0.2">
      <c r="BA246" s="277"/>
      <c r="BB246" s="277"/>
      <c r="BC246" s="293"/>
      <c r="BD246" s="293"/>
      <c r="CW246" s="1055"/>
      <c r="CX246" s="412"/>
      <c r="CY246" s="412"/>
      <c r="CZ246" s="412"/>
      <c r="DA246" s="412"/>
      <c r="DB246" s="412"/>
      <c r="DC246" s="412"/>
      <c r="DD246" s="412"/>
      <c r="DE246" s="412"/>
      <c r="DF246" s="412"/>
      <c r="DG246" s="412"/>
    </row>
    <row r="247" spans="53:111" x14ac:dyDescent="0.2">
      <c r="BA247" s="277"/>
      <c r="BB247" s="277"/>
      <c r="BC247" s="293"/>
      <c r="BD247" s="293"/>
      <c r="CW247" s="1055"/>
      <c r="CX247" s="412"/>
      <c r="CY247" s="412"/>
      <c r="CZ247" s="412"/>
      <c r="DA247" s="412"/>
      <c r="DB247" s="412"/>
      <c r="DC247" s="412"/>
      <c r="DD247" s="412"/>
      <c r="DE247" s="412"/>
      <c r="DF247" s="412"/>
      <c r="DG247" s="412"/>
    </row>
    <row r="248" spans="53:111" x14ac:dyDescent="0.2">
      <c r="BA248" s="277"/>
      <c r="BB248" s="277"/>
      <c r="BC248" s="293"/>
      <c r="BD248" s="293"/>
      <c r="CW248" s="1055"/>
      <c r="CX248" s="412"/>
      <c r="CY248" s="412"/>
      <c r="CZ248" s="412"/>
      <c r="DA248" s="412"/>
      <c r="DB248" s="412"/>
      <c r="DC248" s="412"/>
      <c r="DD248" s="412"/>
      <c r="DE248" s="412"/>
      <c r="DF248" s="412"/>
      <c r="DG248" s="412"/>
    </row>
    <row r="249" spans="53:111" x14ac:dyDescent="0.2">
      <c r="CW249" s="1055"/>
      <c r="CX249" s="412"/>
      <c r="CY249" s="412"/>
      <c r="CZ249" s="412"/>
      <c r="DA249" s="412"/>
      <c r="DB249" s="412"/>
      <c r="DC249" s="412"/>
      <c r="DD249" s="412"/>
      <c r="DE249" s="412"/>
      <c r="DF249" s="412"/>
      <c r="DG249" s="412"/>
    </row>
    <row r="250" spans="53:111" x14ac:dyDescent="0.2">
      <c r="CW250" s="1055"/>
      <c r="CX250" s="412"/>
      <c r="CY250" s="412"/>
      <c r="CZ250" s="412"/>
      <c r="DA250" s="412"/>
      <c r="DB250" s="412"/>
      <c r="DC250" s="412"/>
      <c r="DD250" s="412"/>
      <c r="DE250" s="412"/>
      <c r="DF250" s="412"/>
      <c r="DG250" s="412"/>
    </row>
    <row r="251" spans="53:111" x14ac:dyDescent="0.2">
      <c r="CW251" s="1055"/>
      <c r="CX251" s="412"/>
      <c r="CY251" s="412"/>
      <c r="CZ251" s="412"/>
      <c r="DA251" s="412"/>
      <c r="DB251" s="412"/>
      <c r="DC251" s="412"/>
      <c r="DD251" s="412"/>
      <c r="DE251" s="412"/>
      <c r="DF251" s="412"/>
      <c r="DG251" s="412"/>
    </row>
    <row r="252" spans="53:111" x14ac:dyDescent="0.2">
      <c r="BA252" s="1231"/>
      <c r="BB252" s="1231"/>
      <c r="BC252" s="1232"/>
      <c r="BD252" s="1232"/>
      <c r="CW252" s="1055"/>
      <c r="CX252" s="412"/>
      <c r="CY252" s="412"/>
      <c r="CZ252" s="412"/>
      <c r="DA252" s="412"/>
      <c r="DB252" s="412"/>
      <c r="DC252" s="412"/>
      <c r="DD252" s="412"/>
      <c r="DE252" s="412"/>
      <c r="DF252" s="412"/>
      <c r="DG252" s="412"/>
    </row>
    <row r="253" spans="53:111" x14ac:dyDescent="0.2">
      <c r="BA253" s="58"/>
      <c r="BB253" s="58"/>
      <c r="BC253" s="291"/>
      <c r="BD253" s="291"/>
      <c r="CW253" s="1055"/>
      <c r="CX253" s="412"/>
      <c r="CY253" s="412"/>
      <c r="CZ253" s="412"/>
      <c r="DA253" s="412"/>
      <c r="DB253" s="412"/>
      <c r="DC253" s="412"/>
      <c r="DD253" s="412"/>
      <c r="DE253" s="412"/>
      <c r="DF253" s="412"/>
      <c r="DG253" s="412"/>
    </row>
    <row r="254" spans="53:111" x14ac:dyDescent="0.2">
      <c r="BC254" s="292"/>
      <c r="BD254" s="292"/>
      <c r="CW254" s="1055"/>
      <c r="CX254" s="412"/>
      <c r="CY254" s="412"/>
      <c r="CZ254" s="412"/>
      <c r="DA254" s="412"/>
      <c r="DB254" s="412"/>
      <c r="DC254" s="412"/>
      <c r="DD254" s="412"/>
      <c r="DE254" s="412"/>
      <c r="DF254" s="412"/>
      <c r="DG254" s="412"/>
    </row>
    <row r="255" spans="53:111" x14ac:dyDescent="0.2">
      <c r="BA255" s="277"/>
      <c r="BB255" s="277"/>
      <c r="BC255" s="293"/>
      <c r="BD255" s="293"/>
      <c r="CW255" s="1055"/>
      <c r="CX255" s="412"/>
      <c r="CY255" s="412"/>
      <c r="CZ255" s="412"/>
      <c r="DA255" s="412"/>
      <c r="DB255" s="412"/>
      <c r="DC255" s="412"/>
      <c r="DD255" s="412"/>
      <c r="DE255" s="412"/>
      <c r="DF255" s="412"/>
      <c r="DG255" s="412"/>
    </row>
    <row r="256" spans="53:111" x14ac:dyDescent="0.2">
      <c r="BA256" s="277"/>
      <c r="BB256" s="277"/>
      <c r="BC256" s="293"/>
      <c r="BD256" s="293"/>
      <c r="CW256" s="1055"/>
      <c r="CX256" s="412"/>
      <c r="CY256" s="412"/>
      <c r="CZ256" s="412"/>
      <c r="DA256" s="412"/>
      <c r="DB256" s="412"/>
      <c r="DC256" s="412"/>
      <c r="DD256" s="412"/>
      <c r="DE256" s="412"/>
      <c r="DF256" s="412"/>
      <c r="DG256" s="412"/>
    </row>
    <row r="257" spans="53:111" x14ac:dyDescent="0.2">
      <c r="BA257" s="277"/>
      <c r="BB257" s="277"/>
      <c r="BC257" s="293"/>
      <c r="BD257" s="293"/>
      <c r="CW257" s="1055"/>
      <c r="CX257" s="412"/>
      <c r="CY257" s="412"/>
      <c r="CZ257" s="412"/>
      <c r="DA257" s="412"/>
      <c r="DB257" s="412"/>
      <c r="DC257" s="412"/>
      <c r="DD257" s="412"/>
      <c r="DE257" s="412"/>
      <c r="DF257" s="412"/>
      <c r="DG257" s="412"/>
    </row>
    <row r="258" spans="53:111" x14ac:dyDescent="0.2">
      <c r="BA258" s="277"/>
      <c r="BB258" s="277"/>
      <c r="BC258" s="293"/>
      <c r="BD258" s="293"/>
      <c r="CW258" s="1055"/>
      <c r="CX258" s="412"/>
      <c r="CY258" s="412"/>
      <c r="CZ258" s="412"/>
      <c r="DA258" s="412"/>
      <c r="DB258" s="412"/>
      <c r="DC258" s="412"/>
      <c r="DD258" s="412"/>
      <c r="DE258" s="412"/>
      <c r="DF258" s="412"/>
      <c r="DG258" s="412"/>
    </row>
    <row r="259" spans="53:111" x14ac:dyDescent="0.2">
      <c r="BA259" s="277"/>
      <c r="BB259" s="277"/>
      <c r="BC259" s="293"/>
      <c r="BD259" s="293"/>
      <c r="CW259" s="1055"/>
      <c r="CX259" s="412"/>
      <c r="CY259" s="412"/>
      <c r="CZ259" s="412"/>
      <c r="DA259" s="412"/>
      <c r="DB259" s="412"/>
      <c r="DC259" s="412"/>
      <c r="DD259" s="412"/>
      <c r="DE259" s="412"/>
      <c r="DF259" s="412"/>
      <c r="DG259" s="412"/>
    </row>
    <row r="260" spans="53:111" x14ac:dyDescent="0.2">
      <c r="BA260" s="277"/>
      <c r="BB260" s="277"/>
      <c r="BC260" s="293"/>
      <c r="BD260" s="293"/>
      <c r="CW260" s="1055"/>
      <c r="CX260" s="412"/>
      <c r="CY260" s="412"/>
      <c r="CZ260" s="412"/>
      <c r="DA260" s="412"/>
      <c r="DB260" s="412"/>
      <c r="DC260" s="412"/>
      <c r="DD260" s="412"/>
      <c r="DE260" s="412"/>
      <c r="DF260" s="412"/>
      <c r="DG260" s="412"/>
    </row>
    <row r="261" spans="53:111" x14ac:dyDescent="0.2">
      <c r="BA261" s="277"/>
      <c r="BB261" s="277"/>
      <c r="BC261" s="293"/>
      <c r="BD261" s="293"/>
      <c r="CW261" s="1055"/>
      <c r="CX261" s="412"/>
      <c r="CY261" s="412"/>
      <c r="CZ261" s="412"/>
      <c r="DA261" s="412"/>
      <c r="DB261" s="412"/>
      <c r="DC261" s="412"/>
      <c r="DD261" s="412"/>
      <c r="DE261" s="412"/>
      <c r="DF261" s="412"/>
      <c r="DG261" s="412"/>
    </row>
    <row r="262" spans="53:111" x14ac:dyDescent="0.2">
      <c r="BA262" s="277"/>
      <c r="BB262" s="277"/>
      <c r="BC262" s="293"/>
      <c r="BD262" s="293"/>
      <c r="CW262" s="1055"/>
      <c r="CX262" s="412"/>
      <c r="CY262" s="412"/>
      <c r="CZ262" s="412"/>
      <c r="DA262" s="412"/>
      <c r="DB262" s="412"/>
      <c r="DC262" s="412"/>
      <c r="DD262" s="412"/>
      <c r="DE262" s="412"/>
      <c r="DF262" s="412"/>
      <c r="DG262" s="412"/>
    </row>
    <row r="263" spans="53:111" x14ac:dyDescent="0.2">
      <c r="BA263" s="277"/>
      <c r="BB263" s="277"/>
      <c r="BC263" s="293"/>
      <c r="BD263" s="293"/>
      <c r="CW263" s="1055"/>
      <c r="CX263" s="412"/>
      <c r="CY263" s="412"/>
      <c r="CZ263" s="412"/>
      <c r="DA263" s="412"/>
      <c r="DB263" s="412"/>
      <c r="DC263" s="412"/>
      <c r="DD263" s="412"/>
      <c r="DE263" s="412"/>
      <c r="DF263" s="412"/>
      <c r="DG263" s="412"/>
    </row>
    <row r="264" spans="53:111" x14ac:dyDescent="0.2">
      <c r="BA264" s="277"/>
      <c r="BB264" s="277"/>
      <c r="BC264" s="293"/>
      <c r="BD264" s="293"/>
      <c r="CW264" s="1055"/>
      <c r="CX264" s="412"/>
      <c r="CY264" s="412"/>
      <c r="CZ264" s="412"/>
      <c r="DA264" s="412"/>
      <c r="DB264" s="412"/>
      <c r="DC264" s="412"/>
      <c r="DD264" s="412"/>
      <c r="DE264" s="412"/>
      <c r="DF264" s="412"/>
      <c r="DG264" s="412"/>
    </row>
    <row r="265" spans="53:111" x14ac:dyDescent="0.2">
      <c r="BA265" s="277"/>
      <c r="BB265" s="277"/>
      <c r="BC265" s="293"/>
      <c r="BD265" s="293"/>
      <c r="CW265" s="1055"/>
      <c r="CX265" s="412"/>
      <c r="CY265" s="412"/>
      <c r="CZ265" s="412"/>
      <c r="DA265" s="412"/>
      <c r="DB265" s="412"/>
      <c r="DC265" s="412"/>
      <c r="DD265" s="412"/>
      <c r="DE265" s="412"/>
      <c r="DF265" s="412"/>
      <c r="DG265" s="412"/>
    </row>
    <row r="266" spans="53:111" x14ac:dyDescent="0.2">
      <c r="BA266" s="277"/>
      <c r="BB266" s="277"/>
      <c r="BC266" s="293"/>
      <c r="BD266" s="293"/>
      <c r="CW266" s="1055"/>
      <c r="CX266" s="412"/>
      <c r="CY266" s="412"/>
      <c r="CZ266" s="412"/>
      <c r="DA266" s="412"/>
      <c r="DB266" s="412"/>
      <c r="DC266" s="412"/>
      <c r="DD266" s="412"/>
      <c r="DE266" s="412"/>
      <c r="DF266" s="412"/>
      <c r="DG266" s="412"/>
    </row>
    <row r="267" spans="53:111" x14ac:dyDescent="0.2">
      <c r="BA267" s="277"/>
      <c r="BB267" s="277"/>
      <c r="BC267" s="293"/>
      <c r="BD267" s="293"/>
      <c r="CW267" s="1055"/>
      <c r="CX267" s="412"/>
      <c r="CY267" s="412"/>
      <c r="CZ267" s="412"/>
      <c r="DA267" s="412"/>
      <c r="DB267" s="412"/>
      <c r="DC267" s="412"/>
      <c r="DD267" s="412"/>
      <c r="DE267" s="412"/>
      <c r="DF267" s="412"/>
      <c r="DG267" s="412"/>
    </row>
    <row r="268" spans="53:111" x14ac:dyDescent="0.2">
      <c r="BA268" s="277"/>
      <c r="BB268" s="277"/>
      <c r="BC268" s="293"/>
      <c r="BD268" s="293"/>
      <c r="CW268" s="1055"/>
      <c r="CX268" s="412"/>
      <c r="CY268" s="412"/>
      <c r="CZ268" s="412"/>
      <c r="DA268" s="412"/>
      <c r="DB268" s="412"/>
      <c r="DC268" s="412"/>
      <c r="DD268" s="412"/>
      <c r="DE268" s="412"/>
      <c r="DF268" s="412"/>
      <c r="DG268" s="412"/>
    </row>
    <row r="269" spans="53:111" x14ac:dyDescent="0.2">
      <c r="BA269" s="277"/>
      <c r="BB269" s="277"/>
      <c r="BC269" s="293"/>
      <c r="BD269" s="293"/>
    </row>
    <row r="270" spans="53:111" x14ac:dyDescent="0.2">
      <c r="BA270" s="277"/>
      <c r="BB270" s="277"/>
      <c r="BC270" s="293"/>
      <c r="BD270" s="293"/>
    </row>
    <row r="271" spans="53:111" x14ac:dyDescent="0.2">
      <c r="BA271" s="277"/>
      <c r="BB271" s="277"/>
      <c r="BC271" s="293"/>
      <c r="BD271" s="293"/>
    </row>
    <row r="272" spans="53:111" x14ac:dyDescent="0.2">
      <c r="BA272" s="277"/>
      <c r="BB272" s="277"/>
      <c r="BC272" s="293"/>
      <c r="BD272" s="293"/>
    </row>
    <row r="273" spans="53:56" x14ac:dyDescent="0.2">
      <c r="BA273" s="277"/>
      <c r="BB273" s="277"/>
      <c r="BC273" s="293"/>
      <c r="BD273" s="293"/>
    </row>
    <row r="274" spans="53:56" x14ac:dyDescent="0.2">
      <c r="BA274" s="277"/>
      <c r="BB274" s="277"/>
      <c r="BC274" s="293"/>
      <c r="BD274" s="293"/>
    </row>
    <row r="275" spans="53:56" x14ac:dyDescent="0.2">
      <c r="BA275" s="277"/>
      <c r="BB275" s="277"/>
      <c r="BC275" s="293"/>
      <c r="BD275" s="293"/>
    </row>
    <row r="279" spans="53:56" x14ac:dyDescent="0.2">
      <c r="BA279" s="1231"/>
      <c r="BB279" s="1231"/>
      <c r="BC279" s="1232"/>
      <c r="BD279" s="1232"/>
    </row>
    <row r="280" spans="53:56" x14ac:dyDescent="0.2">
      <c r="BA280" s="58"/>
      <c r="BB280" s="58"/>
      <c r="BC280" s="291"/>
      <c r="BD280" s="291"/>
    </row>
    <row r="281" spans="53:56" x14ac:dyDescent="0.2">
      <c r="BC281" s="292"/>
      <c r="BD281" s="292"/>
    </row>
    <row r="282" spans="53:56" x14ac:dyDescent="0.2">
      <c r="BA282" s="277"/>
      <c r="BB282" s="277"/>
      <c r="BC282" s="293"/>
      <c r="BD282" s="293"/>
    </row>
    <row r="283" spans="53:56" x14ac:dyDescent="0.2">
      <c r="BA283" s="277"/>
      <c r="BB283" s="277"/>
      <c r="BC283" s="293"/>
      <c r="BD283" s="293"/>
    </row>
    <row r="284" spans="53:56" x14ac:dyDescent="0.2">
      <c r="BA284" s="277"/>
      <c r="BB284" s="277"/>
      <c r="BC284" s="293"/>
      <c r="BD284" s="293"/>
    </row>
    <row r="285" spans="53:56" x14ac:dyDescent="0.2">
      <c r="BA285" s="277"/>
      <c r="BB285" s="277"/>
      <c r="BC285" s="293"/>
      <c r="BD285" s="293"/>
    </row>
    <row r="286" spans="53:56" x14ac:dyDescent="0.2">
      <c r="BA286" s="277"/>
      <c r="BB286" s="277"/>
      <c r="BC286" s="293"/>
      <c r="BD286" s="293"/>
    </row>
    <row r="287" spans="53:56" x14ac:dyDescent="0.2">
      <c r="BA287" s="277"/>
      <c r="BB287" s="277"/>
      <c r="BC287" s="293"/>
      <c r="BD287" s="293"/>
    </row>
    <row r="288" spans="53:56" x14ac:dyDescent="0.2">
      <c r="BA288" s="277"/>
      <c r="BB288" s="277"/>
      <c r="BC288" s="293"/>
      <c r="BD288" s="293"/>
    </row>
    <row r="289" spans="53:56" x14ac:dyDescent="0.2">
      <c r="BA289" s="277"/>
      <c r="BB289" s="277"/>
      <c r="BC289" s="293"/>
      <c r="BD289" s="293"/>
    </row>
    <row r="290" spans="53:56" x14ac:dyDescent="0.2">
      <c r="BA290" s="277"/>
      <c r="BB290" s="277"/>
      <c r="BC290" s="293"/>
      <c r="BD290" s="293"/>
    </row>
    <row r="291" spans="53:56" x14ac:dyDescent="0.2">
      <c r="BA291" s="277"/>
      <c r="BB291" s="277"/>
      <c r="BC291" s="293"/>
      <c r="BD291" s="293"/>
    </row>
    <row r="292" spans="53:56" x14ac:dyDescent="0.2">
      <c r="BA292" s="277"/>
      <c r="BB292" s="277"/>
      <c r="BC292" s="293"/>
      <c r="BD292" s="293"/>
    </row>
    <row r="293" spans="53:56" x14ac:dyDescent="0.2">
      <c r="BA293" s="277"/>
      <c r="BB293" s="277"/>
      <c r="BC293" s="293"/>
      <c r="BD293" s="293"/>
    </row>
    <row r="294" spans="53:56" x14ac:dyDescent="0.2">
      <c r="BA294" s="277"/>
      <c r="BB294" s="277"/>
      <c r="BC294" s="293"/>
      <c r="BD294" s="293"/>
    </row>
    <row r="295" spans="53:56" x14ac:dyDescent="0.2">
      <c r="BA295" s="277"/>
      <c r="BB295" s="277"/>
      <c r="BC295" s="293"/>
      <c r="BD295" s="293"/>
    </row>
    <row r="296" spans="53:56" x14ac:dyDescent="0.2">
      <c r="BA296" s="277"/>
      <c r="BB296" s="277"/>
      <c r="BC296" s="293"/>
      <c r="BD296" s="293"/>
    </row>
    <row r="297" spans="53:56" x14ac:dyDescent="0.2">
      <c r="BA297" s="277"/>
      <c r="BB297" s="277"/>
      <c r="BC297" s="293"/>
      <c r="BD297" s="293"/>
    </row>
    <row r="298" spans="53:56" x14ac:dyDescent="0.2">
      <c r="BA298" s="277"/>
      <c r="BB298" s="277"/>
      <c r="BC298" s="293"/>
      <c r="BD298" s="293"/>
    </row>
    <row r="299" spans="53:56" x14ac:dyDescent="0.2">
      <c r="BA299" s="277"/>
      <c r="BB299" s="277"/>
      <c r="BC299" s="293"/>
      <c r="BD299" s="293"/>
    </row>
    <row r="300" spans="53:56" x14ac:dyDescent="0.2">
      <c r="BA300" s="277"/>
      <c r="BB300" s="277"/>
      <c r="BC300" s="293"/>
      <c r="BD300" s="293"/>
    </row>
    <row r="301" spans="53:56" x14ac:dyDescent="0.2">
      <c r="BA301" s="277"/>
      <c r="BB301" s="277"/>
      <c r="BC301" s="293"/>
      <c r="BD301" s="293"/>
    </row>
    <row r="302" spans="53:56" x14ac:dyDescent="0.2">
      <c r="BA302" s="277"/>
      <c r="BB302" s="277"/>
      <c r="BC302" s="293"/>
      <c r="BD302" s="293"/>
    </row>
  </sheetData>
  <mergeCells count="57">
    <mergeCell ref="BA145:BB145"/>
    <mergeCell ref="BC145:BD145"/>
    <mergeCell ref="KQ2:KT2"/>
    <mergeCell ref="BA48:BB48"/>
    <mergeCell ref="BC48:BD48"/>
    <mergeCell ref="GH31:GH32"/>
    <mergeCell ref="GI31:GI32"/>
    <mergeCell ref="GJ31:GY31"/>
    <mergeCell ref="GZ31:GZ32"/>
    <mergeCell ref="HC31:HC32"/>
    <mergeCell ref="HD31:HD32"/>
    <mergeCell ref="HE31:HT31"/>
    <mergeCell ref="IQ31:IQ32"/>
    <mergeCell ref="IR31:IR32"/>
    <mergeCell ref="HU31:HU32"/>
    <mergeCell ref="HV31:HV32"/>
    <mergeCell ref="BA252:BB252"/>
    <mergeCell ref="BC252:BD252"/>
    <mergeCell ref="BA279:BB279"/>
    <mergeCell ref="BC279:BD279"/>
    <mergeCell ref="C6:F6"/>
    <mergeCell ref="G6:J6"/>
    <mergeCell ref="C39:F39"/>
    <mergeCell ref="G39:J39"/>
    <mergeCell ref="K39:N39"/>
    <mergeCell ref="O39:R39"/>
    <mergeCell ref="BA170:BB170"/>
    <mergeCell ref="BC170:BD170"/>
    <mergeCell ref="BA198:BB198"/>
    <mergeCell ref="BC198:BD198"/>
    <mergeCell ref="BA225:BB225"/>
    <mergeCell ref="BC225:BD225"/>
    <mergeCell ref="C5:J5"/>
    <mergeCell ref="K5:R5"/>
    <mergeCell ref="K6:N6"/>
    <mergeCell ref="O6:R6"/>
    <mergeCell ref="C38:J38"/>
    <mergeCell ref="K38:R38"/>
    <mergeCell ref="HY31:HY32"/>
    <mergeCell ref="HZ31:HZ32"/>
    <mergeCell ref="IA31:IP31"/>
    <mergeCell ref="GH124:GH125"/>
    <mergeCell ref="GI124:GI125"/>
    <mergeCell ref="GJ124:GY124"/>
    <mergeCell ref="GZ124:GZ125"/>
    <mergeCell ref="GH74:GH75"/>
    <mergeCell ref="GI74:GI75"/>
    <mergeCell ref="GJ74:GY74"/>
    <mergeCell ref="GZ74:GZ75"/>
    <mergeCell ref="IU31:IU32"/>
    <mergeCell ref="IV31:IV32"/>
    <mergeCell ref="IW31:JL31"/>
    <mergeCell ref="JM31:JM32"/>
    <mergeCell ref="IU74:IU75"/>
    <mergeCell ref="IV74:IV75"/>
    <mergeCell ref="IW74:JL74"/>
    <mergeCell ref="JM74:JM75"/>
  </mergeCells>
  <phoneticPr fontId="0" type="noConversion"/>
  <printOptions horizontalCentered="1" verticalCentered="1"/>
  <pageMargins left="0.75" right="0.75" top="1" bottom="1" header="0.5" footer="0.5"/>
  <pageSetup paperSize="17" scale="10" orientation="landscape"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B1:D40"/>
  <sheetViews>
    <sheetView workbookViewId="0"/>
  </sheetViews>
  <sheetFormatPr defaultRowHeight="12.75" x14ac:dyDescent="0.2"/>
  <cols>
    <col min="2" max="2" width="10.28515625" bestFit="1" customWidth="1"/>
    <col min="3" max="3" width="83.28515625" customWidth="1"/>
    <col min="4" max="4" width="11.140625" customWidth="1"/>
  </cols>
  <sheetData>
    <row r="1" spans="2:4" x14ac:dyDescent="0.2">
      <c r="B1" s="274" t="s">
        <v>299</v>
      </c>
      <c r="C1" s="274" t="s">
        <v>307</v>
      </c>
      <c r="D1" s="274" t="s">
        <v>308</v>
      </c>
    </row>
    <row r="3" spans="2:4" x14ac:dyDescent="0.2">
      <c r="B3" s="1026" t="s">
        <v>298</v>
      </c>
      <c r="C3" s="1026" t="s">
        <v>305</v>
      </c>
      <c r="D3" s="1026" t="s">
        <v>233</v>
      </c>
    </row>
    <row r="4" spans="2:4" x14ac:dyDescent="0.2">
      <c r="B4" s="1023"/>
      <c r="C4" s="1080" t="s">
        <v>300</v>
      </c>
      <c r="D4" s="1023"/>
    </row>
    <row r="5" spans="2:4" x14ac:dyDescent="0.2">
      <c r="B5" s="1023"/>
      <c r="C5" s="1080" t="s">
        <v>301</v>
      </c>
      <c r="D5" s="1023"/>
    </row>
    <row r="6" spans="2:4" x14ac:dyDescent="0.2">
      <c r="B6" s="1023"/>
      <c r="C6" s="1023" t="s">
        <v>302</v>
      </c>
      <c r="D6" s="1023"/>
    </row>
    <row r="7" spans="2:4" x14ac:dyDescent="0.2">
      <c r="B7" s="1023"/>
      <c r="C7" s="1023" t="s">
        <v>303</v>
      </c>
      <c r="D7" s="1023"/>
    </row>
    <row r="8" spans="2:4" x14ac:dyDescent="0.2">
      <c r="B8" s="1023"/>
      <c r="C8" s="1023"/>
      <c r="D8" s="1023"/>
    </row>
    <row r="9" spans="2:4" x14ac:dyDescent="0.2">
      <c r="B9" s="1023"/>
      <c r="C9" s="1023" t="s">
        <v>304</v>
      </c>
      <c r="D9" s="1023"/>
    </row>
    <row r="10" spans="2:4" x14ac:dyDescent="0.2">
      <c r="B10" s="1023"/>
      <c r="C10" s="1023" t="s">
        <v>309</v>
      </c>
      <c r="D10" s="1023"/>
    </row>
    <row r="11" spans="2:4" x14ac:dyDescent="0.2">
      <c r="B11" s="1024"/>
      <c r="C11" s="1024" t="s">
        <v>306</v>
      </c>
      <c r="D11" s="1024"/>
    </row>
    <row r="12" spans="2:4" x14ac:dyDescent="0.2">
      <c r="B12" s="1025" t="s">
        <v>310</v>
      </c>
      <c r="C12" s="1027" t="s">
        <v>311</v>
      </c>
      <c r="D12" s="1025" t="s">
        <v>233</v>
      </c>
    </row>
    <row r="13" spans="2:4" x14ac:dyDescent="0.2">
      <c r="B13" s="1026" t="s">
        <v>312</v>
      </c>
      <c r="C13" s="1028" t="s">
        <v>313</v>
      </c>
      <c r="D13" s="1026"/>
    </row>
    <row r="14" spans="2:4" x14ac:dyDescent="0.2">
      <c r="B14" s="1024"/>
      <c r="C14" s="1081" t="s">
        <v>314</v>
      </c>
      <c r="D14" s="1024" t="s">
        <v>315</v>
      </c>
    </row>
    <row r="15" spans="2:4" x14ac:dyDescent="0.2">
      <c r="B15" s="1025" t="s">
        <v>316</v>
      </c>
      <c r="C15" s="1027" t="s">
        <v>317</v>
      </c>
      <c r="D15" s="1025" t="s">
        <v>318</v>
      </c>
    </row>
    <row r="16" spans="2:4" x14ac:dyDescent="0.2">
      <c r="B16" s="1025" t="s">
        <v>321</v>
      </c>
      <c r="C16" s="1027" t="s">
        <v>323</v>
      </c>
      <c r="D16" s="1025" t="s">
        <v>322</v>
      </c>
    </row>
    <row r="17" spans="2:4" x14ac:dyDescent="0.2">
      <c r="B17" s="1025"/>
      <c r="C17" s="1027"/>
      <c r="D17" s="1025"/>
    </row>
    <row r="18" spans="2:4" x14ac:dyDescent="0.2">
      <c r="B18" s="1027" t="s">
        <v>324</v>
      </c>
      <c r="C18" s="1027" t="s">
        <v>325</v>
      </c>
      <c r="D18" s="1027" t="s">
        <v>233</v>
      </c>
    </row>
    <row r="19" spans="2:4" x14ac:dyDescent="0.2">
      <c r="B19" s="1028" t="s">
        <v>333</v>
      </c>
      <c r="C19" s="1028" t="s">
        <v>334</v>
      </c>
      <c r="D19" s="1028" t="s">
        <v>233</v>
      </c>
    </row>
    <row r="20" spans="2:4" x14ac:dyDescent="0.2">
      <c r="B20" s="1024"/>
      <c r="C20" s="1081" t="s">
        <v>335</v>
      </c>
      <c r="D20" s="1024"/>
    </row>
    <row r="21" spans="2:4" x14ac:dyDescent="0.2">
      <c r="B21" s="1027" t="s">
        <v>338</v>
      </c>
      <c r="C21" s="1027" t="s">
        <v>339</v>
      </c>
      <c r="D21" s="1027" t="s">
        <v>318</v>
      </c>
    </row>
    <row r="22" spans="2:4" x14ac:dyDescent="0.2">
      <c r="B22" s="1028" t="s">
        <v>350</v>
      </c>
      <c r="C22" s="1028" t="s">
        <v>342</v>
      </c>
      <c r="D22" s="1028" t="s">
        <v>233</v>
      </c>
    </row>
    <row r="23" spans="2:4" x14ac:dyDescent="0.2">
      <c r="B23" s="1023"/>
      <c r="C23" s="1082" t="s">
        <v>343</v>
      </c>
      <c r="D23" s="1023"/>
    </row>
    <row r="24" spans="2:4" x14ac:dyDescent="0.2">
      <c r="B24" s="1023"/>
      <c r="C24" s="1082" t="s">
        <v>344</v>
      </c>
      <c r="D24" s="1023"/>
    </row>
    <row r="25" spans="2:4" x14ac:dyDescent="0.2">
      <c r="B25" s="1023"/>
      <c r="C25" s="1082" t="s">
        <v>348</v>
      </c>
      <c r="D25" s="1023"/>
    </row>
    <row r="26" spans="2:4" x14ac:dyDescent="0.2">
      <c r="B26" s="1024"/>
      <c r="C26" s="1081" t="s">
        <v>349</v>
      </c>
      <c r="D26" s="1024"/>
    </row>
    <row r="27" spans="2:4" x14ac:dyDescent="0.2">
      <c r="B27" s="1025" t="s">
        <v>351</v>
      </c>
      <c r="C27" s="1027" t="s">
        <v>352</v>
      </c>
      <c r="D27" s="1025" t="s">
        <v>233</v>
      </c>
    </row>
    <row r="28" spans="2:4" x14ac:dyDescent="0.2">
      <c r="B28" s="1026" t="s">
        <v>356</v>
      </c>
      <c r="C28" s="1028" t="s">
        <v>357</v>
      </c>
      <c r="D28" s="1026" t="s">
        <v>233</v>
      </c>
    </row>
    <row r="29" spans="2:4" x14ac:dyDescent="0.2">
      <c r="B29" s="1024"/>
      <c r="C29" s="1081" t="s">
        <v>358</v>
      </c>
      <c r="D29" s="1024"/>
    </row>
    <row r="30" spans="2:4" x14ac:dyDescent="0.2">
      <c r="B30" s="1029" t="s">
        <v>360</v>
      </c>
      <c r="C30" s="1075" t="s">
        <v>361</v>
      </c>
      <c r="D30" s="1025" t="s">
        <v>318</v>
      </c>
    </row>
    <row r="31" spans="2:4" x14ac:dyDescent="0.2">
      <c r="B31" s="1021">
        <v>42227</v>
      </c>
      <c r="C31" s="1022" t="s">
        <v>426</v>
      </c>
      <c r="D31" s="1022" t="s">
        <v>427</v>
      </c>
    </row>
    <row r="32" spans="2:4" x14ac:dyDescent="0.2">
      <c r="B32" s="1242" t="s">
        <v>532</v>
      </c>
      <c r="C32" s="1240" t="s">
        <v>531</v>
      </c>
      <c r="D32" s="1241" t="s">
        <v>505</v>
      </c>
    </row>
    <row r="33" spans="2:4" x14ac:dyDescent="0.2">
      <c r="B33" s="1242"/>
      <c r="C33" s="1240"/>
      <c r="D33" s="1241"/>
    </row>
    <row r="34" spans="2:4" x14ac:dyDescent="0.2">
      <c r="B34" s="1021">
        <v>42382</v>
      </c>
      <c r="C34" s="1022" t="s">
        <v>558</v>
      </c>
      <c r="D34" s="1022" t="s">
        <v>427</v>
      </c>
    </row>
    <row r="35" spans="2:4" x14ac:dyDescent="0.2">
      <c r="B35" s="1021">
        <v>42391</v>
      </c>
      <c r="C35" s="1022" t="s">
        <v>559</v>
      </c>
      <c r="D35" s="1022" t="s">
        <v>560</v>
      </c>
    </row>
    <row r="36" spans="2:4" ht="25.5" x14ac:dyDescent="0.2">
      <c r="B36" s="1030" t="s">
        <v>597</v>
      </c>
      <c r="C36" s="1076" t="s">
        <v>598</v>
      </c>
      <c r="D36" s="1022" t="s">
        <v>505</v>
      </c>
    </row>
    <row r="37" spans="2:4" x14ac:dyDescent="0.2">
      <c r="B37" s="1021">
        <v>42503</v>
      </c>
      <c r="C37" s="1022" t="s">
        <v>615</v>
      </c>
      <c r="D37" s="1022" t="s">
        <v>560</v>
      </c>
    </row>
    <row r="38" spans="2:4" x14ac:dyDescent="0.2">
      <c r="B38" s="1021">
        <v>42503</v>
      </c>
      <c r="C38" s="1022" t="s">
        <v>616</v>
      </c>
      <c r="D38" s="1022" t="s">
        <v>560</v>
      </c>
    </row>
    <row r="39" spans="2:4" ht="25.5" x14ac:dyDescent="0.2">
      <c r="B39" s="1077" t="s">
        <v>621</v>
      </c>
      <c r="C39" s="1078" t="s">
        <v>622</v>
      </c>
      <c r="D39" s="1079" t="s">
        <v>623</v>
      </c>
    </row>
    <row r="40" spans="2:4" x14ac:dyDescent="0.2">
      <c r="B40" s="1074" t="s">
        <v>662</v>
      </c>
      <c r="C40" s="1022" t="s">
        <v>663</v>
      </c>
      <c r="D40" s="1022" t="s">
        <v>664</v>
      </c>
    </row>
  </sheetData>
  <mergeCells count="3">
    <mergeCell ref="C32:C33"/>
    <mergeCell ref="D32:D33"/>
    <mergeCell ref="B32:B33"/>
  </mergeCells>
  <phoneticPr fontId="0"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dimension ref="A1:EL312"/>
  <sheetViews>
    <sheetView workbookViewId="0"/>
  </sheetViews>
  <sheetFormatPr defaultColWidth="9.140625" defaultRowHeight="12.75" x14ac:dyDescent="0.2"/>
  <cols>
    <col min="1" max="1" width="9" style="577" customWidth="1"/>
    <col min="2" max="2" width="12.5703125" style="577" customWidth="1"/>
    <col min="3" max="3" width="13.28515625" style="577" customWidth="1"/>
    <col min="4" max="4" width="11.42578125" style="577" customWidth="1"/>
    <col min="5" max="5" width="9.140625" style="577"/>
    <col min="6" max="6" width="10.140625" style="577" bestFit="1" customWidth="1"/>
    <col min="7" max="10" width="9.7109375" style="577" customWidth="1"/>
    <col min="11" max="11" width="8.28515625" style="577" customWidth="1"/>
    <col min="12" max="12" width="8.5703125" style="577" customWidth="1"/>
    <col min="13" max="17" width="7.5703125" style="577" customWidth="1"/>
    <col min="18" max="18" width="9.28515625" style="577" customWidth="1"/>
    <col min="19" max="19" width="14.42578125" style="577" customWidth="1"/>
    <col min="20" max="20" width="10.5703125" style="577" customWidth="1"/>
    <col min="21" max="55" width="10.140625" style="577" customWidth="1"/>
    <col min="56" max="56" width="10.85546875" style="577" bestFit="1" customWidth="1"/>
    <col min="57" max="57" width="8.7109375" style="577" customWidth="1"/>
    <col min="58" max="58" width="17.42578125" style="577" bestFit="1" customWidth="1"/>
    <col min="59" max="59" width="16.28515625" style="577" bestFit="1" customWidth="1"/>
    <col min="60" max="60" width="15.28515625" style="577" bestFit="1" customWidth="1"/>
    <col min="61" max="61" width="18.5703125" style="577" bestFit="1" customWidth="1"/>
    <col min="62" max="62" width="20.140625" style="577" bestFit="1" customWidth="1"/>
    <col min="63" max="72" width="8.5703125" style="577" customWidth="1"/>
    <col min="73" max="78" width="5.85546875" style="577" customWidth="1"/>
    <col min="79" max="79" width="8.42578125" style="577" customWidth="1"/>
    <col min="80" max="80" width="7.42578125" style="577" customWidth="1"/>
    <col min="81" max="83" width="7.85546875" style="577" customWidth="1"/>
    <col min="84" max="119" width="5.7109375" style="577" customWidth="1"/>
    <col min="120" max="130" width="9.140625" style="577"/>
    <col min="131" max="131" width="10.42578125" style="577" customWidth="1"/>
    <col min="132" max="132" width="10.28515625" style="577" customWidth="1"/>
    <col min="133" max="133" width="10.42578125" style="577" customWidth="1"/>
    <col min="134" max="135" width="10.140625" style="577" customWidth="1"/>
    <col min="136" max="136" width="10" style="577" customWidth="1"/>
    <col min="137" max="142" width="10.140625" style="577" customWidth="1"/>
    <col min="143" max="148" width="9.140625" style="577"/>
    <col min="149" max="149" width="10" style="577" customWidth="1"/>
    <col min="150" max="150" width="9.140625" style="577"/>
    <col min="151" max="151" width="10.140625" style="577" customWidth="1"/>
    <col min="152" max="152" width="8.85546875" style="577" customWidth="1"/>
    <col min="153" max="153" width="10" style="577" customWidth="1"/>
    <col min="154" max="154" width="9.5703125" style="577" customWidth="1"/>
    <col min="155" max="155" width="9.140625" style="577"/>
    <col min="156" max="164" width="3.42578125" style="577" bestFit="1" customWidth="1"/>
    <col min="165" max="191" width="4.42578125" style="577" bestFit="1" customWidth="1"/>
    <col min="192" max="16384" width="9.140625" style="577"/>
  </cols>
  <sheetData>
    <row r="1" spans="1:123" x14ac:dyDescent="0.2">
      <c r="A1" s="578" t="s">
        <v>504</v>
      </c>
      <c r="E1" s="579" t="s">
        <v>505</v>
      </c>
      <c r="F1" s="580" t="s">
        <v>507</v>
      </c>
    </row>
    <row r="2" spans="1:123" ht="13.5" thickBot="1" x14ac:dyDescent="0.25">
      <c r="A2" s="579" t="s">
        <v>506</v>
      </c>
      <c r="B2" s="579"/>
      <c r="C2" s="580"/>
      <c r="S2" s="577" t="s">
        <v>583</v>
      </c>
      <c r="BE2" s="577" t="s">
        <v>586</v>
      </c>
      <c r="CB2" s="577" t="s">
        <v>587</v>
      </c>
      <c r="DA2" s="577" t="s">
        <v>588</v>
      </c>
    </row>
    <row r="3" spans="1:123" ht="27" thickBot="1" x14ac:dyDescent="0.45">
      <c r="M3" s="765"/>
      <c r="N3" s="765"/>
      <c r="O3" s="765"/>
      <c r="P3" s="765"/>
      <c r="Q3" s="765"/>
      <c r="R3" s="581"/>
      <c r="S3" s="1271" t="s">
        <v>491</v>
      </c>
      <c r="T3" s="1272"/>
      <c r="U3" s="1272"/>
      <c r="V3" s="1272"/>
      <c r="W3" s="1272"/>
      <c r="X3" s="1272"/>
      <c r="Y3" s="1272"/>
      <c r="Z3" s="1272"/>
      <c r="AA3" s="1272"/>
      <c r="AB3" s="1272"/>
      <c r="AC3" s="1272"/>
      <c r="AD3" s="1272"/>
      <c r="AE3" s="1272"/>
      <c r="AF3" s="1272"/>
      <c r="AG3" s="1272"/>
      <c r="AH3" s="1272"/>
      <c r="AI3" s="1272"/>
      <c r="AJ3" s="1272"/>
      <c r="AK3" s="1272"/>
      <c r="AL3" s="1272"/>
      <c r="AM3" s="1272"/>
      <c r="AN3" s="1272"/>
      <c r="AO3" s="1272"/>
      <c r="AP3" s="1272"/>
      <c r="AQ3" s="1272"/>
      <c r="AR3" s="1272"/>
      <c r="AS3" s="1272"/>
      <c r="AT3" s="1272"/>
      <c r="AU3" s="1272"/>
      <c r="AV3" s="1272"/>
      <c r="AW3" s="1272"/>
      <c r="AX3" s="1272"/>
      <c r="AY3" s="1272"/>
      <c r="AZ3" s="1272"/>
      <c r="BA3" s="1272"/>
      <c r="BB3" s="1272"/>
      <c r="BC3" s="1273"/>
      <c r="BE3" s="1278" t="s">
        <v>490</v>
      </c>
      <c r="BF3" s="1279"/>
      <c r="BG3" s="1279"/>
      <c r="BH3" s="1279"/>
      <c r="BI3" s="1279"/>
      <c r="BJ3" s="1279"/>
      <c r="BK3" s="1279"/>
      <c r="BL3" s="1279"/>
      <c r="BM3" s="1279"/>
      <c r="BN3" s="1279"/>
      <c r="BO3" s="1279"/>
      <c r="BP3" s="1279"/>
      <c r="BQ3" s="1279"/>
      <c r="BR3" s="1279"/>
      <c r="BS3" s="1279"/>
      <c r="BT3" s="1279"/>
      <c r="BU3" s="1279"/>
      <c r="BV3" s="1279"/>
      <c r="BW3" s="1279"/>
      <c r="BX3" s="1279"/>
      <c r="BY3" s="1279"/>
      <c r="BZ3" s="1280"/>
      <c r="CB3" s="1278" t="s">
        <v>487</v>
      </c>
      <c r="CC3" s="1279"/>
      <c r="CD3" s="1279"/>
      <c r="CE3" s="1279"/>
      <c r="CF3" s="1279"/>
      <c r="CG3" s="1279"/>
      <c r="CH3" s="1279"/>
      <c r="CI3" s="1279"/>
      <c r="CJ3" s="1279"/>
      <c r="CK3" s="1279"/>
      <c r="CL3" s="1279"/>
      <c r="CM3" s="1279"/>
      <c r="CN3" s="1279"/>
      <c r="CO3" s="1279"/>
      <c r="CP3" s="1279"/>
      <c r="CQ3" s="1279"/>
      <c r="CR3" s="1279"/>
      <c r="CS3" s="1279"/>
      <c r="CT3" s="1279"/>
      <c r="CU3" s="1279"/>
      <c r="CV3" s="1279"/>
      <c r="CW3" s="1280"/>
      <c r="DA3" s="1284" t="s">
        <v>499</v>
      </c>
      <c r="DB3" s="1285"/>
      <c r="DC3" s="1285"/>
      <c r="DD3" s="1285"/>
      <c r="DE3" s="1285"/>
      <c r="DF3" s="1285"/>
      <c r="DG3" s="1285"/>
      <c r="DH3" s="1285"/>
      <c r="DI3" s="1285"/>
      <c r="DJ3" s="1285"/>
      <c r="DK3" s="1285"/>
      <c r="DL3" s="1285"/>
      <c r="DM3" s="1285"/>
      <c r="DN3" s="1285"/>
      <c r="DO3" s="1285"/>
      <c r="DP3" s="1285"/>
      <c r="DQ3" s="1285"/>
      <c r="DR3" s="1285"/>
      <c r="DS3" s="941"/>
    </row>
    <row r="4" spans="1:123" ht="27" thickBot="1" x14ac:dyDescent="0.45">
      <c r="M4" s="765"/>
      <c r="N4" s="765"/>
      <c r="O4" s="765"/>
      <c r="P4" s="765"/>
      <c r="Q4" s="765"/>
      <c r="R4" s="582"/>
      <c r="S4" s="778" t="s">
        <v>454</v>
      </c>
      <c r="T4" s="987">
        <f>CM123</f>
        <v>10</v>
      </c>
      <c r="U4" s="987">
        <f t="shared" ref="U4:BC4" si="0">CN123</f>
        <v>20</v>
      </c>
      <c r="V4" s="987">
        <f t="shared" si="0"/>
        <v>30</v>
      </c>
      <c r="W4" s="987">
        <f t="shared" si="0"/>
        <v>40</v>
      </c>
      <c r="X4" s="987">
        <f t="shared" si="0"/>
        <v>50</v>
      </c>
      <c r="Y4" s="987">
        <f t="shared" si="0"/>
        <v>60</v>
      </c>
      <c r="Z4" s="987">
        <f t="shared" si="0"/>
        <v>70</v>
      </c>
      <c r="AA4" s="987">
        <f t="shared" si="0"/>
        <v>80</v>
      </c>
      <c r="AB4" s="987">
        <f t="shared" si="0"/>
        <v>90</v>
      </c>
      <c r="AC4" s="987">
        <f t="shared" si="0"/>
        <v>100</v>
      </c>
      <c r="AD4" s="987">
        <f t="shared" si="0"/>
        <v>110</v>
      </c>
      <c r="AE4" s="987">
        <f t="shared" si="0"/>
        <v>120</v>
      </c>
      <c r="AF4" s="987">
        <f t="shared" si="0"/>
        <v>130</v>
      </c>
      <c r="AG4" s="987">
        <f t="shared" si="0"/>
        <v>140</v>
      </c>
      <c r="AH4" s="987">
        <f t="shared" si="0"/>
        <v>150</v>
      </c>
      <c r="AI4" s="987">
        <f t="shared" si="0"/>
        <v>160</v>
      </c>
      <c r="AJ4" s="987">
        <f t="shared" si="0"/>
        <v>170</v>
      </c>
      <c r="AK4" s="987">
        <f t="shared" si="0"/>
        <v>180</v>
      </c>
      <c r="AL4" s="987">
        <f t="shared" si="0"/>
        <v>190</v>
      </c>
      <c r="AM4" s="987">
        <f t="shared" si="0"/>
        <v>200</v>
      </c>
      <c r="AN4" s="987">
        <f t="shared" si="0"/>
        <v>210</v>
      </c>
      <c r="AO4" s="987">
        <f t="shared" si="0"/>
        <v>220</v>
      </c>
      <c r="AP4" s="987">
        <f t="shared" si="0"/>
        <v>230</v>
      </c>
      <c r="AQ4" s="987">
        <f t="shared" si="0"/>
        <v>240</v>
      </c>
      <c r="AR4" s="987">
        <f t="shared" si="0"/>
        <v>250</v>
      </c>
      <c r="AS4" s="987">
        <f t="shared" si="0"/>
        <v>260</v>
      </c>
      <c r="AT4" s="987">
        <f t="shared" si="0"/>
        <v>270</v>
      </c>
      <c r="AU4" s="987">
        <f t="shared" si="0"/>
        <v>280</v>
      </c>
      <c r="AV4" s="987">
        <f t="shared" si="0"/>
        <v>290</v>
      </c>
      <c r="AW4" s="987">
        <f t="shared" si="0"/>
        <v>300</v>
      </c>
      <c r="AX4" s="987">
        <f t="shared" si="0"/>
        <v>310</v>
      </c>
      <c r="AY4" s="987">
        <f t="shared" si="0"/>
        <v>320</v>
      </c>
      <c r="AZ4" s="987">
        <f t="shared" si="0"/>
        <v>330</v>
      </c>
      <c r="BA4" s="987">
        <f t="shared" si="0"/>
        <v>340</v>
      </c>
      <c r="BB4" s="987">
        <f t="shared" si="0"/>
        <v>350</v>
      </c>
      <c r="BC4" s="987">
        <f t="shared" si="0"/>
        <v>360</v>
      </c>
      <c r="BE4" s="889" t="s">
        <v>455</v>
      </c>
      <c r="BF4" s="890">
        <v>-4</v>
      </c>
      <c r="BG4" s="890">
        <v>-3</v>
      </c>
      <c r="BH4" s="890">
        <v>-2</v>
      </c>
      <c r="BI4" s="890">
        <v>-1</v>
      </c>
      <c r="BJ4" s="890">
        <v>0</v>
      </c>
      <c r="BK4" s="890">
        <v>1</v>
      </c>
      <c r="BL4" s="890">
        <v>2</v>
      </c>
      <c r="BM4" s="890">
        <v>3</v>
      </c>
      <c r="BN4" s="890">
        <v>4</v>
      </c>
      <c r="BO4" s="890">
        <v>5</v>
      </c>
      <c r="BP4" s="890">
        <v>6</v>
      </c>
      <c r="BQ4" s="890">
        <v>7</v>
      </c>
      <c r="BR4" s="890">
        <v>8</v>
      </c>
      <c r="BS4" s="890">
        <v>9</v>
      </c>
      <c r="BT4" s="890">
        <v>10</v>
      </c>
      <c r="BU4" s="890">
        <v>11</v>
      </c>
      <c r="BV4" s="890">
        <v>12</v>
      </c>
      <c r="BW4" s="890">
        <v>13</v>
      </c>
      <c r="BX4" s="890">
        <v>14</v>
      </c>
      <c r="BY4" s="890">
        <v>15</v>
      </c>
      <c r="BZ4" s="891">
        <v>16</v>
      </c>
      <c r="CB4" s="874" t="s">
        <v>455</v>
      </c>
      <c r="CC4" s="910">
        <v>-4</v>
      </c>
      <c r="CD4" s="910">
        <v>-3</v>
      </c>
      <c r="CE4" s="910">
        <v>-2</v>
      </c>
      <c r="CF4" s="910">
        <v>-1</v>
      </c>
      <c r="CG4" s="910">
        <v>0</v>
      </c>
      <c r="CH4" s="910">
        <v>1</v>
      </c>
      <c r="CI4" s="910">
        <v>2</v>
      </c>
      <c r="CJ4" s="910">
        <v>3</v>
      </c>
      <c r="CK4" s="910">
        <v>4</v>
      </c>
      <c r="CL4" s="910">
        <v>5</v>
      </c>
      <c r="CM4" s="910">
        <v>6</v>
      </c>
      <c r="CN4" s="910">
        <v>7</v>
      </c>
      <c r="CO4" s="910">
        <v>8</v>
      </c>
      <c r="CP4" s="910">
        <v>9</v>
      </c>
      <c r="CQ4" s="910">
        <v>10</v>
      </c>
      <c r="CR4" s="910">
        <v>11</v>
      </c>
      <c r="CS4" s="910">
        <v>12</v>
      </c>
      <c r="CT4" s="910">
        <v>13</v>
      </c>
      <c r="CU4" s="910">
        <v>14</v>
      </c>
      <c r="CV4" s="910">
        <v>15</v>
      </c>
      <c r="CW4" s="911">
        <v>16</v>
      </c>
      <c r="DA4" s="1286"/>
      <c r="DB4" s="1287"/>
      <c r="DC4" s="1287"/>
      <c r="DD4" s="1287"/>
      <c r="DE4" s="1287"/>
      <c r="DF4" s="1287"/>
      <c r="DG4" s="1287"/>
      <c r="DH4" s="1287"/>
      <c r="DI4" s="1287"/>
      <c r="DJ4" s="1287"/>
      <c r="DK4" s="1287"/>
      <c r="DL4" s="1287"/>
      <c r="DM4" s="1287"/>
      <c r="DN4" s="1287"/>
      <c r="DO4" s="1287"/>
      <c r="DP4" s="1287"/>
      <c r="DQ4" s="1287"/>
      <c r="DR4" s="1287"/>
      <c r="DS4" s="942"/>
    </row>
    <row r="5" spans="1:123" s="584" customFormat="1" ht="12.75" customHeight="1" thickBot="1" x14ac:dyDescent="0.25">
      <c r="M5" s="766"/>
      <c r="N5" s="766"/>
      <c r="O5" s="766"/>
      <c r="P5" s="766"/>
      <c r="Q5" s="766"/>
      <c r="R5" s="583"/>
      <c r="S5" s="779" t="s">
        <v>516</v>
      </c>
      <c r="T5" s="988">
        <f t="shared" ref="T5:BC5" si="1">CM122</f>
        <v>1</v>
      </c>
      <c r="U5" s="780">
        <f t="shared" si="1"/>
        <v>1</v>
      </c>
      <c r="V5" s="780">
        <f t="shared" si="1"/>
        <v>1</v>
      </c>
      <c r="W5" s="780">
        <f t="shared" si="1"/>
        <v>2</v>
      </c>
      <c r="X5" s="780">
        <f t="shared" si="1"/>
        <v>2</v>
      </c>
      <c r="Y5" s="780">
        <f t="shared" si="1"/>
        <v>2</v>
      </c>
      <c r="Z5" s="780">
        <f t="shared" si="1"/>
        <v>3</v>
      </c>
      <c r="AA5" s="780">
        <f t="shared" si="1"/>
        <v>3</v>
      </c>
      <c r="AB5" s="780">
        <f t="shared" si="1"/>
        <v>3</v>
      </c>
      <c r="AC5" s="780">
        <f t="shared" si="1"/>
        <v>4</v>
      </c>
      <c r="AD5" s="780">
        <f t="shared" si="1"/>
        <v>4</v>
      </c>
      <c r="AE5" s="780">
        <f t="shared" si="1"/>
        <v>4</v>
      </c>
      <c r="AF5" s="780">
        <f t="shared" si="1"/>
        <v>5</v>
      </c>
      <c r="AG5" s="780">
        <f t="shared" si="1"/>
        <v>5</v>
      </c>
      <c r="AH5" s="780">
        <f t="shared" si="1"/>
        <v>5</v>
      </c>
      <c r="AI5" s="780">
        <f t="shared" si="1"/>
        <v>6</v>
      </c>
      <c r="AJ5" s="780">
        <f t="shared" si="1"/>
        <v>6</v>
      </c>
      <c r="AK5" s="780">
        <f t="shared" si="1"/>
        <v>6</v>
      </c>
      <c r="AL5" s="780">
        <f t="shared" si="1"/>
        <v>7</v>
      </c>
      <c r="AM5" s="780">
        <f t="shared" si="1"/>
        <v>7</v>
      </c>
      <c r="AN5" s="780">
        <f t="shared" si="1"/>
        <v>7</v>
      </c>
      <c r="AO5" s="780">
        <f t="shared" si="1"/>
        <v>8</v>
      </c>
      <c r="AP5" s="780">
        <f t="shared" si="1"/>
        <v>8</v>
      </c>
      <c r="AQ5" s="780">
        <f t="shared" si="1"/>
        <v>8</v>
      </c>
      <c r="AR5" s="780">
        <f t="shared" si="1"/>
        <v>9</v>
      </c>
      <c r="AS5" s="780">
        <f t="shared" si="1"/>
        <v>9</v>
      </c>
      <c r="AT5" s="780">
        <f t="shared" si="1"/>
        <v>9</v>
      </c>
      <c r="AU5" s="780">
        <f t="shared" si="1"/>
        <v>10</v>
      </c>
      <c r="AV5" s="780">
        <f t="shared" si="1"/>
        <v>10</v>
      </c>
      <c r="AW5" s="780">
        <f t="shared" si="1"/>
        <v>10</v>
      </c>
      <c r="AX5" s="780">
        <f t="shared" si="1"/>
        <v>11</v>
      </c>
      <c r="AY5" s="780">
        <f t="shared" si="1"/>
        <v>11</v>
      </c>
      <c r="AZ5" s="780">
        <f t="shared" si="1"/>
        <v>11</v>
      </c>
      <c r="BA5" s="780">
        <f t="shared" si="1"/>
        <v>12</v>
      </c>
      <c r="BB5" s="780">
        <f t="shared" si="1"/>
        <v>12</v>
      </c>
      <c r="BC5" s="781">
        <f t="shared" si="1"/>
        <v>12</v>
      </c>
      <c r="BE5" s="892" t="s">
        <v>468</v>
      </c>
      <c r="BF5" s="893"/>
      <c r="BG5" s="893"/>
      <c r="BH5" s="893"/>
      <c r="BI5" s="893"/>
      <c r="BJ5" s="893"/>
      <c r="BK5" s="894"/>
      <c r="BL5" s="894"/>
      <c r="BM5" s="895"/>
      <c r="BN5" s="895"/>
      <c r="BO5" s="895"/>
      <c r="BP5" s="895"/>
      <c r="BQ5" s="895"/>
      <c r="BR5" s="895"/>
      <c r="BS5" s="895"/>
      <c r="BT5" s="895"/>
      <c r="BU5" s="895"/>
      <c r="BV5" s="895"/>
      <c r="BW5" s="895"/>
      <c r="BX5" s="895"/>
      <c r="BY5" s="895"/>
      <c r="BZ5" s="896"/>
      <c r="CB5" s="875">
        <f>RWDI_FACTORS!J104</f>
        <v>10</v>
      </c>
      <c r="CC5" s="913">
        <f>IF(CC4=$T$6,$T$4,"")</f>
        <v>10</v>
      </c>
      <c r="CD5" s="914" t="str">
        <f t="shared" ref="CD5:CW5" si="2">IF(CD4=$T$6,$T$4,"")</f>
        <v/>
      </c>
      <c r="CE5" s="914" t="str">
        <f t="shared" si="2"/>
        <v/>
      </c>
      <c r="CF5" s="914" t="str">
        <f t="shared" si="2"/>
        <v/>
      </c>
      <c r="CG5" s="914" t="str">
        <f t="shared" si="2"/>
        <v/>
      </c>
      <c r="CH5" s="914" t="str">
        <f t="shared" si="2"/>
        <v/>
      </c>
      <c r="CI5" s="914" t="str">
        <f t="shared" si="2"/>
        <v/>
      </c>
      <c r="CJ5" s="914" t="str">
        <f t="shared" si="2"/>
        <v/>
      </c>
      <c r="CK5" s="914" t="str">
        <f t="shared" si="2"/>
        <v/>
      </c>
      <c r="CL5" s="914" t="str">
        <f t="shared" si="2"/>
        <v/>
      </c>
      <c r="CM5" s="914" t="str">
        <f t="shared" si="2"/>
        <v/>
      </c>
      <c r="CN5" s="914" t="str">
        <f t="shared" si="2"/>
        <v/>
      </c>
      <c r="CO5" s="914" t="str">
        <f t="shared" si="2"/>
        <v/>
      </c>
      <c r="CP5" s="914" t="str">
        <f t="shared" si="2"/>
        <v/>
      </c>
      <c r="CQ5" s="914" t="str">
        <f t="shared" si="2"/>
        <v/>
      </c>
      <c r="CR5" s="914" t="str">
        <f t="shared" si="2"/>
        <v/>
      </c>
      <c r="CS5" s="914" t="str">
        <f t="shared" si="2"/>
        <v/>
      </c>
      <c r="CT5" s="914" t="str">
        <f t="shared" si="2"/>
        <v/>
      </c>
      <c r="CU5" s="914" t="str">
        <f t="shared" si="2"/>
        <v/>
      </c>
      <c r="CV5" s="914" t="str">
        <f t="shared" si="2"/>
        <v/>
      </c>
      <c r="CW5" s="915" t="str">
        <f t="shared" si="2"/>
        <v/>
      </c>
      <c r="DA5" s="585"/>
      <c r="DB5" s="587"/>
      <c r="DC5" s="587"/>
      <c r="DD5" s="587"/>
      <c r="DE5" s="587"/>
      <c r="DF5" s="587"/>
      <c r="DG5" s="587"/>
      <c r="DH5" s="587"/>
      <c r="DI5" s="587"/>
      <c r="DJ5" s="587"/>
      <c r="DK5" s="587"/>
      <c r="DL5" s="587"/>
      <c r="DM5" s="587"/>
      <c r="DN5" s="587"/>
      <c r="DO5" s="587"/>
      <c r="DP5" s="587"/>
      <c r="DQ5" s="587"/>
      <c r="DR5" s="587"/>
      <c r="DS5" s="588"/>
    </row>
    <row r="6" spans="1:123" s="584" customFormat="1" ht="12.75" customHeight="1" thickBot="1" x14ac:dyDescent="0.25">
      <c r="M6" s="766"/>
      <c r="N6" s="767"/>
      <c r="O6" s="767"/>
      <c r="P6" s="767"/>
      <c r="Q6" s="767"/>
      <c r="R6" s="583"/>
      <c r="S6" s="721" t="s">
        <v>517</v>
      </c>
      <c r="T6" s="722">
        <f>CODE('Create EDOX for Pre-ESDUView'!$Y$8)-69</f>
        <v>-4</v>
      </c>
      <c r="U6" s="723">
        <f>CODE('Create EDOX for Pre-ESDUView'!$Y$9)-69</f>
        <v>-4</v>
      </c>
      <c r="V6" s="723">
        <f>CODE('Create EDOX for Pre-ESDUView'!$Y$10)-69</f>
        <v>-4</v>
      </c>
      <c r="W6" s="723">
        <f>CODE('Create EDOX for Pre-ESDUView'!$Y$11)-69</f>
        <v>-4</v>
      </c>
      <c r="X6" s="723">
        <f>CODE('Create EDOX for Pre-ESDUView'!$Y$12)-69</f>
        <v>-4</v>
      </c>
      <c r="Y6" s="723">
        <f>CODE('Create EDOX for Pre-ESDUView'!$Y$13)-69</f>
        <v>-4</v>
      </c>
      <c r="Z6" s="723">
        <f>CODE('Create EDOX for Pre-ESDUView'!$Y$14)-69</f>
        <v>-4</v>
      </c>
      <c r="AA6" s="723">
        <f>CODE('Create EDOX for Pre-ESDUView'!$Y$15)-69</f>
        <v>-4</v>
      </c>
      <c r="AB6" s="723">
        <f>CODE('Create EDOX for Pre-ESDUView'!$Y$16)-69</f>
        <v>-4</v>
      </c>
      <c r="AC6" s="723">
        <f>CODE('Create EDOX for Pre-ESDUView'!$Y$17)-69</f>
        <v>-4</v>
      </c>
      <c r="AD6" s="723">
        <f>CODE('Create EDOX for Pre-ESDUView'!$Y$18)-69</f>
        <v>-4</v>
      </c>
      <c r="AE6" s="723">
        <f>CODE('Create EDOX for Pre-ESDUView'!$Y$19)-69</f>
        <v>-4</v>
      </c>
      <c r="AF6" s="723">
        <f>CODE('Create EDOX for Pre-ESDUView'!$Y$20)-69</f>
        <v>-4</v>
      </c>
      <c r="AG6" s="723">
        <f>CODE('Create EDOX for Pre-ESDUView'!$Y$21)-69</f>
        <v>-4</v>
      </c>
      <c r="AH6" s="723">
        <f>CODE('Create EDOX for Pre-ESDUView'!$Y$22)-69</f>
        <v>-4</v>
      </c>
      <c r="AI6" s="723">
        <f>CODE('Create EDOX for Pre-ESDUView'!$Y$23)-69</f>
        <v>-4</v>
      </c>
      <c r="AJ6" s="723">
        <f>CODE('Create EDOX for Pre-ESDUView'!$Y$24)-69</f>
        <v>-4</v>
      </c>
      <c r="AK6" s="723">
        <f>CODE('Create EDOX for Pre-ESDUView'!$Y$25)-69</f>
        <v>-4</v>
      </c>
      <c r="AL6" s="723">
        <f>CODE('Create EDOX for Pre-ESDUView'!$Y$26)-69</f>
        <v>-4</v>
      </c>
      <c r="AM6" s="723">
        <f>CODE('Create EDOX for Pre-ESDUView'!$Y$27)-69</f>
        <v>-4</v>
      </c>
      <c r="AN6" s="723">
        <f>CODE('Create EDOX for Pre-ESDUView'!$Y$28)-69</f>
        <v>-4</v>
      </c>
      <c r="AO6" s="723">
        <f>CODE('Create EDOX for Pre-ESDUView'!$Y$29)-69</f>
        <v>-4</v>
      </c>
      <c r="AP6" s="723">
        <f>CODE('Create EDOX for Pre-ESDUView'!$Y$30)-69</f>
        <v>-4</v>
      </c>
      <c r="AQ6" s="723">
        <f>CODE('Create EDOX for Pre-ESDUView'!$Y$31)-69</f>
        <v>-4</v>
      </c>
      <c r="AR6" s="723">
        <f>CODE('Create EDOX for Pre-ESDUView'!$Y$32)-69</f>
        <v>-4</v>
      </c>
      <c r="AS6" s="723">
        <f>CODE('Create EDOX for Pre-ESDUView'!$Y$33)-69</f>
        <v>-4</v>
      </c>
      <c r="AT6" s="723">
        <f>CODE('Create EDOX for Pre-ESDUView'!$Y$34)-69</f>
        <v>-4</v>
      </c>
      <c r="AU6" s="723">
        <f>CODE('Create EDOX for Pre-ESDUView'!$Y$35)-69</f>
        <v>-4</v>
      </c>
      <c r="AV6" s="723">
        <f>CODE('Create EDOX for Pre-ESDUView'!$Y$36)-69</f>
        <v>-4</v>
      </c>
      <c r="AW6" s="723">
        <f>CODE('Create EDOX for Pre-ESDUView'!$Y$37)-69</f>
        <v>-4</v>
      </c>
      <c r="AX6" s="723">
        <f>CODE('Create EDOX for Pre-ESDUView'!$Y$38)-69</f>
        <v>-4</v>
      </c>
      <c r="AY6" s="723">
        <f>CODE('Create EDOX for Pre-ESDUView'!$Y$39)-69</f>
        <v>-4</v>
      </c>
      <c r="AZ6" s="723">
        <f>CODE('Create EDOX for Pre-ESDUView'!$Y$40)-69</f>
        <v>-4</v>
      </c>
      <c r="BA6" s="723">
        <f>CODE('Create EDOX for Pre-ESDUView'!$Y$41)-69</f>
        <v>-4</v>
      </c>
      <c r="BB6" s="723">
        <f>CODE('Create EDOX for Pre-ESDUView'!$Y$42)-69</f>
        <v>-4</v>
      </c>
      <c r="BC6" s="724">
        <f>CODE('Create EDOX for Pre-ESDUView'!$Y$43)-69</f>
        <v>-4</v>
      </c>
      <c r="BE6" s="892"/>
      <c r="BF6" s="893"/>
      <c r="BG6" s="893"/>
      <c r="BH6" s="893"/>
      <c r="BI6" s="893"/>
      <c r="BJ6" s="893"/>
      <c r="BK6" s="894"/>
      <c r="BL6" s="894"/>
      <c r="BM6" s="895"/>
      <c r="BN6" s="895"/>
      <c r="BO6" s="895"/>
      <c r="BP6" s="895"/>
      <c r="BQ6" s="895"/>
      <c r="BR6" s="895"/>
      <c r="BS6" s="895"/>
      <c r="BT6" s="895"/>
      <c r="BU6" s="895"/>
      <c r="BV6" s="895"/>
      <c r="BW6" s="895"/>
      <c r="BX6" s="895"/>
      <c r="BY6" s="895"/>
      <c r="BZ6" s="896"/>
      <c r="CB6" s="875">
        <f>RWDI_FACTORS!J105</f>
        <v>20</v>
      </c>
      <c r="CC6" s="916">
        <f t="shared" ref="CC6:CW6" si="3">IF(CC$4=$U$6,$U$4,"")</f>
        <v>20</v>
      </c>
      <c r="CD6" s="912" t="str">
        <f t="shared" si="3"/>
        <v/>
      </c>
      <c r="CE6" s="912" t="str">
        <f t="shared" si="3"/>
        <v/>
      </c>
      <c r="CF6" s="912" t="str">
        <f t="shared" si="3"/>
        <v/>
      </c>
      <c r="CG6" s="912" t="str">
        <f t="shared" si="3"/>
        <v/>
      </c>
      <c r="CH6" s="912" t="str">
        <f t="shared" si="3"/>
        <v/>
      </c>
      <c r="CI6" s="912" t="str">
        <f t="shared" si="3"/>
        <v/>
      </c>
      <c r="CJ6" s="912" t="str">
        <f t="shared" si="3"/>
        <v/>
      </c>
      <c r="CK6" s="912" t="str">
        <f t="shared" si="3"/>
        <v/>
      </c>
      <c r="CL6" s="912" t="str">
        <f t="shared" si="3"/>
        <v/>
      </c>
      <c r="CM6" s="912" t="str">
        <f t="shared" si="3"/>
        <v/>
      </c>
      <c r="CN6" s="912" t="str">
        <f t="shared" si="3"/>
        <v/>
      </c>
      <c r="CO6" s="912" t="str">
        <f t="shared" si="3"/>
        <v/>
      </c>
      <c r="CP6" s="912" t="str">
        <f t="shared" si="3"/>
        <v/>
      </c>
      <c r="CQ6" s="912" t="str">
        <f t="shared" si="3"/>
        <v/>
      </c>
      <c r="CR6" s="912" t="str">
        <f t="shared" si="3"/>
        <v/>
      </c>
      <c r="CS6" s="912" t="str">
        <f t="shared" si="3"/>
        <v/>
      </c>
      <c r="CT6" s="912" t="str">
        <f t="shared" si="3"/>
        <v/>
      </c>
      <c r="CU6" s="912" t="str">
        <f t="shared" si="3"/>
        <v/>
      </c>
      <c r="CV6" s="912" t="str">
        <f t="shared" si="3"/>
        <v/>
      </c>
      <c r="CW6" s="917" t="str">
        <f t="shared" si="3"/>
        <v/>
      </c>
      <c r="DA6" s="585"/>
      <c r="DB6" s="587"/>
      <c r="DC6" s="587"/>
      <c r="DD6" s="587"/>
      <c r="DE6" s="587"/>
      <c r="DF6" s="587"/>
      <c r="DG6" s="587"/>
      <c r="DH6" s="587"/>
      <c r="DI6" s="587"/>
      <c r="DJ6" s="587"/>
      <c r="DK6" s="587"/>
      <c r="DL6" s="587"/>
      <c r="DM6" s="587"/>
      <c r="DN6" s="587"/>
      <c r="DO6" s="587"/>
      <c r="DP6" s="587"/>
      <c r="DQ6" s="587"/>
      <c r="DR6" s="587"/>
      <c r="DS6" s="588"/>
    </row>
    <row r="7" spans="1:123" x14ac:dyDescent="0.2">
      <c r="M7" s="766"/>
      <c r="N7" s="768"/>
      <c r="O7" s="768"/>
      <c r="P7" s="768"/>
      <c r="Q7" s="768"/>
      <c r="R7" s="589"/>
      <c r="S7" s="714" t="s">
        <v>460</v>
      </c>
      <c r="T7" s="590">
        <f t="shared" ref="T7:BC7" si="4">($P$47-0.25)*$L$47*0.3048</f>
        <v>342.90000000000003</v>
      </c>
      <c r="U7" s="591">
        <f t="shared" si="4"/>
        <v>342.90000000000003</v>
      </c>
      <c r="V7" s="591">
        <f t="shared" si="4"/>
        <v>342.90000000000003</v>
      </c>
      <c r="W7" s="591">
        <f t="shared" si="4"/>
        <v>342.90000000000003</v>
      </c>
      <c r="X7" s="591">
        <f t="shared" si="4"/>
        <v>342.90000000000003</v>
      </c>
      <c r="Y7" s="591">
        <f t="shared" si="4"/>
        <v>342.90000000000003</v>
      </c>
      <c r="Z7" s="591">
        <f t="shared" si="4"/>
        <v>342.90000000000003</v>
      </c>
      <c r="AA7" s="591">
        <f t="shared" si="4"/>
        <v>342.90000000000003</v>
      </c>
      <c r="AB7" s="591">
        <f t="shared" si="4"/>
        <v>342.90000000000003</v>
      </c>
      <c r="AC7" s="591">
        <f t="shared" si="4"/>
        <v>342.90000000000003</v>
      </c>
      <c r="AD7" s="591">
        <f t="shared" si="4"/>
        <v>342.90000000000003</v>
      </c>
      <c r="AE7" s="591">
        <f t="shared" si="4"/>
        <v>342.90000000000003</v>
      </c>
      <c r="AF7" s="591">
        <f t="shared" si="4"/>
        <v>342.90000000000003</v>
      </c>
      <c r="AG7" s="591">
        <f t="shared" si="4"/>
        <v>342.90000000000003</v>
      </c>
      <c r="AH7" s="591">
        <f t="shared" si="4"/>
        <v>342.90000000000003</v>
      </c>
      <c r="AI7" s="591">
        <f t="shared" si="4"/>
        <v>342.90000000000003</v>
      </c>
      <c r="AJ7" s="591">
        <f t="shared" si="4"/>
        <v>342.90000000000003</v>
      </c>
      <c r="AK7" s="591">
        <f t="shared" si="4"/>
        <v>342.90000000000003</v>
      </c>
      <c r="AL7" s="591">
        <f t="shared" si="4"/>
        <v>342.90000000000003</v>
      </c>
      <c r="AM7" s="591">
        <f t="shared" si="4"/>
        <v>342.90000000000003</v>
      </c>
      <c r="AN7" s="591">
        <f t="shared" si="4"/>
        <v>342.90000000000003</v>
      </c>
      <c r="AO7" s="591">
        <f t="shared" si="4"/>
        <v>342.90000000000003</v>
      </c>
      <c r="AP7" s="591">
        <f t="shared" si="4"/>
        <v>342.90000000000003</v>
      </c>
      <c r="AQ7" s="591">
        <f t="shared" si="4"/>
        <v>342.90000000000003</v>
      </c>
      <c r="AR7" s="591">
        <f t="shared" si="4"/>
        <v>342.90000000000003</v>
      </c>
      <c r="AS7" s="591">
        <f t="shared" si="4"/>
        <v>342.90000000000003</v>
      </c>
      <c r="AT7" s="591">
        <f t="shared" si="4"/>
        <v>342.90000000000003</v>
      </c>
      <c r="AU7" s="591">
        <f t="shared" si="4"/>
        <v>342.90000000000003</v>
      </c>
      <c r="AV7" s="591">
        <f t="shared" si="4"/>
        <v>342.90000000000003</v>
      </c>
      <c r="AW7" s="591">
        <f t="shared" si="4"/>
        <v>342.90000000000003</v>
      </c>
      <c r="AX7" s="591">
        <f t="shared" si="4"/>
        <v>342.90000000000003</v>
      </c>
      <c r="AY7" s="591">
        <f t="shared" si="4"/>
        <v>342.90000000000003</v>
      </c>
      <c r="AZ7" s="591">
        <f t="shared" si="4"/>
        <v>342.90000000000003</v>
      </c>
      <c r="BA7" s="591">
        <f t="shared" si="4"/>
        <v>342.90000000000003</v>
      </c>
      <c r="BB7" s="591">
        <f t="shared" si="4"/>
        <v>342.90000000000003</v>
      </c>
      <c r="BC7" s="592">
        <f t="shared" si="4"/>
        <v>342.90000000000003</v>
      </c>
      <c r="BE7" s="876">
        <v>1</v>
      </c>
      <c r="BF7" s="932">
        <f>IF('Create EDOX for Pre-ESDUView'!B13=0,"",'Create EDOX for Pre-ESDUView'!B13)</f>
        <v>5.0000000000000001E-3</v>
      </c>
      <c r="BG7" s="933">
        <f>IF('Create EDOX for Pre-ESDUView'!C13=0,"",'Create EDOX for Pre-ESDUView'!C13)</f>
        <v>0.02</v>
      </c>
      <c r="BH7" s="933">
        <f>IF('Create EDOX for Pre-ESDUView'!D13=0,"",'Create EDOX for Pre-ESDUView'!D13)</f>
        <v>0.1</v>
      </c>
      <c r="BI7" s="933">
        <f>IF('Create EDOX for Pre-ESDUView'!E13=0,"",'Create EDOX for Pre-ESDUView'!E13)</f>
        <v>0.5</v>
      </c>
      <c r="BJ7" s="933">
        <f>IF('Create EDOX for Pre-ESDUView'!F13=0,"",'Create EDOX for Pre-ESDUView'!F13)</f>
        <v>3</v>
      </c>
      <c r="BK7" s="933" t="str">
        <f>IF('Create EDOX for Pre-ESDUView'!G13=0,"",'Create EDOX for Pre-ESDUView'!G13)</f>
        <v/>
      </c>
      <c r="BL7" s="933" t="str">
        <f>IF('Create EDOX for Pre-ESDUView'!H13=0,"",'Create EDOX for Pre-ESDUView'!H13)</f>
        <v/>
      </c>
      <c r="BM7" s="933" t="str">
        <f>IF('Create EDOX for Pre-ESDUView'!I13=0,"",'Create EDOX for Pre-ESDUView'!I13)</f>
        <v/>
      </c>
      <c r="BN7" s="933" t="str">
        <f>IF('Create EDOX for Pre-ESDUView'!J13=0,"",'Create EDOX for Pre-ESDUView'!J13)</f>
        <v/>
      </c>
      <c r="BO7" s="933" t="str">
        <f>IF('Create EDOX for Pre-ESDUView'!K13=0,"",'Create EDOX for Pre-ESDUView'!K13)</f>
        <v/>
      </c>
      <c r="BP7" s="933" t="str">
        <f>IF('Create EDOX for Pre-ESDUView'!L13=0,"",'Create EDOX for Pre-ESDUView'!L13)</f>
        <v/>
      </c>
      <c r="BQ7" s="933" t="str">
        <f>IF('Create EDOX for Pre-ESDUView'!M13=0,"",'Create EDOX for Pre-ESDUView'!M13)</f>
        <v/>
      </c>
      <c r="BR7" s="933" t="str">
        <f>IF('Create EDOX for Pre-ESDUView'!N13=0,"",'Create EDOX for Pre-ESDUView'!N13)</f>
        <v/>
      </c>
      <c r="BS7" s="933" t="str">
        <f>IF('Create EDOX for Pre-ESDUView'!O13=0,"",'Create EDOX for Pre-ESDUView'!O13)</f>
        <v/>
      </c>
      <c r="BT7" s="933" t="str">
        <f>IF('Create EDOX for Pre-ESDUView'!P13=0,"",'Create EDOX for Pre-ESDUView'!P13)</f>
        <v/>
      </c>
      <c r="BU7" s="933" t="str">
        <f>IF('Create EDOX for Pre-ESDUView'!Q13=0,"",'Create EDOX for Pre-ESDUView'!Q13)</f>
        <v/>
      </c>
      <c r="BV7" s="933" t="str">
        <f>IF('Create EDOX for Pre-ESDUView'!R13=0,"",'Create EDOX for Pre-ESDUView'!R13)</f>
        <v/>
      </c>
      <c r="BW7" s="933" t="str">
        <f>IF('Create EDOX for Pre-ESDUView'!S13=0,"",'Create EDOX for Pre-ESDUView'!S13)</f>
        <v/>
      </c>
      <c r="BX7" s="933" t="str">
        <f>IF('Create EDOX for Pre-ESDUView'!T13=0,"",'Create EDOX for Pre-ESDUView'!T13)</f>
        <v/>
      </c>
      <c r="BY7" s="933" t="str">
        <f>IF('Create EDOX for Pre-ESDUView'!U13=0,"",'Create EDOX for Pre-ESDUView'!U13)</f>
        <v/>
      </c>
      <c r="BZ7" s="934" t="str">
        <f>IF('Create EDOX for Pre-ESDUView'!V13=0,"",'Create EDOX for Pre-ESDUView'!V13)</f>
        <v/>
      </c>
      <c r="CB7" s="875">
        <f>RWDI_FACTORS!J106</f>
        <v>30</v>
      </c>
      <c r="CC7" s="916">
        <f t="shared" ref="CC7:CW7" si="5">IF(CC$4=$V$6,$V$4,"")</f>
        <v>30</v>
      </c>
      <c r="CD7" s="912" t="str">
        <f t="shared" si="5"/>
        <v/>
      </c>
      <c r="CE7" s="912" t="str">
        <f t="shared" si="5"/>
        <v/>
      </c>
      <c r="CF7" s="912" t="str">
        <f t="shared" si="5"/>
        <v/>
      </c>
      <c r="CG7" s="912" t="str">
        <f t="shared" si="5"/>
        <v/>
      </c>
      <c r="CH7" s="912" t="str">
        <f t="shared" si="5"/>
        <v/>
      </c>
      <c r="CI7" s="912" t="str">
        <f t="shared" si="5"/>
        <v/>
      </c>
      <c r="CJ7" s="912" t="str">
        <f t="shared" si="5"/>
        <v/>
      </c>
      <c r="CK7" s="912" t="str">
        <f t="shared" si="5"/>
        <v/>
      </c>
      <c r="CL7" s="912" t="str">
        <f t="shared" si="5"/>
        <v/>
      </c>
      <c r="CM7" s="912" t="str">
        <f t="shared" si="5"/>
        <v/>
      </c>
      <c r="CN7" s="912" t="str">
        <f t="shared" si="5"/>
        <v/>
      </c>
      <c r="CO7" s="912" t="str">
        <f t="shared" si="5"/>
        <v/>
      </c>
      <c r="CP7" s="912" t="str">
        <f t="shared" si="5"/>
        <v/>
      </c>
      <c r="CQ7" s="912" t="str">
        <f t="shared" si="5"/>
        <v/>
      </c>
      <c r="CR7" s="912" t="str">
        <f t="shared" si="5"/>
        <v/>
      </c>
      <c r="CS7" s="912" t="str">
        <f t="shared" si="5"/>
        <v/>
      </c>
      <c r="CT7" s="912" t="str">
        <f t="shared" si="5"/>
        <v/>
      </c>
      <c r="CU7" s="912" t="str">
        <f t="shared" si="5"/>
        <v/>
      </c>
      <c r="CV7" s="912" t="str">
        <f t="shared" si="5"/>
        <v/>
      </c>
      <c r="CW7" s="917" t="str">
        <f t="shared" si="5"/>
        <v/>
      </c>
      <c r="DA7" s="642" t="s">
        <v>482</v>
      </c>
      <c r="DB7" s="587"/>
      <c r="DC7" s="587"/>
      <c r="DD7" s="587"/>
      <c r="DE7" s="587"/>
      <c r="DF7" s="587"/>
      <c r="DG7" s="587"/>
      <c r="DH7" s="587"/>
      <c r="DI7" s="587"/>
      <c r="DJ7" s="587"/>
      <c r="DK7" s="587"/>
      <c r="DL7" s="587"/>
      <c r="DM7" s="587"/>
      <c r="DN7" s="587"/>
      <c r="DO7" s="587"/>
      <c r="DP7" s="587"/>
      <c r="DQ7" s="587"/>
      <c r="DR7" s="587"/>
      <c r="DS7" s="588"/>
    </row>
    <row r="8" spans="1:123" x14ac:dyDescent="0.2">
      <c r="M8" s="766"/>
      <c r="N8" s="768"/>
      <c r="O8" s="768"/>
      <c r="P8" s="768"/>
      <c r="Q8" s="768"/>
      <c r="R8" s="589"/>
      <c r="S8" s="593" t="s">
        <v>456</v>
      </c>
      <c r="T8" s="594">
        <f t="shared" ref="T8:BC8" si="6">IFERROR(ASIN(SIN($E$26)*COS(T7/$C$25)+COS($E$26)*SIN(T7/$C$25)*COS((T$4-5)*PI()/180))*180/PI(),"")</f>
        <v>3.0720390964089242E-3</v>
      </c>
      <c r="U8" s="595">
        <f t="shared" si="6"/>
        <v>2.9786967429059172E-3</v>
      </c>
      <c r="V8" s="595">
        <f t="shared" si="6"/>
        <v>2.7948481961004691E-3</v>
      </c>
      <c r="W8" s="595">
        <f t="shared" si="6"/>
        <v>2.526079601095048E-3</v>
      </c>
      <c r="X8" s="595">
        <f t="shared" si="6"/>
        <v>2.1805573556911966E-3</v>
      </c>
      <c r="Y8" s="595">
        <f t="shared" si="6"/>
        <v>1.7687799785124549E-3</v>
      </c>
      <c r="Z8" s="595">
        <f t="shared" si="6"/>
        <v>1.3032591168178802E-3</v>
      </c>
      <c r="AA8" s="595">
        <f t="shared" si="6"/>
        <v>7.9813938642513929E-4</v>
      </c>
      <c r="AB8" s="595">
        <f t="shared" si="6"/>
        <v>2.6876859471641334E-4</v>
      </c>
      <c r="AC8" s="595">
        <f t="shared" si="6"/>
        <v>-2.6876859471641366E-4</v>
      </c>
      <c r="AD8" s="595">
        <f t="shared" si="6"/>
        <v>-7.9813938642513962E-4</v>
      </c>
      <c r="AE8" s="595">
        <f t="shared" si="6"/>
        <v>-1.3032591168178796E-3</v>
      </c>
      <c r="AF8" s="595">
        <f t="shared" si="6"/>
        <v>-1.7687799785124538E-3</v>
      </c>
      <c r="AG8" s="595">
        <f t="shared" si="6"/>
        <v>-2.1805573556911962E-3</v>
      </c>
      <c r="AH8" s="595">
        <f t="shared" si="6"/>
        <v>-2.526079601095048E-3</v>
      </c>
      <c r="AI8" s="595">
        <f t="shared" si="6"/>
        <v>-2.7948481961004687E-3</v>
      </c>
      <c r="AJ8" s="595">
        <f t="shared" si="6"/>
        <v>-2.9786967429059168E-3</v>
      </c>
      <c r="AK8" s="595">
        <f t="shared" si="6"/>
        <v>-3.0720390964089242E-3</v>
      </c>
      <c r="AL8" s="595">
        <f t="shared" si="6"/>
        <v>-3.0720390964089242E-3</v>
      </c>
      <c r="AM8" s="595">
        <f t="shared" si="6"/>
        <v>-2.9786967429059176E-3</v>
      </c>
      <c r="AN8" s="595">
        <f t="shared" si="6"/>
        <v>-2.7948481961004691E-3</v>
      </c>
      <c r="AO8" s="595">
        <f t="shared" si="6"/>
        <v>-2.5260796010950493E-3</v>
      </c>
      <c r="AP8" s="595">
        <f t="shared" si="6"/>
        <v>-2.1805573556911971E-3</v>
      </c>
      <c r="AQ8" s="595">
        <f t="shared" si="6"/>
        <v>-1.7687799785124551E-3</v>
      </c>
      <c r="AR8" s="595">
        <f t="shared" si="6"/>
        <v>-1.3032591168178815E-3</v>
      </c>
      <c r="AS8" s="595">
        <f t="shared" si="6"/>
        <v>-7.9813938642513897E-4</v>
      </c>
      <c r="AT8" s="595">
        <f t="shared" si="6"/>
        <v>-2.6876859471641371E-4</v>
      </c>
      <c r="AU8" s="595">
        <f t="shared" si="6"/>
        <v>2.6876859471641258E-4</v>
      </c>
      <c r="AV8" s="595">
        <f t="shared" si="6"/>
        <v>7.9813938642514049E-4</v>
      </c>
      <c r="AW8" s="595">
        <f t="shared" si="6"/>
        <v>1.3032591168178809E-3</v>
      </c>
      <c r="AX8" s="595">
        <f t="shared" si="6"/>
        <v>1.7687799785124547E-3</v>
      </c>
      <c r="AY8" s="595">
        <f t="shared" si="6"/>
        <v>2.1805573556911957E-3</v>
      </c>
      <c r="AZ8" s="595">
        <f t="shared" si="6"/>
        <v>2.526079601095048E-3</v>
      </c>
      <c r="BA8" s="595">
        <f t="shared" si="6"/>
        <v>2.7948481961004687E-3</v>
      </c>
      <c r="BB8" s="595">
        <f t="shared" si="6"/>
        <v>2.9786967429059172E-3</v>
      </c>
      <c r="BC8" s="596">
        <f t="shared" si="6"/>
        <v>3.0720390964089242E-3</v>
      </c>
      <c r="BE8" s="876">
        <v>2</v>
      </c>
      <c r="BF8" s="935" t="str">
        <f>IF('Create EDOX for Pre-ESDUView'!B15=0,"",'Create EDOX for Pre-ESDUView'!B15)</f>
        <v/>
      </c>
      <c r="BG8" s="931" t="str">
        <f>IF('Create EDOX for Pre-ESDUView'!C15=0,"",'Create EDOX for Pre-ESDUView'!C15)</f>
        <v/>
      </c>
      <c r="BH8" s="931" t="str">
        <f>IF('Create EDOX for Pre-ESDUView'!D15=0,"",'Create EDOX for Pre-ESDUView'!D15)</f>
        <v/>
      </c>
      <c r="BI8" s="931">
        <f>IF('Create EDOX for Pre-ESDUView'!E15=0,"",'Create EDOX for Pre-ESDUView'!E15)</f>
        <v>0.1</v>
      </c>
      <c r="BJ8" s="931">
        <f>IF('Create EDOX for Pre-ESDUView'!F15=0,"",'Create EDOX for Pre-ESDUView'!F15)</f>
        <v>0.5</v>
      </c>
      <c r="BK8" s="931" t="str">
        <f>IF('Create EDOX for Pre-ESDUView'!G15=0,"",'Create EDOX for Pre-ESDUView'!G15)</f>
        <v/>
      </c>
      <c r="BL8" s="931" t="str">
        <f>IF('Create EDOX for Pre-ESDUView'!H15=0,"",'Create EDOX for Pre-ESDUView'!H15)</f>
        <v/>
      </c>
      <c r="BM8" s="931" t="str">
        <f>IF('Create EDOX for Pre-ESDUView'!I15=0,"",'Create EDOX for Pre-ESDUView'!I15)</f>
        <v/>
      </c>
      <c r="BN8" s="931" t="str">
        <f>IF('Create EDOX for Pre-ESDUView'!J15=0,"",'Create EDOX for Pre-ESDUView'!J15)</f>
        <v/>
      </c>
      <c r="BO8" s="931" t="str">
        <f>IF('Create EDOX for Pre-ESDUView'!K15=0,"",'Create EDOX for Pre-ESDUView'!K15)</f>
        <v/>
      </c>
      <c r="BP8" s="931" t="str">
        <f>IF('Create EDOX for Pre-ESDUView'!L15=0,"",'Create EDOX for Pre-ESDUView'!L15)</f>
        <v/>
      </c>
      <c r="BQ8" s="931" t="str">
        <f>IF('Create EDOX for Pre-ESDUView'!M15=0,"",'Create EDOX for Pre-ESDUView'!M15)</f>
        <v/>
      </c>
      <c r="BR8" s="931" t="str">
        <f>IF('Create EDOX for Pre-ESDUView'!N15=0,"",'Create EDOX for Pre-ESDUView'!N15)</f>
        <v/>
      </c>
      <c r="BS8" s="931" t="str">
        <f>IF('Create EDOX for Pre-ESDUView'!O15=0,"",'Create EDOX for Pre-ESDUView'!O15)</f>
        <v/>
      </c>
      <c r="BT8" s="931" t="str">
        <f>IF('Create EDOX for Pre-ESDUView'!P15=0,"",'Create EDOX for Pre-ESDUView'!P15)</f>
        <v/>
      </c>
      <c r="BU8" s="931" t="str">
        <f>IF('Create EDOX for Pre-ESDUView'!Q15=0,"",'Create EDOX for Pre-ESDUView'!Q15)</f>
        <v/>
      </c>
      <c r="BV8" s="931" t="str">
        <f>IF('Create EDOX for Pre-ESDUView'!R15=0,"",'Create EDOX for Pre-ESDUView'!R15)</f>
        <v/>
      </c>
      <c r="BW8" s="931" t="str">
        <f>IF('Create EDOX for Pre-ESDUView'!S15=0,"",'Create EDOX for Pre-ESDUView'!S15)</f>
        <v/>
      </c>
      <c r="BX8" s="931" t="str">
        <f>IF('Create EDOX for Pre-ESDUView'!T15=0,"",'Create EDOX for Pre-ESDUView'!T15)</f>
        <v/>
      </c>
      <c r="BY8" s="931" t="str">
        <f>IF('Create EDOX for Pre-ESDUView'!U15=0,"",'Create EDOX for Pre-ESDUView'!U15)</f>
        <v/>
      </c>
      <c r="BZ8" s="936" t="str">
        <f>IF('Create EDOX for Pre-ESDUView'!V15=0,"",'Create EDOX for Pre-ESDUView'!V15)</f>
        <v/>
      </c>
      <c r="CB8" s="875">
        <f>RWDI_FACTORS!J107</f>
        <v>40</v>
      </c>
      <c r="CC8" s="916">
        <f t="shared" ref="CC8:CW8" si="7">IF(CC$4=$W$6,$W$4,"")</f>
        <v>40</v>
      </c>
      <c r="CD8" s="912" t="str">
        <f t="shared" si="7"/>
        <v/>
      </c>
      <c r="CE8" s="912" t="str">
        <f t="shared" si="7"/>
        <v/>
      </c>
      <c r="CF8" s="912" t="str">
        <f t="shared" si="7"/>
        <v/>
      </c>
      <c r="CG8" s="912" t="str">
        <f t="shared" si="7"/>
        <v/>
      </c>
      <c r="CH8" s="912" t="str">
        <f t="shared" si="7"/>
        <v/>
      </c>
      <c r="CI8" s="912" t="str">
        <f t="shared" si="7"/>
        <v/>
      </c>
      <c r="CJ8" s="912" t="str">
        <f t="shared" si="7"/>
        <v/>
      </c>
      <c r="CK8" s="912" t="str">
        <f t="shared" si="7"/>
        <v/>
      </c>
      <c r="CL8" s="912" t="str">
        <f t="shared" si="7"/>
        <v/>
      </c>
      <c r="CM8" s="912" t="str">
        <f t="shared" si="7"/>
        <v/>
      </c>
      <c r="CN8" s="912" t="str">
        <f t="shared" si="7"/>
        <v/>
      </c>
      <c r="CO8" s="912" t="str">
        <f t="shared" si="7"/>
        <v/>
      </c>
      <c r="CP8" s="912" t="str">
        <f t="shared" si="7"/>
        <v/>
      </c>
      <c r="CQ8" s="912" t="str">
        <f t="shared" si="7"/>
        <v/>
      </c>
      <c r="CR8" s="912" t="str">
        <f t="shared" si="7"/>
        <v/>
      </c>
      <c r="CS8" s="912" t="str">
        <f t="shared" si="7"/>
        <v/>
      </c>
      <c r="CT8" s="912" t="str">
        <f t="shared" si="7"/>
        <v/>
      </c>
      <c r="CU8" s="912" t="str">
        <f t="shared" si="7"/>
        <v/>
      </c>
      <c r="CV8" s="912" t="str">
        <f t="shared" si="7"/>
        <v/>
      </c>
      <c r="CW8" s="917" t="str">
        <f t="shared" si="7"/>
        <v/>
      </c>
      <c r="DA8" s="585"/>
      <c r="DB8" s="587"/>
      <c r="DC8" s="880" t="str">
        <f>CONCATENATE(B46,C46,D46,E46,F46,"},")</f>
        <v>{"MapInstance":{"centerLatitude":0,"centerLongitude":0},</v>
      </c>
      <c r="DD8" s="880"/>
      <c r="DE8" s="880"/>
      <c r="DF8" s="880"/>
      <c r="DG8" s="880"/>
      <c r="DH8" s="880"/>
      <c r="DI8" s="880"/>
      <c r="DJ8" s="880"/>
      <c r="DK8" s="880"/>
      <c r="DL8" s="880"/>
      <c r="DM8" s="880"/>
      <c r="DN8" s="880"/>
      <c r="DO8" s="880"/>
      <c r="DP8" s="880"/>
      <c r="DQ8" s="880"/>
      <c r="DR8" s="880"/>
      <c r="DS8" s="881"/>
    </row>
    <row r="9" spans="1:123" x14ac:dyDescent="0.2">
      <c r="M9" s="766"/>
      <c r="N9" s="768"/>
      <c r="O9" s="768"/>
      <c r="P9" s="768"/>
      <c r="Q9" s="768"/>
      <c r="R9" s="589"/>
      <c r="S9" s="593" t="s">
        <v>457</v>
      </c>
      <c r="T9" s="594">
        <f t="shared" ref="T9:BC9" si="8">IFERROR($C$27+ATAN2(COS(T7/$C$25)-SIN($E$26)*SIN(T8*PI()/180),SIN((T$4-5)*PI()/180)*SIN(T$7/$C$25)*COS($E$26))*180/PI(),"")</f>
        <v>2.68768595102742E-4</v>
      </c>
      <c r="U9" s="595">
        <f t="shared" si="8"/>
        <v>7.9813938750372855E-4</v>
      </c>
      <c r="V9" s="595">
        <f t="shared" si="8"/>
        <v>1.303259118368381E-3</v>
      </c>
      <c r="W9" s="595">
        <f t="shared" si="8"/>
        <v>1.768779980231521E-3</v>
      </c>
      <c r="X9" s="595">
        <f t="shared" si="8"/>
        <v>2.1805573572703601E-3</v>
      </c>
      <c r="Y9" s="595">
        <f t="shared" si="8"/>
        <v>2.5260796022987518E-3</v>
      </c>
      <c r="Z9" s="595">
        <f t="shared" si="8"/>
        <v>2.7948481968234789E-3</v>
      </c>
      <c r="AA9" s="595">
        <f t="shared" si="8"/>
        <v>2.9786967431949243E-3</v>
      </c>
      <c r="AB9" s="595">
        <f t="shared" si="8"/>
        <v>3.0720390964427231E-3</v>
      </c>
      <c r="AC9" s="595">
        <f t="shared" si="8"/>
        <v>3.0720390964427231E-3</v>
      </c>
      <c r="AD9" s="595">
        <f t="shared" si="8"/>
        <v>2.9786967431949243E-3</v>
      </c>
      <c r="AE9" s="595">
        <f t="shared" si="8"/>
        <v>2.7948481968234793E-3</v>
      </c>
      <c r="AF9" s="595">
        <f t="shared" si="8"/>
        <v>2.5260796022987522E-3</v>
      </c>
      <c r="AG9" s="595">
        <f t="shared" si="8"/>
        <v>2.1805573572703605E-3</v>
      </c>
      <c r="AH9" s="595">
        <f t="shared" si="8"/>
        <v>1.7687799802315219E-3</v>
      </c>
      <c r="AI9" s="595">
        <f t="shared" si="8"/>
        <v>1.303259118368381E-3</v>
      </c>
      <c r="AJ9" s="595">
        <f t="shared" si="8"/>
        <v>7.9813938750372953E-4</v>
      </c>
      <c r="AK9" s="595">
        <f t="shared" si="8"/>
        <v>2.6876859510274341E-4</v>
      </c>
      <c r="AL9" s="595">
        <f t="shared" si="8"/>
        <v>-2.6876859510274129E-4</v>
      </c>
      <c r="AM9" s="595">
        <f t="shared" si="8"/>
        <v>-7.9813938750372747E-4</v>
      </c>
      <c r="AN9" s="595">
        <f t="shared" si="8"/>
        <v>-1.3032591183683802E-3</v>
      </c>
      <c r="AO9" s="595">
        <f t="shared" si="8"/>
        <v>-1.7687799802315201E-3</v>
      </c>
      <c r="AP9" s="595">
        <f t="shared" si="8"/>
        <v>-2.1805573572703601E-3</v>
      </c>
      <c r="AQ9" s="595">
        <f t="shared" si="8"/>
        <v>-2.5260796022987509E-3</v>
      </c>
      <c r="AR9" s="595">
        <f t="shared" si="8"/>
        <v>-2.794848196823478E-3</v>
      </c>
      <c r="AS9" s="595">
        <f t="shared" si="8"/>
        <v>-2.9786967431949243E-3</v>
      </c>
      <c r="AT9" s="595">
        <f t="shared" si="8"/>
        <v>-3.0720390964427231E-3</v>
      </c>
      <c r="AU9" s="595">
        <f t="shared" si="8"/>
        <v>-3.0720390964427231E-3</v>
      </c>
      <c r="AV9" s="595">
        <f t="shared" si="8"/>
        <v>-2.9786967431949243E-3</v>
      </c>
      <c r="AW9" s="595">
        <f t="shared" si="8"/>
        <v>-2.7948481968234789E-3</v>
      </c>
      <c r="AX9" s="595">
        <f t="shared" si="8"/>
        <v>-2.5260796022987518E-3</v>
      </c>
      <c r="AY9" s="595">
        <f t="shared" si="8"/>
        <v>-2.1805573572703609E-3</v>
      </c>
      <c r="AZ9" s="595">
        <f t="shared" si="8"/>
        <v>-1.7687799802315223E-3</v>
      </c>
      <c r="BA9" s="595">
        <f t="shared" si="8"/>
        <v>-1.3032591183683828E-3</v>
      </c>
      <c r="BB9" s="595">
        <f t="shared" si="8"/>
        <v>-7.9813938750372833E-4</v>
      </c>
      <c r="BC9" s="596">
        <f t="shared" si="8"/>
        <v>-2.6876859510274238E-4</v>
      </c>
      <c r="BE9" s="876">
        <v>3</v>
      </c>
      <c r="BF9" s="935" t="str">
        <f>IF('Create EDOX for Pre-ESDUView'!B17=0,"",'Create EDOX for Pre-ESDUView'!B17)</f>
        <v/>
      </c>
      <c r="BG9" s="931" t="str">
        <f>IF('Create EDOX for Pre-ESDUView'!C17=0,"",'Create EDOX for Pre-ESDUView'!C17)</f>
        <v/>
      </c>
      <c r="BH9" s="931" t="str">
        <f>IF('Create EDOX for Pre-ESDUView'!D17=0,"",'Create EDOX for Pre-ESDUView'!D17)</f>
        <v/>
      </c>
      <c r="BI9" s="931" t="str">
        <f>IF('Create EDOX for Pre-ESDUView'!E17=0,"",'Create EDOX for Pre-ESDUView'!E17)</f>
        <v/>
      </c>
      <c r="BJ9" s="931">
        <f>IF('Create EDOX for Pre-ESDUView'!F17=0,"",'Create EDOX for Pre-ESDUView'!F17)</f>
        <v>0.1</v>
      </c>
      <c r="BK9" s="931" t="str">
        <f>IF('Create EDOX for Pre-ESDUView'!G17=0,"",'Create EDOX for Pre-ESDUView'!G17)</f>
        <v/>
      </c>
      <c r="BL9" s="931" t="str">
        <f>IF('Create EDOX for Pre-ESDUView'!H17=0,"",'Create EDOX for Pre-ESDUView'!H17)</f>
        <v/>
      </c>
      <c r="BM9" s="931" t="str">
        <f>IF('Create EDOX for Pre-ESDUView'!I17=0,"",'Create EDOX for Pre-ESDUView'!I17)</f>
        <v/>
      </c>
      <c r="BN9" s="931" t="str">
        <f>IF('Create EDOX for Pre-ESDUView'!J17=0,"",'Create EDOX for Pre-ESDUView'!J17)</f>
        <v/>
      </c>
      <c r="BO9" s="931" t="str">
        <f>IF('Create EDOX for Pre-ESDUView'!K17=0,"",'Create EDOX for Pre-ESDUView'!K17)</f>
        <v/>
      </c>
      <c r="BP9" s="931" t="str">
        <f>IF('Create EDOX for Pre-ESDUView'!L17=0,"",'Create EDOX for Pre-ESDUView'!L17)</f>
        <v/>
      </c>
      <c r="BQ9" s="931" t="str">
        <f>IF('Create EDOX for Pre-ESDUView'!M17=0,"",'Create EDOX for Pre-ESDUView'!M17)</f>
        <v/>
      </c>
      <c r="BR9" s="931" t="str">
        <f>IF('Create EDOX for Pre-ESDUView'!N17=0,"",'Create EDOX for Pre-ESDUView'!N17)</f>
        <v/>
      </c>
      <c r="BS9" s="931" t="str">
        <f>IF('Create EDOX for Pre-ESDUView'!O17=0,"",'Create EDOX for Pre-ESDUView'!O17)</f>
        <v/>
      </c>
      <c r="BT9" s="931" t="str">
        <f>IF('Create EDOX for Pre-ESDUView'!P17=0,"",'Create EDOX for Pre-ESDUView'!P17)</f>
        <v/>
      </c>
      <c r="BU9" s="931" t="str">
        <f>IF('Create EDOX for Pre-ESDUView'!Q17=0,"",'Create EDOX for Pre-ESDUView'!Q17)</f>
        <v/>
      </c>
      <c r="BV9" s="931" t="str">
        <f>IF('Create EDOX for Pre-ESDUView'!R17=0,"",'Create EDOX for Pre-ESDUView'!R17)</f>
        <v/>
      </c>
      <c r="BW9" s="931" t="str">
        <f>IF('Create EDOX for Pre-ESDUView'!S17=0,"",'Create EDOX for Pre-ESDUView'!S17)</f>
        <v/>
      </c>
      <c r="BX9" s="931" t="str">
        <f>IF('Create EDOX for Pre-ESDUView'!T17=0,"",'Create EDOX for Pre-ESDUView'!T17)</f>
        <v/>
      </c>
      <c r="BY9" s="931" t="str">
        <f>IF('Create EDOX for Pre-ESDUView'!U17=0,"",'Create EDOX for Pre-ESDUView'!U17)</f>
        <v/>
      </c>
      <c r="BZ9" s="936" t="str">
        <f>IF('Create EDOX for Pre-ESDUView'!V17=0,"",'Create EDOX for Pre-ESDUView'!V17)</f>
        <v/>
      </c>
      <c r="CB9" s="875">
        <f>RWDI_FACTORS!J108</f>
        <v>50</v>
      </c>
      <c r="CC9" s="916">
        <f t="shared" ref="CC9:CW9" si="9">IF(CC$4=$X$6,$X$4,"")</f>
        <v>50</v>
      </c>
      <c r="CD9" s="912" t="str">
        <f t="shared" si="9"/>
        <v/>
      </c>
      <c r="CE9" s="912" t="str">
        <f t="shared" si="9"/>
        <v/>
      </c>
      <c r="CF9" s="912" t="str">
        <f t="shared" si="9"/>
        <v/>
      </c>
      <c r="CG9" s="912" t="str">
        <f t="shared" si="9"/>
        <v/>
      </c>
      <c r="CH9" s="912" t="str">
        <f t="shared" si="9"/>
        <v/>
      </c>
      <c r="CI9" s="912" t="str">
        <f t="shared" si="9"/>
        <v/>
      </c>
      <c r="CJ9" s="912" t="str">
        <f t="shared" si="9"/>
        <v/>
      </c>
      <c r="CK9" s="912" t="str">
        <f t="shared" si="9"/>
        <v/>
      </c>
      <c r="CL9" s="912" t="str">
        <f t="shared" si="9"/>
        <v/>
      </c>
      <c r="CM9" s="912" t="str">
        <f t="shared" si="9"/>
        <v/>
      </c>
      <c r="CN9" s="912" t="str">
        <f t="shared" si="9"/>
        <v/>
      </c>
      <c r="CO9" s="912" t="str">
        <f t="shared" si="9"/>
        <v/>
      </c>
      <c r="CP9" s="912" t="str">
        <f t="shared" si="9"/>
        <v/>
      </c>
      <c r="CQ9" s="912" t="str">
        <f t="shared" si="9"/>
        <v/>
      </c>
      <c r="CR9" s="912" t="str">
        <f t="shared" si="9"/>
        <v/>
      </c>
      <c r="CS9" s="912" t="str">
        <f t="shared" si="9"/>
        <v/>
      </c>
      <c r="CT9" s="912" t="str">
        <f t="shared" si="9"/>
        <v/>
      </c>
      <c r="CU9" s="912" t="str">
        <f t="shared" si="9"/>
        <v/>
      </c>
      <c r="CV9" s="912" t="str">
        <f t="shared" si="9"/>
        <v/>
      </c>
      <c r="CW9" s="917" t="str">
        <f t="shared" si="9"/>
        <v/>
      </c>
      <c r="DA9" s="585"/>
      <c r="DB9" s="587"/>
      <c r="DC9" s="587"/>
      <c r="DD9" s="587"/>
      <c r="DE9" s="587"/>
      <c r="DF9" s="587"/>
      <c r="DG9" s="587"/>
      <c r="DH9" s="587"/>
      <c r="DI9" s="587"/>
      <c r="DJ9" s="587"/>
      <c r="DK9" s="587"/>
      <c r="DL9" s="587"/>
      <c r="DM9" s="587"/>
      <c r="DN9" s="587"/>
      <c r="DO9" s="587"/>
      <c r="DP9" s="587"/>
      <c r="DQ9" s="587"/>
      <c r="DR9" s="587"/>
      <c r="DS9" s="588"/>
    </row>
    <row r="10" spans="1:123" x14ac:dyDescent="0.2">
      <c r="M10" s="766"/>
      <c r="N10" s="768"/>
      <c r="O10" s="768"/>
      <c r="P10" s="768"/>
      <c r="Q10" s="768"/>
      <c r="R10" s="589"/>
      <c r="S10" s="593" t="s">
        <v>458</v>
      </c>
      <c r="T10" s="594">
        <f t="shared" ref="T10:BC10" si="10">IFERROR(ASIN(SIN($E$26)*COS(T7/$C$25)+COS($E$26)*SIN(T7/$C$25)*COS((T$4+5)*PI()/180))*180/PI(),"")</f>
        <v>2.9786967429059172E-3</v>
      </c>
      <c r="U10" s="595">
        <f t="shared" si="10"/>
        <v>2.7948481961004691E-3</v>
      </c>
      <c r="V10" s="595">
        <f t="shared" si="10"/>
        <v>2.526079601095048E-3</v>
      </c>
      <c r="W10" s="595">
        <f t="shared" si="10"/>
        <v>2.1805573556911966E-3</v>
      </c>
      <c r="X10" s="595">
        <f t="shared" si="10"/>
        <v>1.7687799785124549E-3</v>
      </c>
      <c r="Y10" s="595">
        <f t="shared" si="10"/>
        <v>1.3032591168178802E-3</v>
      </c>
      <c r="Z10" s="595">
        <f t="shared" si="10"/>
        <v>7.9813938642513929E-4</v>
      </c>
      <c r="AA10" s="595">
        <f t="shared" si="10"/>
        <v>2.6876859471641334E-4</v>
      </c>
      <c r="AB10" s="595">
        <f t="shared" si="10"/>
        <v>-2.6876859471641366E-4</v>
      </c>
      <c r="AC10" s="595">
        <f t="shared" si="10"/>
        <v>-7.9813938642513962E-4</v>
      </c>
      <c r="AD10" s="595">
        <f t="shared" si="10"/>
        <v>-1.3032591168178796E-3</v>
      </c>
      <c r="AE10" s="595">
        <f t="shared" si="10"/>
        <v>-1.7687799785124538E-3</v>
      </c>
      <c r="AF10" s="595">
        <f t="shared" si="10"/>
        <v>-2.1805573556911962E-3</v>
      </c>
      <c r="AG10" s="595">
        <f t="shared" si="10"/>
        <v>-2.526079601095048E-3</v>
      </c>
      <c r="AH10" s="595">
        <f t="shared" si="10"/>
        <v>-2.7948481961004687E-3</v>
      </c>
      <c r="AI10" s="595">
        <f t="shared" si="10"/>
        <v>-2.9786967429059168E-3</v>
      </c>
      <c r="AJ10" s="595">
        <f t="shared" si="10"/>
        <v>-3.0720390964089242E-3</v>
      </c>
      <c r="AK10" s="595">
        <f t="shared" si="10"/>
        <v>-3.0720390964089242E-3</v>
      </c>
      <c r="AL10" s="595">
        <f t="shared" si="10"/>
        <v>-2.9786967429059176E-3</v>
      </c>
      <c r="AM10" s="595">
        <f t="shared" si="10"/>
        <v>-2.7948481961004691E-3</v>
      </c>
      <c r="AN10" s="595">
        <f t="shared" si="10"/>
        <v>-2.5260796010950493E-3</v>
      </c>
      <c r="AO10" s="595">
        <f t="shared" si="10"/>
        <v>-2.1805573556911971E-3</v>
      </c>
      <c r="AP10" s="595">
        <f t="shared" si="10"/>
        <v>-1.7687799785124551E-3</v>
      </c>
      <c r="AQ10" s="595">
        <f t="shared" si="10"/>
        <v>-1.3032591168178815E-3</v>
      </c>
      <c r="AR10" s="595">
        <f t="shared" si="10"/>
        <v>-7.9813938642513897E-4</v>
      </c>
      <c r="AS10" s="595">
        <f t="shared" si="10"/>
        <v>-2.6876859471641371E-4</v>
      </c>
      <c r="AT10" s="595">
        <f t="shared" si="10"/>
        <v>2.6876859471641258E-4</v>
      </c>
      <c r="AU10" s="595">
        <f t="shared" si="10"/>
        <v>7.9813938642514049E-4</v>
      </c>
      <c r="AV10" s="595">
        <f t="shared" si="10"/>
        <v>1.3032591168178809E-3</v>
      </c>
      <c r="AW10" s="595">
        <f t="shared" si="10"/>
        <v>1.7687799785124547E-3</v>
      </c>
      <c r="AX10" s="595">
        <f t="shared" si="10"/>
        <v>2.1805573556911957E-3</v>
      </c>
      <c r="AY10" s="595">
        <f t="shared" si="10"/>
        <v>2.526079601095048E-3</v>
      </c>
      <c r="AZ10" s="595">
        <f t="shared" si="10"/>
        <v>2.7948481961004687E-3</v>
      </c>
      <c r="BA10" s="595">
        <f t="shared" si="10"/>
        <v>2.9786967429059172E-3</v>
      </c>
      <c r="BB10" s="595">
        <f t="shared" si="10"/>
        <v>3.0720390964089242E-3</v>
      </c>
      <c r="BC10" s="596">
        <f t="shared" si="10"/>
        <v>3.0720390964089242E-3</v>
      </c>
      <c r="BE10" s="876">
        <v>4</v>
      </c>
      <c r="BF10" s="935" t="str">
        <f>IF('Create EDOX for Pre-ESDUView'!B19=0,"",'Create EDOX for Pre-ESDUView'!B19)</f>
        <v/>
      </c>
      <c r="BG10" s="931" t="str">
        <f>IF('Create EDOX for Pre-ESDUView'!C19=0,"",'Create EDOX for Pre-ESDUView'!C19)</f>
        <v/>
      </c>
      <c r="BH10" s="931" t="str">
        <f>IF('Create EDOX for Pre-ESDUView'!D19=0,"",'Create EDOX for Pre-ESDUView'!D19)</f>
        <v/>
      </c>
      <c r="BI10" s="931" t="str">
        <f>IF('Create EDOX for Pre-ESDUView'!E19=0,"",'Create EDOX for Pre-ESDUView'!E19)</f>
        <v/>
      </c>
      <c r="BJ10" s="931" t="str">
        <f>IF('Create EDOX for Pre-ESDUView'!F19=0,"",'Create EDOX for Pre-ESDUView'!F19)</f>
        <v/>
      </c>
      <c r="BK10" s="931" t="str">
        <f>IF('Create EDOX for Pre-ESDUView'!G19=0,"",'Create EDOX for Pre-ESDUView'!G19)</f>
        <v/>
      </c>
      <c r="BL10" s="931" t="str">
        <f>IF('Create EDOX for Pre-ESDUView'!H19=0,"",'Create EDOX for Pre-ESDUView'!H19)</f>
        <v/>
      </c>
      <c r="BM10" s="931" t="str">
        <f>IF('Create EDOX for Pre-ESDUView'!I19=0,"",'Create EDOX for Pre-ESDUView'!I19)</f>
        <v/>
      </c>
      <c r="BN10" s="931" t="str">
        <f>IF('Create EDOX for Pre-ESDUView'!J19=0,"",'Create EDOX for Pre-ESDUView'!J19)</f>
        <v/>
      </c>
      <c r="BO10" s="931" t="str">
        <f>IF('Create EDOX for Pre-ESDUView'!K19=0,"",'Create EDOX for Pre-ESDUView'!K19)</f>
        <v/>
      </c>
      <c r="BP10" s="931" t="str">
        <f>IF('Create EDOX for Pre-ESDUView'!L19=0,"",'Create EDOX for Pre-ESDUView'!L19)</f>
        <v/>
      </c>
      <c r="BQ10" s="931" t="str">
        <f>IF('Create EDOX for Pre-ESDUView'!M19=0,"",'Create EDOX for Pre-ESDUView'!M19)</f>
        <v/>
      </c>
      <c r="BR10" s="931" t="str">
        <f>IF('Create EDOX for Pre-ESDUView'!N19=0,"",'Create EDOX for Pre-ESDUView'!N19)</f>
        <v/>
      </c>
      <c r="BS10" s="931" t="str">
        <f>IF('Create EDOX for Pre-ESDUView'!O19=0,"",'Create EDOX for Pre-ESDUView'!O19)</f>
        <v/>
      </c>
      <c r="BT10" s="931" t="str">
        <f>IF('Create EDOX for Pre-ESDUView'!P19=0,"",'Create EDOX for Pre-ESDUView'!P19)</f>
        <v/>
      </c>
      <c r="BU10" s="931" t="str">
        <f>IF('Create EDOX for Pre-ESDUView'!Q19=0,"",'Create EDOX for Pre-ESDUView'!Q19)</f>
        <v/>
      </c>
      <c r="BV10" s="931" t="str">
        <f>IF('Create EDOX for Pre-ESDUView'!R19=0,"",'Create EDOX for Pre-ESDUView'!R19)</f>
        <v/>
      </c>
      <c r="BW10" s="931" t="str">
        <f>IF('Create EDOX for Pre-ESDUView'!S19=0,"",'Create EDOX for Pre-ESDUView'!S19)</f>
        <v/>
      </c>
      <c r="BX10" s="931" t="str">
        <f>IF('Create EDOX for Pre-ESDUView'!T19=0,"",'Create EDOX for Pre-ESDUView'!T19)</f>
        <v/>
      </c>
      <c r="BY10" s="931" t="str">
        <f>IF('Create EDOX for Pre-ESDUView'!U19=0,"",'Create EDOX for Pre-ESDUView'!U19)</f>
        <v/>
      </c>
      <c r="BZ10" s="936" t="str">
        <f>IF('Create EDOX for Pre-ESDUView'!V19=0,"",'Create EDOX for Pre-ESDUView'!V19)</f>
        <v/>
      </c>
      <c r="CB10" s="875">
        <f>RWDI_FACTORS!J109</f>
        <v>60</v>
      </c>
      <c r="CC10" s="916">
        <f t="shared" ref="CC10:CW10" si="11">IF(CC$4=$Y$6,$Y$4,"")</f>
        <v>60</v>
      </c>
      <c r="CD10" s="912" t="str">
        <f t="shared" si="11"/>
        <v/>
      </c>
      <c r="CE10" s="912" t="str">
        <f t="shared" si="11"/>
        <v/>
      </c>
      <c r="CF10" s="912" t="str">
        <f t="shared" si="11"/>
        <v/>
      </c>
      <c r="CG10" s="912" t="str">
        <f t="shared" si="11"/>
        <v/>
      </c>
      <c r="CH10" s="912" t="str">
        <f t="shared" si="11"/>
        <v/>
      </c>
      <c r="CI10" s="912" t="str">
        <f t="shared" si="11"/>
        <v/>
      </c>
      <c r="CJ10" s="912" t="str">
        <f t="shared" si="11"/>
        <v/>
      </c>
      <c r="CK10" s="912" t="str">
        <f t="shared" si="11"/>
        <v/>
      </c>
      <c r="CL10" s="912" t="str">
        <f t="shared" si="11"/>
        <v/>
      </c>
      <c r="CM10" s="912" t="str">
        <f t="shared" si="11"/>
        <v/>
      </c>
      <c r="CN10" s="912" t="str">
        <f t="shared" si="11"/>
        <v/>
      </c>
      <c r="CO10" s="912" t="str">
        <f t="shared" si="11"/>
        <v/>
      </c>
      <c r="CP10" s="912" t="str">
        <f t="shared" si="11"/>
        <v/>
      </c>
      <c r="CQ10" s="912" t="str">
        <f t="shared" si="11"/>
        <v/>
      </c>
      <c r="CR10" s="912" t="str">
        <f t="shared" si="11"/>
        <v/>
      </c>
      <c r="CS10" s="912" t="str">
        <f t="shared" si="11"/>
        <v/>
      </c>
      <c r="CT10" s="912" t="str">
        <f t="shared" si="11"/>
        <v/>
      </c>
      <c r="CU10" s="912" t="str">
        <f t="shared" si="11"/>
        <v/>
      </c>
      <c r="CV10" s="912" t="str">
        <f t="shared" si="11"/>
        <v/>
      </c>
      <c r="CW10" s="917" t="str">
        <f t="shared" si="11"/>
        <v/>
      </c>
      <c r="DA10" s="642" t="s">
        <v>483</v>
      </c>
      <c r="DB10" s="587"/>
      <c r="DC10" s="587"/>
      <c r="DD10" s="587"/>
      <c r="DE10" s="587"/>
      <c r="DF10" s="587"/>
      <c r="DG10" s="587"/>
      <c r="DH10" s="587"/>
      <c r="DI10" s="587"/>
      <c r="DJ10" s="587"/>
      <c r="DK10" s="587"/>
      <c r="DL10" s="587"/>
      <c r="DM10" s="587"/>
      <c r="DN10" s="587"/>
      <c r="DO10" s="587"/>
      <c r="DP10" s="587"/>
      <c r="DQ10" s="587"/>
      <c r="DR10" s="587"/>
      <c r="DS10" s="588"/>
    </row>
    <row r="11" spans="1:123" ht="13.5" thickBot="1" x14ac:dyDescent="0.25">
      <c r="M11" s="766"/>
      <c r="N11" s="768"/>
      <c r="O11" s="768"/>
      <c r="P11" s="768"/>
      <c r="Q11" s="768"/>
      <c r="R11" s="589"/>
      <c r="S11" s="597" t="s">
        <v>459</v>
      </c>
      <c r="T11" s="598">
        <f t="shared" ref="T11:BC11" si="12">IFERROR($C$27+ATAN2(COS(T9/$C$25)-SIN($E$26)*SIN(T10*PI()/180),SIN((T$4+5)*PI()/180)*SIN(T$7/$C$25)*COS($E$26))*180/PI(),"")</f>
        <v>7.9813938634770015E-4</v>
      </c>
      <c r="U11" s="599">
        <f t="shared" si="12"/>
        <v>1.3032591164807348E-3</v>
      </c>
      <c r="V11" s="599">
        <f t="shared" si="12"/>
        <v>1.7687799776696126E-3</v>
      </c>
      <c r="W11" s="599">
        <f t="shared" si="12"/>
        <v>2.1805573541120319E-3</v>
      </c>
      <c r="X11" s="599">
        <f t="shared" si="12"/>
        <v>2.5260795986399667E-3</v>
      </c>
      <c r="Y11" s="599">
        <f t="shared" si="12"/>
        <v>2.7948481927754089E-3</v>
      </c>
      <c r="Z11" s="599">
        <f t="shared" si="12"/>
        <v>2.9786967388805673E-3</v>
      </c>
      <c r="AA11" s="599">
        <f t="shared" si="12"/>
        <v>3.0720390919931691E-3</v>
      </c>
      <c r="AB11" s="599">
        <f t="shared" si="12"/>
        <v>3.0720390919931691E-3</v>
      </c>
      <c r="AC11" s="599">
        <f t="shared" si="12"/>
        <v>2.9786967388805673E-3</v>
      </c>
      <c r="AD11" s="599">
        <f t="shared" si="12"/>
        <v>2.7948481927754097E-3</v>
      </c>
      <c r="AE11" s="599">
        <f t="shared" si="12"/>
        <v>2.526079598639968E-3</v>
      </c>
      <c r="AF11" s="599">
        <f t="shared" si="12"/>
        <v>2.1805573541120319E-3</v>
      </c>
      <c r="AG11" s="599">
        <f t="shared" si="12"/>
        <v>1.7687799776696135E-3</v>
      </c>
      <c r="AH11" s="599">
        <f t="shared" si="12"/>
        <v>1.303259116480735E-3</v>
      </c>
      <c r="AI11" s="599">
        <f t="shared" si="12"/>
        <v>7.9813938634770102E-4</v>
      </c>
      <c r="AJ11" s="599">
        <f t="shared" si="12"/>
        <v>2.6876859471345785E-4</v>
      </c>
      <c r="AK11" s="599">
        <f t="shared" si="12"/>
        <v>-2.6876859471345574E-4</v>
      </c>
      <c r="AL11" s="599">
        <f t="shared" si="12"/>
        <v>-7.9813938634769896E-4</v>
      </c>
      <c r="AM11" s="599">
        <f t="shared" si="12"/>
        <v>-1.3032591164807343E-3</v>
      </c>
      <c r="AN11" s="599">
        <f t="shared" si="12"/>
        <v>-1.7687799776696118E-3</v>
      </c>
      <c r="AO11" s="599">
        <f t="shared" si="12"/>
        <v>-2.1805573541120319E-3</v>
      </c>
      <c r="AP11" s="599">
        <f t="shared" si="12"/>
        <v>-2.5260795986399667E-3</v>
      </c>
      <c r="AQ11" s="599">
        <f t="shared" si="12"/>
        <v>-2.7948481927754084E-3</v>
      </c>
      <c r="AR11" s="599">
        <f t="shared" si="12"/>
        <v>-2.9786967388805673E-3</v>
      </c>
      <c r="AS11" s="599">
        <f t="shared" si="12"/>
        <v>-3.0720390919931691E-3</v>
      </c>
      <c r="AT11" s="599">
        <f t="shared" si="12"/>
        <v>-3.0720390919931691E-3</v>
      </c>
      <c r="AU11" s="599">
        <f t="shared" si="12"/>
        <v>-2.9786967388805673E-3</v>
      </c>
      <c r="AV11" s="599">
        <f t="shared" si="12"/>
        <v>-2.7948481927754089E-3</v>
      </c>
      <c r="AW11" s="599">
        <f t="shared" si="12"/>
        <v>-2.5260795986399667E-3</v>
      </c>
      <c r="AX11" s="599">
        <f t="shared" si="12"/>
        <v>-2.1805573541120323E-3</v>
      </c>
      <c r="AY11" s="599">
        <f t="shared" si="12"/>
        <v>-1.7687799776696137E-3</v>
      </c>
      <c r="AZ11" s="599">
        <f t="shared" si="12"/>
        <v>-1.3032591164807367E-3</v>
      </c>
      <c r="BA11" s="599">
        <f t="shared" si="12"/>
        <v>-7.9813938634769983E-4</v>
      </c>
      <c r="BB11" s="599">
        <f t="shared" si="12"/>
        <v>-2.6876859471345688E-4</v>
      </c>
      <c r="BC11" s="600">
        <f t="shared" si="12"/>
        <v>2.6876859471345807E-4</v>
      </c>
      <c r="BE11" s="876">
        <v>5</v>
      </c>
      <c r="BF11" s="935" t="str">
        <f>IF('Create EDOX for Pre-ESDUView'!B21=0,"",'Create EDOX for Pre-ESDUView'!B21)</f>
        <v/>
      </c>
      <c r="BG11" s="931" t="str">
        <f>IF('Create EDOX for Pre-ESDUView'!C21=0,"",'Create EDOX for Pre-ESDUView'!C21)</f>
        <v/>
      </c>
      <c r="BH11" s="931" t="str">
        <f>IF('Create EDOX for Pre-ESDUView'!D21=0,"",'Create EDOX for Pre-ESDUView'!D21)</f>
        <v/>
      </c>
      <c r="BI11" s="931" t="str">
        <f>IF('Create EDOX for Pre-ESDUView'!E21=0,"",'Create EDOX for Pre-ESDUView'!E21)</f>
        <v/>
      </c>
      <c r="BJ11" s="931" t="str">
        <f>IF('Create EDOX for Pre-ESDUView'!F21=0,"",'Create EDOX for Pre-ESDUView'!F21)</f>
        <v/>
      </c>
      <c r="BK11" s="931" t="str">
        <f>IF('Create EDOX for Pre-ESDUView'!G21=0,"",'Create EDOX for Pre-ESDUView'!G21)</f>
        <v/>
      </c>
      <c r="BL11" s="931" t="str">
        <f>IF('Create EDOX for Pre-ESDUView'!H21=0,"",'Create EDOX for Pre-ESDUView'!H21)</f>
        <v/>
      </c>
      <c r="BM11" s="931" t="str">
        <f>IF('Create EDOX for Pre-ESDUView'!I21=0,"",'Create EDOX for Pre-ESDUView'!I21)</f>
        <v/>
      </c>
      <c r="BN11" s="931" t="str">
        <f>IF('Create EDOX for Pre-ESDUView'!J21=0,"",'Create EDOX for Pre-ESDUView'!J21)</f>
        <v/>
      </c>
      <c r="BO11" s="931" t="str">
        <f>IF('Create EDOX for Pre-ESDUView'!K21=0,"",'Create EDOX for Pre-ESDUView'!K21)</f>
        <v/>
      </c>
      <c r="BP11" s="931" t="str">
        <f>IF('Create EDOX for Pre-ESDUView'!L21=0,"",'Create EDOX for Pre-ESDUView'!L21)</f>
        <v/>
      </c>
      <c r="BQ11" s="931" t="str">
        <f>IF('Create EDOX for Pre-ESDUView'!M21=0,"",'Create EDOX for Pre-ESDUView'!M21)</f>
        <v/>
      </c>
      <c r="BR11" s="931" t="str">
        <f>IF('Create EDOX for Pre-ESDUView'!N21=0,"",'Create EDOX for Pre-ESDUView'!N21)</f>
        <v/>
      </c>
      <c r="BS11" s="931" t="str">
        <f>IF('Create EDOX for Pre-ESDUView'!O21=0,"",'Create EDOX for Pre-ESDUView'!O21)</f>
        <v/>
      </c>
      <c r="BT11" s="931" t="str">
        <f>IF('Create EDOX for Pre-ESDUView'!P21=0,"",'Create EDOX for Pre-ESDUView'!P21)</f>
        <v/>
      </c>
      <c r="BU11" s="931" t="str">
        <f>IF('Create EDOX for Pre-ESDUView'!Q21=0,"",'Create EDOX for Pre-ESDUView'!Q21)</f>
        <v/>
      </c>
      <c r="BV11" s="931" t="str">
        <f>IF('Create EDOX for Pre-ESDUView'!R21=0,"",'Create EDOX for Pre-ESDUView'!R21)</f>
        <v/>
      </c>
      <c r="BW11" s="931" t="str">
        <f>IF('Create EDOX for Pre-ESDUView'!S21=0,"",'Create EDOX for Pre-ESDUView'!S21)</f>
        <v/>
      </c>
      <c r="BX11" s="931" t="str">
        <f>IF('Create EDOX for Pre-ESDUView'!T21=0,"",'Create EDOX for Pre-ESDUView'!T21)</f>
        <v/>
      </c>
      <c r="BY11" s="931" t="str">
        <f>IF('Create EDOX for Pre-ESDUView'!U21=0,"",'Create EDOX for Pre-ESDUView'!U21)</f>
        <v/>
      </c>
      <c r="BZ11" s="936" t="str">
        <f>IF('Create EDOX for Pre-ESDUView'!V21=0,"",'Create EDOX for Pre-ESDUView'!V21)</f>
        <v/>
      </c>
      <c r="CB11" s="875">
        <f>RWDI_FACTORS!J110</f>
        <v>70</v>
      </c>
      <c r="CC11" s="916">
        <f t="shared" ref="CC11:CW11" si="13">IF(CC$4=$Z$6,$Z$4,"")</f>
        <v>70</v>
      </c>
      <c r="CD11" s="912" t="str">
        <f t="shared" si="13"/>
        <v/>
      </c>
      <c r="CE11" s="912" t="str">
        <f t="shared" si="13"/>
        <v/>
      </c>
      <c r="CF11" s="912" t="str">
        <f t="shared" si="13"/>
        <v/>
      </c>
      <c r="CG11" s="912" t="str">
        <f t="shared" si="13"/>
        <v/>
      </c>
      <c r="CH11" s="912" t="str">
        <f t="shared" si="13"/>
        <v/>
      </c>
      <c r="CI11" s="912" t="str">
        <f t="shared" si="13"/>
        <v/>
      </c>
      <c r="CJ11" s="912" t="str">
        <f t="shared" si="13"/>
        <v/>
      </c>
      <c r="CK11" s="912" t="str">
        <f t="shared" si="13"/>
        <v/>
      </c>
      <c r="CL11" s="912" t="str">
        <f t="shared" si="13"/>
        <v/>
      </c>
      <c r="CM11" s="912" t="str">
        <f t="shared" si="13"/>
        <v/>
      </c>
      <c r="CN11" s="912" t="str">
        <f t="shared" si="13"/>
        <v/>
      </c>
      <c r="CO11" s="912" t="str">
        <f t="shared" si="13"/>
        <v/>
      </c>
      <c r="CP11" s="912" t="str">
        <f t="shared" si="13"/>
        <v/>
      </c>
      <c r="CQ11" s="912" t="str">
        <f t="shared" si="13"/>
        <v/>
      </c>
      <c r="CR11" s="912" t="str">
        <f t="shared" si="13"/>
        <v/>
      </c>
      <c r="CS11" s="912" t="str">
        <f t="shared" si="13"/>
        <v/>
      </c>
      <c r="CT11" s="912" t="str">
        <f t="shared" si="13"/>
        <v/>
      </c>
      <c r="CU11" s="912" t="str">
        <f t="shared" si="13"/>
        <v/>
      </c>
      <c r="CV11" s="912" t="str">
        <f t="shared" si="13"/>
        <v/>
      </c>
      <c r="CW11" s="917" t="str">
        <f t="shared" si="13"/>
        <v/>
      </c>
      <c r="DA11" s="585"/>
      <c r="DB11" s="587"/>
      <c r="DC11" s="880" t="str">
        <f>CONCATENATE(B47,C47,D47,E47,F47,G47,H47,I47,J47,K47,L47,M47,N47,O47,P47,Q47,R47,"},")</f>
        <v>"RoseInstance":{"jobName":"Name","jobNumber":########,"startAngle":0,"numSectors":36,"scaleFactor":300,"projectCategory":"Structural","diskRadiusInFeet":4,"roseRadiusInKM":100},</v>
      </c>
      <c r="DD11" s="880"/>
      <c r="DE11" s="880"/>
      <c r="DF11" s="880"/>
      <c r="DG11" s="880"/>
      <c r="DH11" s="880"/>
      <c r="DI11" s="880"/>
      <c r="DJ11" s="880"/>
      <c r="DK11" s="880"/>
      <c r="DL11" s="880"/>
      <c r="DM11" s="880"/>
      <c r="DN11" s="880"/>
      <c r="DO11" s="880"/>
      <c r="DP11" s="880"/>
      <c r="DQ11" s="880"/>
      <c r="DR11" s="880"/>
      <c r="DS11" s="881"/>
    </row>
    <row r="12" spans="1:123" x14ac:dyDescent="0.2">
      <c r="M12" s="766"/>
      <c r="N12" s="768"/>
      <c r="O12" s="768"/>
      <c r="P12" s="768"/>
      <c r="Q12" s="768"/>
      <c r="R12" s="589"/>
      <c r="S12" s="715" t="s">
        <v>445</v>
      </c>
      <c r="T12" s="810" t="str">
        <f t="shared" ref="T12:BC12" si="14">IFERROR(VLOOKUP($S12,$U$46:$AP$51,6+T$6,FALSE),"")</f>
        <v/>
      </c>
      <c r="U12" s="601" t="str">
        <f t="shared" si="14"/>
        <v/>
      </c>
      <c r="V12" s="601" t="str">
        <f t="shared" si="14"/>
        <v/>
      </c>
      <c r="W12" s="601" t="str">
        <f t="shared" si="14"/>
        <v/>
      </c>
      <c r="X12" s="601" t="str">
        <f t="shared" si="14"/>
        <v/>
      </c>
      <c r="Y12" s="601" t="str">
        <f t="shared" si="14"/>
        <v/>
      </c>
      <c r="Z12" s="601" t="str">
        <f t="shared" si="14"/>
        <v/>
      </c>
      <c r="AA12" s="601" t="str">
        <f t="shared" si="14"/>
        <v/>
      </c>
      <c r="AB12" s="601" t="str">
        <f t="shared" si="14"/>
        <v/>
      </c>
      <c r="AC12" s="601" t="str">
        <f t="shared" si="14"/>
        <v/>
      </c>
      <c r="AD12" s="601" t="str">
        <f t="shared" si="14"/>
        <v/>
      </c>
      <c r="AE12" s="601" t="str">
        <f t="shared" si="14"/>
        <v/>
      </c>
      <c r="AF12" s="601" t="str">
        <f t="shared" si="14"/>
        <v/>
      </c>
      <c r="AG12" s="601" t="str">
        <f t="shared" si="14"/>
        <v/>
      </c>
      <c r="AH12" s="601" t="str">
        <f t="shared" si="14"/>
        <v/>
      </c>
      <c r="AI12" s="601" t="str">
        <f t="shared" si="14"/>
        <v/>
      </c>
      <c r="AJ12" s="601" t="str">
        <f t="shared" si="14"/>
        <v/>
      </c>
      <c r="AK12" s="601" t="str">
        <f t="shared" si="14"/>
        <v/>
      </c>
      <c r="AL12" s="601" t="str">
        <f t="shared" si="14"/>
        <v/>
      </c>
      <c r="AM12" s="601" t="str">
        <f t="shared" si="14"/>
        <v/>
      </c>
      <c r="AN12" s="601" t="str">
        <f t="shared" si="14"/>
        <v/>
      </c>
      <c r="AO12" s="601" t="str">
        <f t="shared" si="14"/>
        <v/>
      </c>
      <c r="AP12" s="601" t="str">
        <f t="shared" si="14"/>
        <v/>
      </c>
      <c r="AQ12" s="601" t="str">
        <f t="shared" si="14"/>
        <v/>
      </c>
      <c r="AR12" s="601" t="str">
        <f t="shared" si="14"/>
        <v/>
      </c>
      <c r="AS12" s="601" t="str">
        <f t="shared" si="14"/>
        <v/>
      </c>
      <c r="AT12" s="601" t="str">
        <f t="shared" si="14"/>
        <v/>
      </c>
      <c r="AU12" s="601" t="str">
        <f t="shared" si="14"/>
        <v/>
      </c>
      <c r="AV12" s="601" t="str">
        <f t="shared" si="14"/>
        <v/>
      </c>
      <c r="AW12" s="601" t="str">
        <f t="shared" si="14"/>
        <v/>
      </c>
      <c r="AX12" s="601" t="str">
        <f t="shared" si="14"/>
        <v/>
      </c>
      <c r="AY12" s="601" t="str">
        <f t="shared" si="14"/>
        <v/>
      </c>
      <c r="AZ12" s="601" t="str">
        <f t="shared" si="14"/>
        <v/>
      </c>
      <c r="BA12" s="601" t="str">
        <f t="shared" si="14"/>
        <v/>
      </c>
      <c r="BB12" s="601" t="str">
        <f t="shared" si="14"/>
        <v/>
      </c>
      <c r="BC12" s="602" t="str">
        <f t="shared" si="14"/>
        <v/>
      </c>
      <c r="BE12" s="876">
        <v>6</v>
      </c>
      <c r="BF12" s="935" t="str">
        <f>IF('Create EDOX for Pre-ESDUView'!B23=0,"",'Create EDOX for Pre-ESDUView'!B23)</f>
        <v/>
      </c>
      <c r="BG12" s="931" t="str">
        <f>IF('Create EDOX for Pre-ESDUView'!C23=0,"",'Create EDOX for Pre-ESDUView'!C23)</f>
        <v/>
      </c>
      <c r="BH12" s="931" t="str">
        <f>IF('Create EDOX for Pre-ESDUView'!D23=0,"",'Create EDOX for Pre-ESDUView'!D23)</f>
        <v/>
      </c>
      <c r="BI12" s="931" t="str">
        <f>IF('Create EDOX for Pre-ESDUView'!E23=0,"",'Create EDOX for Pre-ESDUView'!E23)</f>
        <v/>
      </c>
      <c r="BJ12" s="931" t="str">
        <f>IF('Create EDOX for Pre-ESDUView'!F23=0,"",'Create EDOX for Pre-ESDUView'!F23)</f>
        <v/>
      </c>
      <c r="BK12" s="931" t="str">
        <f>IF('Create EDOX for Pre-ESDUView'!G23=0,"",'Create EDOX for Pre-ESDUView'!G23)</f>
        <v/>
      </c>
      <c r="BL12" s="931" t="str">
        <f>IF('Create EDOX for Pre-ESDUView'!H23=0,"",'Create EDOX for Pre-ESDUView'!H23)</f>
        <v/>
      </c>
      <c r="BM12" s="931" t="str">
        <f>IF('Create EDOX for Pre-ESDUView'!I23=0,"",'Create EDOX for Pre-ESDUView'!I23)</f>
        <v/>
      </c>
      <c r="BN12" s="931" t="str">
        <f>IF('Create EDOX for Pre-ESDUView'!J23=0,"",'Create EDOX for Pre-ESDUView'!J23)</f>
        <v/>
      </c>
      <c r="BO12" s="931" t="str">
        <f>IF('Create EDOX for Pre-ESDUView'!K23=0,"",'Create EDOX for Pre-ESDUView'!K23)</f>
        <v/>
      </c>
      <c r="BP12" s="931" t="str">
        <f>IF('Create EDOX for Pre-ESDUView'!L23=0,"",'Create EDOX for Pre-ESDUView'!L23)</f>
        <v/>
      </c>
      <c r="BQ12" s="931" t="str">
        <f>IF('Create EDOX for Pre-ESDUView'!M23=0,"",'Create EDOX for Pre-ESDUView'!M23)</f>
        <v/>
      </c>
      <c r="BR12" s="931" t="str">
        <f>IF('Create EDOX for Pre-ESDUView'!N23=0,"",'Create EDOX for Pre-ESDUView'!N23)</f>
        <v/>
      </c>
      <c r="BS12" s="931" t="str">
        <f>IF('Create EDOX for Pre-ESDUView'!O23=0,"",'Create EDOX for Pre-ESDUView'!O23)</f>
        <v/>
      </c>
      <c r="BT12" s="931" t="str">
        <f>IF('Create EDOX for Pre-ESDUView'!P23=0,"",'Create EDOX for Pre-ESDUView'!P23)</f>
        <v/>
      </c>
      <c r="BU12" s="931" t="str">
        <f>IF('Create EDOX for Pre-ESDUView'!Q23=0,"",'Create EDOX for Pre-ESDUView'!Q23)</f>
        <v/>
      </c>
      <c r="BV12" s="931" t="str">
        <f>IF('Create EDOX for Pre-ESDUView'!R23=0,"",'Create EDOX for Pre-ESDUView'!R23)</f>
        <v/>
      </c>
      <c r="BW12" s="931" t="str">
        <f>IF('Create EDOX for Pre-ESDUView'!S23=0,"",'Create EDOX for Pre-ESDUView'!S23)</f>
        <v/>
      </c>
      <c r="BX12" s="931" t="str">
        <f>IF('Create EDOX for Pre-ESDUView'!T23=0,"",'Create EDOX for Pre-ESDUView'!T23)</f>
        <v/>
      </c>
      <c r="BY12" s="931" t="str">
        <f>IF('Create EDOX for Pre-ESDUView'!U23=0,"",'Create EDOX for Pre-ESDUView'!U23)</f>
        <v/>
      </c>
      <c r="BZ12" s="936" t="str">
        <f>IF('Create EDOX for Pre-ESDUView'!V23=0,"",'Create EDOX for Pre-ESDUView'!V23)</f>
        <v/>
      </c>
      <c r="CB12" s="875">
        <f>RWDI_FACTORS!J111</f>
        <v>80</v>
      </c>
      <c r="CC12" s="916">
        <f t="shared" ref="CC12:CW12" si="15">IF(CC$4=$AA$6,$AA$4,"")</f>
        <v>80</v>
      </c>
      <c r="CD12" s="912" t="str">
        <f t="shared" si="15"/>
        <v/>
      </c>
      <c r="CE12" s="912" t="str">
        <f t="shared" si="15"/>
        <v/>
      </c>
      <c r="CF12" s="912" t="str">
        <f t="shared" si="15"/>
        <v/>
      </c>
      <c r="CG12" s="912" t="str">
        <f t="shared" si="15"/>
        <v/>
      </c>
      <c r="CH12" s="912" t="str">
        <f t="shared" si="15"/>
        <v/>
      </c>
      <c r="CI12" s="912" t="str">
        <f t="shared" si="15"/>
        <v/>
      </c>
      <c r="CJ12" s="912" t="str">
        <f t="shared" si="15"/>
        <v/>
      </c>
      <c r="CK12" s="912" t="str">
        <f t="shared" si="15"/>
        <v/>
      </c>
      <c r="CL12" s="912" t="str">
        <f t="shared" si="15"/>
        <v/>
      </c>
      <c r="CM12" s="912" t="str">
        <f t="shared" si="15"/>
        <v/>
      </c>
      <c r="CN12" s="912" t="str">
        <f t="shared" si="15"/>
        <v/>
      </c>
      <c r="CO12" s="912" t="str">
        <f t="shared" si="15"/>
        <v/>
      </c>
      <c r="CP12" s="912" t="str">
        <f t="shared" si="15"/>
        <v/>
      </c>
      <c r="CQ12" s="912" t="str">
        <f t="shared" si="15"/>
        <v/>
      </c>
      <c r="CR12" s="912" t="str">
        <f t="shared" si="15"/>
        <v/>
      </c>
      <c r="CS12" s="912" t="str">
        <f t="shared" si="15"/>
        <v/>
      </c>
      <c r="CT12" s="912" t="str">
        <f t="shared" si="15"/>
        <v/>
      </c>
      <c r="CU12" s="912" t="str">
        <f t="shared" si="15"/>
        <v/>
      </c>
      <c r="CV12" s="912" t="str">
        <f t="shared" si="15"/>
        <v/>
      </c>
      <c r="CW12" s="917" t="str">
        <f t="shared" si="15"/>
        <v/>
      </c>
      <c r="DA12" s="642" t="s">
        <v>486</v>
      </c>
      <c r="DB12" s="587"/>
      <c r="DC12" s="587"/>
      <c r="DD12" s="587"/>
      <c r="DE12" s="587"/>
      <c r="DF12" s="587"/>
      <c r="DG12" s="587"/>
      <c r="DH12" s="587"/>
      <c r="DI12" s="587"/>
      <c r="DJ12" s="587"/>
      <c r="DK12" s="587"/>
      <c r="DL12" s="587"/>
      <c r="DM12" s="587"/>
      <c r="DN12" s="587"/>
      <c r="DO12" s="587"/>
      <c r="DP12" s="587"/>
      <c r="DQ12" s="587"/>
      <c r="DR12" s="587"/>
      <c r="DS12" s="588"/>
    </row>
    <row r="13" spans="1:123" ht="13.5" customHeight="1" thickBot="1" x14ac:dyDescent="0.25">
      <c r="M13" s="766"/>
      <c r="N13" s="768"/>
      <c r="O13" s="768"/>
      <c r="P13" s="768"/>
      <c r="Q13" s="768"/>
      <c r="R13" s="589"/>
      <c r="S13" s="603" t="s">
        <v>456</v>
      </c>
      <c r="T13" s="811" t="str">
        <f t="shared" ref="T13:BC13" si="16">IFERROR(ASIN(SIN($E$26)*COS(T12/$C$25)+COS($E$26)*SIN(T12/$C$25)*COS((T$4-5)*PI()/180))*180/PI(),"")</f>
        <v/>
      </c>
      <c r="U13" s="604" t="str">
        <f t="shared" si="16"/>
        <v/>
      </c>
      <c r="V13" s="604" t="str">
        <f t="shared" si="16"/>
        <v/>
      </c>
      <c r="W13" s="604" t="str">
        <f t="shared" si="16"/>
        <v/>
      </c>
      <c r="X13" s="604" t="str">
        <f t="shared" si="16"/>
        <v/>
      </c>
      <c r="Y13" s="604" t="str">
        <f t="shared" si="16"/>
        <v/>
      </c>
      <c r="Z13" s="604" t="str">
        <f t="shared" si="16"/>
        <v/>
      </c>
      <c r="AA13" s="604" t="str">
        <f t="shared" si="16"/>
        <v/>
      </c>
      <c r="AB13" s="604" t="str">
        <f t="shared" si="16"/>
        <v/>
      </c>
      <c r="AC13" s="604" t="str">
        <f t="shared" si="16"/>
        <v/>
      </c>
      <c r="AD13" s="604" t="str">
        <f t="shared" si="16"/>
        <v/>
      </c>
      <c r="AE13" s="604" t="str">
        <f t="shared" si="16"/>
        <v/>
      </c>
      <c r="AF13" s="604" t="str">
        <f t="shared" si="16"/>
        <v/>
      </c>
      <c r="AG13" s="604" t="str">
        <f t="shared" si="16"/>
        <v/>
      </c>
      <c r="AH13" s="604" t="str">
        <f t="shared" si="16"/>
        <v/>
      </c>
      <c r="AI13" s="604" t="str">
        <f t="shared" si="16"/>
        <v/>
      </c>
      <c r="AJ13" s="604" t="str">
        <f t="shared" si="16"/>
        <v/>
      </c>
      <c r="AK13" s="604" t="str">
        <f t="shared" si="16"/>
        <v/>
      </c>
      <c r="AL13" s="604" t="str">
        <f t="shared" si="16"/>
        <v/>
      </c>
      <c r="AM13" s="604" t="str">
        <f t="shared" si="16"/>
        <v/>
      </c>
      <c r="AN13" s="604" t="str">
        <f t="shared" si="16"/>
        <v/>
      </c>
      <c r="AO13" s="604" t="str">
        <f t="shared" si="16"/>
        <v/>
      </c>
      <c r="AP13" s="604" t="str">
        <f t="shared" si="16"/>
        <v/>
      </c>
      <c r="AQ13" s="604" t="str">
        <f t="shared" si="16"/>
        <v/>
      </c>
      <c r="AR13" s="604" t="str">
        <f t="shared" si="16"/>
        <v/>
      </c>
      <c r="AS13" s="604" t="str">
        <f t="shared" si="16"/>
        <v/>
      </c>
      <c r="AT13" s="604" t="str">
        <f t="shared" si="16"/>
        <v/>
      </c>
      <c r="AU13" s="604" t="str">
        <f t="shared" si="16"/>
        <v/>
      </c>
      <c r="AV13" s="604" t="str">
        <f t="shared" si="16"/>
        <v/>
      </c>
      <c r="AW13" s="604" t="str">
        <f t="shared" si="16"/>
        <v/>
      </c>
      <c r="AX13" s="604" t="str">
        <f t="shared" si="16"/>
        <v/>
      </c>
      <c r="AY13" s="604" t="str">
        <f t="shared" si="16"/>
        <v/>
      </c>
      <c r="AZ13" s="604" t="str">
        <f t="shared" si="16"/>
        <v/>
      </c>
      <c r="BA13" s="604" t="str">
        <f t="shared" si="16"/>
        <v/>
      </c>
      <c r="BB13" s="604" t="str">
        <f t="shared" si="16"/>
        <v/>
      </c>
      <c r="BC13" s="605" t="str">
        <f t="shared" si="16"/>
        <v/>
      </c>
      <c r="BE13" s="876">
        <v>7</v>
      </c>
      <c r="BF13" s="935" t="str">
        <f>IF('Create EDOX for Pre-ESDUView'!B24=0,"",'Create EDOX for Pre-ESDUView'!B24)</f>
        <v/>
      </c>
      <c r="BG13" s="931" t="str">
        <f>IF('Create EDOX for Pre-ESDUView'!C24=0,"",'Create EDOX for Pre-ESDUView'!C24)</f>
        <v/>
      </c>
      <c r="BH13" s="931" t="str">
        <f>IF('Create EDOX for Pre-ESDUView'!D24=0,"",'Create EDOX for Pre-ESDUView'!D24)</f>
        <v/>
      </c>
      <c r="BI13" s="931" t="str">
        <f>IF('Create EDOX for Pre-ESDUView'!E24=0,"",'Create EDOX for Pre-ESDUView'!E24)</f>
        <v/>
      </c>
      <c r="BJ13" s="931" t="str">
        <f>IF('Create EDOX for Pre-ESDUView'!F24=0,"",'Create EDOX for Pre-ESDUView'!F24)</f>
        <v/>
      </c>
      <c r="BK13" s="931" t="str">
        <f>IF('Create EDOX for Pre-ESDUView'!G24=0,"",'Create EDOX for Pre-ESDUView'!G24)</f>
        <v/>
      </c>
      <c r="BL13" s="931" t="str">
        <f>IF('Create EDOX for Pre-ESDUView'!H24=0,"",'Create EDOX for Pre-ESDUView'!H24)</f>
        <v/>
      </c>
      <c r="BM13" s="931" t="str">
        <f>IF('Create EDOX for Pre-ESDUView'!I24=0,"",'Create EDOX for Pre-ESDUView'!I24)</f>
        <v/>
      </c>
      <c r="BN13" s="931" t="str">
        <f>IF('Create EDOX for Pre-ESDUView'!J24=0,"",'Create EDOX for Pre-ESDUView'!J24)</f>
        <v/>
      </c>
      <c r="BO13" s="931" t="str">
        <f>IF('Create EDOX for Pre-ESDUView'!K24=0,"",'Create EDOX for Pre-ESDUView'!K24)</f>
        <v/>
      </c>
      <c r="BP13" s="931" t="str">
        <f>IF('Create EDOX for Pre-ESDUView'!L24=0,"",'Create EDOX for Pre-ESDUView'!L24)</f>
        <v/>
      </c>
      <c r="BQ13" s="931" t="str">
        <f>IF('Create EDOX for Pre-ESDUView'!M24=0,"",'Create EDOX for Pre-ESDUView'!M24)</f>
        <v/>
      </c>
      <c r="BR13" s="931" t="str">
        <f>IF('Create EDOX for Pre-ESDUView'!N24=0,"",'Create EDOX for Pre-ESDUView'!N24)</f>
        <v/>
      </c>
      <c r="BS13" s="931" t="str">
        <f>IF('Create EDOX for Pre-ESDUView'!O24=0,"",'Create EDOX for Pre-ESDUView'!O24)</f>
        <v/>
      </c>
      <c r="BT13" s="931" t="str">
        <f>IF('Create EDOX for Pre-ESDUView'!P24=0,"",'Create EDOX for Pre-ESDUView'!P24)</f>
        <v/>
      </c>
      <c r="BU13" s="931" t="str">
        <f>IF('Create EDOX for Pre-ESDUView'!Q24=0,"",'Create EDOX for Pre-ESDUView'!Q24)</f>
        <v/>
      </c>
      <c r="BV13" s="931" t="str">
        <f>IF('Create EDOX for Pre-ESDUView'!R24=0,"",'Create EDOX for Pre-ESDUView'!R24)</f>
        <v/>
      </c>
      <c r="BW13" s="931" t="str">
        <f>IF('Create EDOX for Pre-ESDUView'!S24=0,"",'Create EDOX for Pre-ESDUView'!S24)</f>
        <v/>
      </c>
      <c r="BX13" s="931" t="str">
        <f>IF('Create EDOX for Pre-ESDUView'!T24=0,"",'Create EDOX for Pre-ESDUView'!T24)</f>
        <v/>
      </c>
      <c r="BY13" s="931" t="str">
        <f>IF('Create EDOX for Pre-ESDUView'!U24=0,"",'Create EDOX for Pre-ESDUView'!U24)</f>
        <v/>
      </c>
      <c r="BZ13" s="936" t="str">
        <f>IF('Create EDOX for Pre-ESDUView'!V24=0,"",'Create EDOX for Pre-ESDUView'!V24)</f>
        <v/>
      </c>
      <c r="CB13" s="875">
        <f>RWDI_FACTORS!J112</f>
        <v>90</v>
      </c>
      <c r="CC13" s="916">
        <f t="shared" ref="CC13:CW13" si="17">IF(CC$4=$AB$6,$AB$4,"")</f>
        <v>90</v>
      </c>
      <c r="CD13" s="912" t="str">
        <f t="shared" si="17"/>
        <v/>
      </c>
      <c r="CE13" s="912" t="str">
        <f t="shared" si="17"/>
        <v/>
      </c>
      <c r="CF13" s="912" t="str">
        <f t="shared" si="17"/>
        <v/>
      </c>
      <c r="CG13" s="912" t="str">
        <f t="shared" si="17"/>
        <v/>
      </c>
      <c r="CH13" s="912" t="str">
        <f t="shared" si="17"/>
        <v/>
      </c>
      <c r="CI13" s="912" t="str">
        <f t="shared" si="17"/>
        <v/>
      </c>
      <c r="CJ13" s="912" t="str">
        <f t="shared" si="17"/>
        <v/>
      </c>
      <c r="CK13" s="912" t="str">
        <f t="shared" si="17"/>
        <v/>
      </c>
      <c r="CL13" s="912" t="str">
        <f t="shared" si="17"/>
        <v/>
      </c>
      <c r="CM13" s="912" t="str">
        <f t="shared" si="17"/>
        <v/>
      </c>
      <c r="CN13" s="912" t="str">
        <f t="shared" si="17"/>
        <v/>
      </c>
      <c r="CO13" s="912" t="str">
        <f t="shared" si="17"/>
        <v/>
      </c>
      <c r="CP13" s="912" t="str">
        <f t="shared" si="17"/>
        <v/>
      </c>
      <c r="CQ13" s="912" t="str">
        <f t="shared" si="17"/>
        <v/>
      </c>
      <c r="CR13" s="912" t="str">
        <f t="shared" si="17"/>
        <v/>
      </c>
      <c r="CS13" s="912" t="str">
        <f t="shared" si="17"/>
        <v/>
      </c>
      <c r="CT13" s="912" t="str">
        <f t="shared" si="17"/>
        <v/>
      </c>
      <c r="CU13" s="912" t="str">
        <f t="shared" si="17"/>
        <v/>
      </c>
      <c r="CV13" s="912" t="str">
        <f t="shared" si="17"/>
        <v/>
      </c>
      <c r="CW13" s="917" t="str">
        <f t="shared" si="17"/>
        <v/>
      </c>
      <c r="DA13" s="585"/>
      <c r="DB13" s="587"/>
      <c r="DC13" s="1288" t="str">
        <f>CONCATENATE(S62,T62,T143,U143,V143,W143,X143,Y143,Z143,AA143,AB143,AC143,AD143,AE143,AF143,AG143,AH143,AI143,AJ143,AK143,AL143,AM143,AN143,AO143,AP143,AQ143,AR143,AS143,AT143,AU143,AV143,AW143,AX143,AY143,AZ143,BA143,BB143,BC143)</f>
        <v>"others":{"sectors":[{"direction":10,"fetchPoints":[{"left":{"latitude":0.00307203909640892,"longitude":0.000268768595102742},"right":{"latitude":0.00297869674290592,"longitude":0.0007981393863477}},{"left":{"latitude":0.89589913623071,"longitude":0.0783874311275482},"right":{"latitude":0.868675575701221,"longitude":0.232750721597637}}],"zNaughts":[0.005]},{"direction":20,"fetchPoints":[{"left":{"latitude":0.00297869674290592,"longitude":0.000798139387503729},"right":{"latitude":0.00279484819610047,"longitude":0.00130325911648073}},{"left":{"latitude":0.868675575701221,"longitude":0.232779395422981},"right":{"latitude":0.815056196507026,"longitude":0.380048553953978}}],"zNaughts":[0.005]},{"direction":30,"fetchPoints":[{"left":{"latitude":0.00279484819610047,"longitude":0.00130325911836838},"right":{"latitude":0.00252607960109505,"longitude":0.00176877997766961}},{"left":{"latitude":0.815056196507026,"longitude":0.380095373340785},"right":{"latitude":0.736671179680177,"longitude":0.515794567373208}}],"zNaughts":[0.005]},{"direction":40,"fetchPoints":[{"left":{"latitude":0.00252607960109505,"longitude":0.00176877998023152},"right":{"latitude":0.0021805573556912,"longitude":0.00218055735411203}},{"left":{"latitude":0.736671179680177,"longitude":0.515858108172444},"right":{"latitude":0.635903349647258,"longitude":0.635864188269896}}],"zNaughts":[0.005]},{"direction":50,"fetchPoints":[{"left":{"latitude":0.0021805573556912,"longitude":0.00218055735727036},"right":{"latitude":0.00176877997851245,"longitude":0.00252607959863997}},{"left":{"latitude":0.635903349647258,"longitude":0.635942518261085},"right":{"latitude":0.515815469064466,"longitude":0.736610297255833}}],"zNaughts":[0.005]},{"direction":60,"fetchPoints":[{"left":{"latitude":0.00176877997851245,"longitude":0.00252607960229875},"right":{"latitude":0.00130325911681788,"longitude":0.00279484819277541}},{"left":{"latitude":0.515815469064466,"longitude":0.736701035276063},"right":{"latitude":0.380056914917414,"longitude":0.814973740653099}}],"zNaughts":[0.005]},{"direction":70,"fetchPoints":[{"left":{"latitude":0.00130325911681788,"longitude":0.00279484819682348},"right":{"latitude":0.000798139386425139,"longitude":0.00297869673888057}},{"left":{"latitude":0.380056914917414,"longitude":0.815074129254374},"right":{"latitude":0.232752642048603,"longitude":0.868575754518826}}],"zNaughts":[0.005]},{"direction":80,"fetchPoints":[{"left":{"latitude":0.000798139386425139,"longitude":0.00297869674319492},"right":{"latitude":0.000268768594716413,"longitude":0.00307203909199317}},{"left":{"latitude":0.232752642048603,"longitude":0.868682743863914},"right":{"latitude":0.0783778485833792,"longitude":0.895789634126158}}],"zNaughts":[0.005]},{"direction":90,"fetchPoints":[{"left":{"latitude":0.000268768594716413,"longitude":0.00307203909644272},"right":{"latitude":-0.000268768594716414,"longitude":0.00307203909199317}},{"left":{"latitude":0.0783778485833792,"longitude":0.895899974543841},"right":{"latitude":-0.0783778485833793,"longitude":0.895789634126159}}],"zNaughts":[0.005]},{"direction":100,"fetchPoints":[{"left":{"latitude":-0.000268768594716414,"longitude":0.00307203909644272},"right":{"latitude":-0.00079813938642514,"longitude":0.00297869673888057}},{"left":{"latitude":-0.0783778485833793,"longitude":0.895899974543841},"right":{"latitude":-0.232752642048603,"longitude":0.868575754518828}}],"zNaughts":[0.005]},{"direction":110,"fetchPoints":[{"left":{"latitude":-0.00079813938642514,"longitude":0.00297869674319492},"right":{"latitude":-0.00130325911681788,"longitude":0.00279484819277541}},{"left":{"latitude":-0.232752642048603,"longitude":0.868682743863914},"right":{"latitude":-0.380056914917414,"longitude":0.814973740653101}}],"zNaughts":[0.005]},{"direction":120,"fetchPoints":[{"left":{"latitude":-0.00130325911681788,"longitude":0.00279484819682348},"right":{"latitude":-0.00176877997851245,"longitude":0.00252607959863997}},{"left":{"latitude":-0.380056914917414,"longitude":0.815074129254374},"right":{"latitude":-0.515815469064466,"longitude":0.736610297255835}}],"zNaughts":[0.005]},{"direction":130,"fetchPoints":[{"left":{"latitude":-0.00176877997851245,"longitude":0.00252607960229875},"right":{"latitude":-0.0021805573556912,"longitude":0.00218055735411203}},{"left":{"latitude":-0.515815469064466,"longitude":0.736701035276063},"right":{"latitude":-0.635903349647258,"longitude":0.635864188269898}}],"zNaughts":[0.005]},{"direction":140,"fetchPoints":[{"left":{"latitude":-0.0021805573556912,"longitude":0.00218055735727036},"right":{"latitude":-0.00252607960109505,"longitude":0.00176877997766961}},{"left":{"latitude":-0.635903349647258,"longitude":0.635942518261085},"right":{"latitude":-0.736671179680176,"longitude":0.51579456737321}}],"zNaughts":[0.005]},{"direction":150,"fetchPoints":[{"left":{"latitude":-0.00252607960109505,"longitude":0.00176877998023152},"right":{"latitude":-0.00279484819610047,"longitude":0.00130325911648073}},{"left":{"latitude":-0.736671179680176,"longitude":0.515858108172445},"right":{"latitude":-0.815056196507026,"longitude":0.380048553953979}}],"zNaughts":[0.005]},{"direction":160,"fetchPoints":[{"left":{"latitude":-0.00279484819610047,"longitude":0.00130325911836838},"right":{"latitude":-0.00297869674290592,"longitude":0.000798139386347701}},{"left":{"latitude":-0.815056196507026,"longitude":0.380095373340785},"right":{"latitude":-0.868675575701221,"longitude":0.232750721597638}}],"zNaughts":[0.005]},{"direction":170,"fetchPoints":[{"left":{"latitude":-0.00297869674290592,"longitude":0.00079813938750373},"right":{"latitude":-0.00307203909640892,"longitude":0.000268768594713458}},{"left":{"latitude":-0.868675575701221,"longitude":0.232779395422981},"right":{"latitude":-0.89589913623071,"longitude":0.0783777752495873}}],"zNaughts":[0.005]},{"direction":180,"fetchPoints":[{"left":{"latitude":-0.00307203909640892,"longitude":0.000268768595102743},"right":{"latitude":-0.00307203909640892,"longitude":-0.000268768594713456}},{"left":{"latitude":-0.89589913623071,"longitude":0.0783874311275487},"right":{"latitude":-0.89589913623071,"longitude":-0.0783777752495867}}],"zNaughts":[0.005]},{"direction":190,"fetchPoints":[{"left":{"latitude":-0.00307203909640892,"longitude":-0.000268768595102741},"right":{"latitude":-0.00297869674290592,"longitude":-0.000798139386347699}},{"left":{"latitude":-0.89589913623071,"longitude":-0.078387431127548},"right":{"latitude":-0.868675575701221,"longitude":-0.232750721597637}}],"zNaughts":[0.005]},{"direction":200,"fetchPoints":[{"left":{"latitude":-0.00297869674290592,"longitude":-0.000798139387503727},"right":{"latitude":-0.00279484819610047,"longitude":-0.00130325911648073}},{"left":{"latitude":-0.868675575701221,"longitude":-0.23277939542298},"right":{"latitude":-0.815056196507026,"longitude":-0.380048553953978}}],"zNaughts":[0.005]},{"direction":210,"fetchPoints":[{"left":{"latitude":-0.00279484819610047,"longitude":-0.00130325911836838},"right":{"latitude":-0.00252607960109505,"longitude":-0.00176877997766961}},{"left":{"latitude":-0.815056196507026,"longitude":-0.380095373340785},"right":{"latitude":-0.736671179680177,"longitude":-0.515794567373207}}],"zNaughts":[0.005]},{"direction":220,"fetchPoints":[{"left":{"latitude":-0.00252607960109505,"longitude":-0.00176877998023152},"right":{"latitude":-0.0021805573556912,"longitude":-0.00218055735411203}},{"left":{"latitude":-0.736671179680177,"longitude":-0.515858108172444},"right":{"latitude":-0.635903349647258,"longitude":-0.635864188269896}}],"zNaughts":[0.005]},{"direction":230,"fetchPoints":[{"left":{"latitude":-0.0021805573556912,"longitude":-0.00218055735727036},"right":{"latitude":-0.00176877997851246,"longitude":-0.00252607959863997}},{"left":{"latitude":-0.635903349647258,"longitude":-0.635942518261085},"right":{"latitude":-0.515815469064466,"longitude":-0.736610297255832}}],"zNaughts":[0.005]},{"direction":240,"fetchPoints":[{"left":{"latitude":-0.00176877997851246,"longitude":-0.00252607960229875},"right":{"latitude":-0.00130325911681788,"longitude":-0.00279484819277541}},{"left":{"latitude":-0.515815469064466,"longitude":-0.736701035276063},"right":{"latitude":-0.380056914917414,"longitude":-0.814973740653098}}],"zNaughts":[0.005]},{"direction":250,"fetchPoints":[{"left":{"latitude":-0.00130325911681788,"longitude":-0.00279484819682348},"right":{"latitude":-0.000798139386425139,"longitude":-0.00297869673888057}},{"left":{"latitude":-0.380056914917414,"longitude":-0.815074129254374},"right":{"latitude":-0.232752642048603,"longitude":-0.868575754518826}}],"zNaughts":[0.005]},{"direction":260,"fetchPoints":[{"left":{"latitude":-0.000798139386425139,"longitude":-0.00297869674319492},"right":{"latitude":-0.000268768594716414,"longitude":-0.00307203909199317}},{"left":{"latitude":-0.232752642048603,"longitude":-0.868682743863914},"right":{"latitude":-0.0783778485833793,"longitude":-0.895789634126158}}],"zNaughts":[0.005]},{"direction":270,"fetchPoints":[{"left":{"latitude":-0.000268768594716414,"longitude":-0.00307203909644272},"right":{"latitude":0.000268768594716413,"longitude":-0.00307203909199317}},{"left":{"latitude":-0.0783778485833793,"longitude":-0.895899974543841},"right":{"latitude":0.078377848583379,"longitude":-0.895789634126159}}],"zNaughts":[0.005]},{"direction":280,"fetchPoints":[{"left":{"latitude":0.000268768594716413,"longitude":-0.00307203909644272},"right":{"latitude":0.00079813938642514,"longitude":-0.00297869673888057}},{"left":{"latitude":0.078377848583379,"longitude":-0.895899974543841},"right":{"latitude":0.232752642048603,"longitude":-0.868575754518827}}],"zNaughts":[0.005]},{"direction":290,"fetchPoints":[{"left":{"latitude":0.00079813938642514,"longitude":-0.00297869674319492},"right":{"latitude":0.00130325911681788,"longitude":-0.00279484819277541}},{"left":{"latitude":0.232752642048603,"longitude":-0.868682743863914},"right":{"latitude":0.380056914917414,"longitude":-0.814973740653101}}],"zNaughts":[0.005]},{"direction":300,"fetchPoints":[{"left":{"latitude":0.00130325911681788,"longitude":-0.00279484819682348},"right":{"latitude":0.00176877997851245,"longitude":-0.00252607959863997}},{"left":{"latitude":0.380056914917414,"longitude":-0.815074129254374},"right":{"latitude":0.515815469064466,"longitude":-0.736610297255835}}],"zNaughts":[0.005]},{"direction":310,"fetchPoints":[{"left":{"latitude":0.00176877997851245,"longitude":-0.00252607960229875},"right":{"latitude":0.0021805573556912,"longitude":-0.00218055735411203}},{"left":{"latitude":0.515815469064466,"longitude":-0.736701035276063},"right":{"latitude":0.635903349647258,"longitude":-0.635864188269898}}],"zNaughts":[0.005]},{"direction":320,"fetchPoints":[{"left":{"latitude":0.0021805573556912,"longitude":-0.00218055735727036},"right":{"latitude":0.00252607960109505,"longitude":-0.00176877997766961}},{"left":{"latitude":0.635903349647258,"longitude":-0.635942518261085},"right":{"latitude":0.736671179680176,"longitude":-0.51579456737321}}],"zNaughts":[0.005]},{"direction":330,"fetchPoints":[{"left":{"latitude":0.00252607960109505,"longitude":-0.00176877998023152},"right":{"latitude":0.00279484819610047,"longitude":-0.00130325911648074}},{"left":{"latitude":0.736671179680176,"longitude":-0.515858108172445},"right":{"latitude":0.815056196507025,"longitude":-0.380048553953979}}],"zNaughts":[0.005]},{"direction":340,"fetchPoints":[{"left":{"latitude":0.00279484819610047,"longitude":-0.00130325911836838},"right":{"latitude":0.00297869674290592,"longitude":-0.0007981393863477}},{"left":{"latitude":0.815056196507025,"longitude":-0.380095373340785},"right":{"latitude":0.868675575701221,"longitude":-0.232750721597637}}],"zNaughts":[0.005]},{"direction":350,"fetchPoints":[{"left":{"latitude":0.00297869674290592,"longitude":-0.000798139387503728},"right":{"latitude":0.00307203909640892,"longitude":-0.000268768594713457}},{"left":{"latitude":0.868675575701221,"longitude":-0.232779395422981},"right":{"latitude":0.89589913623071,"longitude":-0.078377775249587}}],"zNaughts":[0.005]},{"direction":360,"fetchPoints":[{"left":{"latitude":0.00307203909640892,"longitude":-0.000268768595102742},"right":{"latitude":0.00307203909640892,"longitude":0.000268768594713458}},{"left":{"latitude":0.89589913623071,"longitude":-0.0783874311275484},"right":{"latitude":0.895899136230709,"longitude":0.0783777752495873}}],"zNaughts":[0.005]}],</v>
      </c>
      <c r="DD13" s="1288"/>
      <c r="DE13" s="1288"/>
      <c r="DF13" s="1288"/>
      <c r="DG13" s="1288"/>
      <c r="DH13" s="1288"/>
      <c r="DI13" s="1288"/>
      <c r="DJ13" s="1288"/>
      <c r="DK13" s="1288"/>
      <c r="DL13" s="1288"/>
      <c r="DM13" s="1288"/>
      <c r="DN13" s="1288"/>
      <c r="DO13" s="1288"/>
      <c r="DP13" s="1288"/>
      <c r="DQ13" s="1288"/>
      <c r="DR13" s="1288"/>
      <c r="DS13" s="1289"/>
    </row>
    <row r="14" spans="1:123" x14ac:dyDescent="0.2">
      <c r="M14" s="766"/>
      <c r="N14" s="768"/>
      <c r="O14" s="768"/>
      <c r="P14" s="768"/>
      <c r="Q14" s="768"/>
      <c r="R14" s="589"/>
      <c r="S14" s="603" t="s">
        <v>457</v>
      </c>
      <c r="T14" s="811" t="str">
        <f t="shared" ref="T14:BC14" si="18">IFERROR($C$27+ATAN2(COS(T12/$C$25)-SIN($E$26)*SIN(T13*PI()/180),SIN((T$4-5)*PI()/180)*SIN(T12/$C$25)*COS($E$26))*180/PI(),"")</f>
        <v/>
      </c>
      <c r="U14" s="604" t="str">
        <f t="shared" si="18"/>
        <v/>
      </c>
      <c r="V14" s="604" t="str">
        <f t="shared" si="18"/>
        <v/>
      </c>
      <c r="W14" s="604" t="str">
        <f t="shared" si="18"/>
        <v/>
      </c>
      <c r="X14" s="604" t="str">
        <f t="shared" si="18"/>
        <v/>
      </c>
      <c r="Y14" s="604" t="str">
        <f t="shared" si="18"/>
        <v/>
      </c>
      <c r="Z14" s="604" t="str">
        <f t="shared" si="18"/>
        <v/>
      </c>
      <c r="AA14" s="604" t="str">
        <f t="shared" si="18"/>
        <v/>
      </c>
      <c r="AB14" s="604" t="str">
        <f t="shared" si="18"/>
        <v/>
      </c>
      <c r="AC14" s="604" t="str">
        <f t="shared" si="18"/>
        <v/>
      </c>
      <c r="AD14" s="604" t="str">
        <f t="shared" si="18"/>
        <v/>
      </c>
      <c r="AE14" s="604" t="str">
        <f t="shared" si="18"/>
        <v/>
      </c>
      <c r="AF14" s="604" t="str">
        <f t="shared" si="18"/>
        <v/>
      </c>
      <c r="AG14" s="604" t="str">
        <f t="shared" si="18"/>
        <v/>
      </c>
      <c r="AH14" s="604" t="str">
        <f t="shared" si="18"/>
        <v/>
      </c>
      <c r="AI14" s="604" t="str">
        <f t="shared" si="18"/>
        <v/>
      </c>
      <c r="AJ14" s="604" t="str">
        <f t="shared" si="18"/>
        <v/>
      </c>
      <c r="AK14" s="604" t="str">
        <f t="shared" si="18"/>
        <v/>
      </c>
      <c r="AL14" s="604" t="str">
        <f t="shared" si="18"/>
        <v/>
      </c>
      <c r="AM14" s="604" t="str">
        <f t="shared" si="18"/>
        <v/>
      </c>
      <c r="AN14" s="604" t="str">
        <f t="shared" si="18"/>
        <v/>
      </c>
      <c r="AO14" s="604" t="str">
        <f t="shared" si="18"/>
        <v/>
      </c>
      <c r="AP14" s="604" t="str">
        <f t="shared" si="18"/>
        <v/>
      </c>
      <c r="AQ14" s="604" t="str">
        <f t="shared" si="18"/>
        <v/>
      </c>
      <c r="AR14" s="604" t="str">
        <f t="shared" si="18"/>
        <v/>
      </c>
      <c r="AS14" s="604" t="str">
        <f t="shared" si="18"/>
        <v/>
      </c>
      <c r="AT14" s="604" t="str">
        <f t="shared" si="18"/>
        <v/>
      </c>
      <c r="AU14" s="604" t="str">
        <f t="shared" si="18"/>
        <v/>
      </c>
      <c r="AV14" s="604" t="str">
        <f t="shared" si="18"/>
        <v/>
      </c>
      <c r="AW14" s="604" t="str">
        <f t="shared" si="18"/>
        <v/>
      </c>
      <c r="AX14" s="604" t="str">
        <f t="shared" si="18"/>
        <v/>
      </c>
      <c r="AY14" s="604" t="str">
        <f t="shared" si="18"/>
        <v/>
      </c>
      <c r="AZ14" s="604" t="str">
        <f t="shared" si="18"/>
        <v/>
      </c>
      <c r="BA14" s="604" t="str">
        <f t="shared" si="18"/>
        <v/>
      </c>
      <c r="BB14" s="604" t="str">
        <f t="shared" si="18"/>
        <v/>
      </c>
      <c r="BC14" s="605" t="str">
        <f t="shared" si="18"/>
        <v/>
      </c>
      <c r="BE14" s="897" t="s">
        <v>530</v>
      </c>
      <c r="BF14" s="932" t="str">
        <f t="shared" ref="BF14:BZ14" si="19">IF(BF7="","",CONCATENATE(CHAR(34),"zNaughts",CHAR(34),":["))</f>
        <v>"zNaughts":[</v>
      </c>
      <c r="BG14" s="933" t="str">
        <f t="shared" si="19"/>
        <v>"zNaughts":[</v>
      </c>
      <c r="BH14" s="933" t="str">
        <f t="shared" si="19"/>
        <v>"zNaughts":[</v>
      </c>
      <c r="BI14" s="933" t="str">
        <f t="shared" si="19"/>
        <v>"zNaughts":[</v>
      </c>
      <c r="BJ14" s="933" t="str">
        <f t="shared" si="19"/>
        <v>"zNaughts":[</v>
      </c>
      <c r="BK14" s="933" t="str">
        <f t="shared" si="19"/>
        <v/>
      </c>
      <c r="BL14" s="933" t="str">
        <f t="shared" si="19"/>
        <v/>
      </c>
      <c r="BM14" s="933" t="str">
        <f t="shared" si="19"/>
        <v/>
      </c>
      <c r="BN14" s="933" t="str">
        <f t="shared" si="19"/>
        <v/>
      </c>
      <c r="BO14" s="933" t="str">
        <f t="shared" si="19"/>
        <v/>
      </c>
      <c r="BP14" s="933" t="str">
        <f t="shared" si="19"/>
        <v/>
      </c>
      <c r="BQ14" s="933" t="str">
        <f t="shared" si="19"/>
        <v/>
      </c>
      <c r="BR14" s="933" t="str">
        <f t="shared" si="19"/>
        <v/>
      </c>
      <c r="BS14" s="933" t="str">
        <f t="shared" si="19"/>
        <v/>
      </c>
      <c r="BT14" s="933" t="str">
        <f t="shared" si="19"/>
        <v/>
      </c>
      <c r="BU14" s="933" t="str">
        <f t="shared" si="19"/>
        <v/>
      </c>
      <c r="BV14" s="933" t="str">
        <f t="shared" si="19"/>
        <v/>
      </c>
      <c r="BW14" s="933" t="str">
        <f t="shared" si="19"/>
        <v/>
      </c>
      <c r="BX14" s="933" t="str">
        <f t="shared" si="19"/>
        <v/>
      </c>
      <c r="BY14" s="933" t="str">
        <f t="shared" si="19"/>
        <v/>
      </c>
      <c r="BZ14" s="934" t="str">
        <f t="shared" si="19"/>
        <v/>
      </c>
      <c r="CA14" s="577" t="str">
        <f>""</f>
        <v/>
      </c>
      <c r="CB14" s="875">
        <f>RWDI_FACTORS!J113</f>
        <v>100</v>
      </c>
      <c r="CC14" s="916">
        <f t="shared" ref="CC14:CW14" si="20">IF(CC$4=$AC$6,$AC$4,"")</f>
        <v>100</v>
      </c>
      <c r="CD14" s="912" t="str">
        <f t="shared" si="20"/>
        <v/>
      </c>
      <c r="CE14" s="912" t="str">
        <f t="shared" si="20"/>
        <v/>
      </c>
      <c r="CF14" s="912" t="str">
        <f t="shared" si="20"/>
        <v/>
      </c>
      <c r="CG14" s="912" t="str">
        <f t="shared" si="20"/>
        <v/>
      </c>
      <c r="CH14" s="912" t="str">
        <f t="shared" si="20"/>
        <v/>
      </c>
      <c r="CI14" s="912" t="str">
        <f t="shared" si="20"/>
        <v/>
      </c>
      <c r="CJ14" s="912" t="str">
        <f t="shared" si="20"/>
        <v/>
      </c>
      <c r="CK14" s="912" t="str">
        <f t="shared" si="20"/>
        <v/>
      </c>
      <c r="CL14" s="912" t="str">
        <f t="shared" si="20"/>
        <v/>
      </c>
      <c r="CM14" s="912" t="str">
        <f t="shared" si="20"/>
        <v/>
      </c>
      <c r="CN14" s="912" t="str">
        <f t="shared" si="20"/>
        <v/>
      </c>
      <c r="CO14" s="912" t="str">
        <f t="shared" si="20"/>
        <v/>
      </c>
      <c r="CP14" s="912" t="str">
        <f t="shared" si="20"/>
        <v/>
      </c>
      <c r="CQ14" s="912" t="str">
        <f t="shared" si="20"/>
        <v/>
      </c>
      <c r="CR14" s="912" t="str">
        <f t="shared" si="20"/>
        <v/>
      </c>
      <c r="CS14" s="912" t="str">
        <f t="shared" si="20"/>
        <v/>
      </c>
      <c r="CT14" s="912" t="str">
        <f t="shared" si="20"/>
        <v/>
      </c>
      <c r="CU14" s="912" t="str">
        <f t="shared" si="20"/>
        <v/>
      </c>
      <c r="CV14" s="912" t="str">
        <f t="shared" si="20"/>
        <v/>
      </c>
      <c r="CW14" s="917" t="str">
        <f t="shared" si="20"/>
        <v/>
      </c>
      <c r="DA14" s="585"/>
      <c r="DB14" s="587"/>
      <c r="DC14" s="1288"/>
      <c r="DD14" s="1288"/>
      <c r="DE14" s="1288"/>
      <c r="DF14" s="1288"/>
      <c r="DG14" s="1288"/>
      <c r="DH14" s="1288"/>
      <c r="DI14" s="1288"/>
      <c r="DJ14" s="1288"/>
      <c r="DK14" s="1288"/>
      <c r="DL14" s="1288"/>
      <c r="DM14" s="1288"/>
      <c r="DN14" s="1288"/>
      <c r="DO14" s="1288"/>
      <c r="DP14" s="1288"/>
      <c r="DQ14" s="1288"/>
      <c r="DR14" s="1288"/>
      <c r="DS14" s="1289"/>
    </row>
    <row r="15" spans="1:123" x14ac:dyDescent="0.2">
      <c r="M15" s="766"/>
      <c r="N15" s="768"/>
      <c r="O15" s="768"/>
      <c r="P15" s="768"/>
      <c r="Q15" s="768"/>
      <c r="R15" s="589"/>
      <c r="S15" s="603" t="s">
        <v>458</v>
      </c>
      <c r="T15" s="811" t="str">
        <f t="shared" ref="T15:BC15" si="21">IFERROR(ASIN(SIN($E$26)*COS(T12/$C$25)+COS($E$26)*SIN(T12/$C$25)*COS((T$4+5)*PI()/180))*180/PI(),"")</f>
        <v/>
      </c>
      <c r="U15" s="604" t="str">
        <f t="shared" si="21"/>
        <v/>
      </c>
      <c r="V15" s="604" t="str">
        <f t="shared" si="21"/>
        <v/>
      </c>
      <c r="W15" s="604" t="str">
        <f t="shared" si="21"/>
        <v/>
      </c>
      <c r="X15" s="604" t="str">
        <f t="shared" si="21"/>
        <v/>
      </c>
      <c r="Y15" s="604" t="str">
        <f t="shared" si="21"/>
        <v/>
      </c>
      <c r="Z15" s="604" t="str">
        <f t="shared" si="21"/>
        <v/>
      </c>
      <c r="AA15" s="604" t="str">
        <f t="shared" si="21"/>
        <v/>
      </c>
      <c r="AB15" s="604" t="str">
        <f t="shared" si="21"/>
        <v/>
      </c>
      <c r="AC15" s="604" t="str">
        <f t="shared" si="21"/>
        <v/>
      </c>
      <c r="AD15" s="604" t="str">
        <f t="shared" si="21"/>
        <v/>
      </c>
      <c r="AE15" s="604" t="str">
        <f t="shared" si="21"/>
        <v/>
      </c>
      <c r="AF15" s="604" t="str">
        <f t="shared" si="21"/>
        <v/>
      </c>
      <c r="AG15" s="604" t="str">
        <f t="shared" si="21"/>
        <v/>
      </c>
      <c r="AH15" s="604" t="str">
        <f t="shared" si="21"/>
        <v/>
      </c>
      <c r="AI15" s="604" t="str">
        <f t="shared" si="21"/>
        <v/>
      </c>
      <c r="AJ15" s="604" t="str">
        <f t="shared" si="21"/>
        <v/>
      </c>
      <c r="AK15" s="604" t="str">
        <f t="shared" si="21"/>
        <v/>
      </c>
      <c r="AL15" s="604" t="str">
        <f t="shared" si="21"/>
        <v/>
      </c>
      <c r="AM15" s="604" t="str">
        <f t="shared" si="21"/>
        <v/>
      </c>
      <c r="AN15" s="604" t="str">
        <f t="shared" si="21"/>
        <v/>
      </c>
      <c r="AO15" s="604" t="str">
        <f t="shared" si="21"/>
        <v/>
      </c>
      <c r="AP15" s="604" t="str">
        <f t="shared" si="21"/>
        <v/>
      </c>
      <c r="AQ15" s="604" t="str">
        <f t="shared" si="21"/>
        <v/>
      </c>
      <c r="AR15" s="604" t="str">
        <f t="shared" si="21"/>
        <v/>
      </c>
      <c r="AS15" s="604" t="str">
        <f t="shared" si="21"/>
        <v/>
      </c>
      <c r="AT15" s="604" t="str">
        <f t="shared" si="21"/>
        <v/>
      </c>
      <c r="AU15" s="604" t="str">
        <f t="shared" si="21"/>
        <v/>
      </c>
      <c r="AV15" s="604" t="str">
        <f t="shared" si="21"/>
        <v/>
      </c>
      <c r="AW15" s="604" t="str">
        <f t="shared" si="21"/>
        <v/>
      </c>
      <c r="AX15" s="604" t="str">
        <f t="shared" si="21"/>
        <v/>
      </c>
      <c r="AY15" s="604" t="str">
        <f t="shared" si="21"/>
        <v/>
      </c>
      <c r="AZ15" s="604" t="str">
        <f t="shared" si="21"/>
        <v/>
      </c>
      <c r="BA15" s="604" t="str">
        <f t="shared" si="21"/>
        <v/>
      </c>
      <c r="BB15" s="604" t="str">
        <f t="shared" si="21"/>
        <v/>
      </c>
      <c r="BC15" s="605" t="str">
        <f t="shared" si="21"/>
        <v/>
      </c>
      <c r="BD15" s="606"/>
      <c r="BE15" s="876"/>
      <c r="BF15" s="935" t="str">
        <f>IF(BF7="",BF14,CONCATENATE(BF14,BF7))</f>
        <v>"zNaughts":[0.005</v>
      </c>
      <c r="BG15" s="931" t="str">
        <f t="shared" ref="BG15:BZ15" si="22">IF(BG7="",BG14,CONCATENATE(BG14,BG7))</f>
        <v>"zNaughts":[0.02</v>
      </c>
      <c r="BH15" s="931" t="str">
        <f t="shared" si="22"/>
        <v>"zNaughts":[0.1</v>
      </c>
      <c r="BI15" s="931" t="str">
        <f t="shared" si="22"/>
        <v>"zNaughts":[0.5</v>
      </c>
      <c r="BJ15" s="931" t="str">
        <f t="shared" si="22"/>
        <v>"zNaughts":[3</v>
      </c>
      <c r="BK15" s="931" t="str">
        <f t="shared" si="22"/>
        <v/>
      </c>
      <c r="BL15" s="931" t="str">
        <f t="shared" si="22"/>
        <v/>
      </c>
      <c r="BM15" s="931" t="str">
        <f t="shared" si="22"/>
        <v/>
      </c>
      <c r="BN15" s="931" t="str">
        <f t="shared" si="22"/>
        <v/>
      </c>
      <c r="BO15" s="931" t="str">
        <f t="shared" si="22"/>
        <v/>
      </c>
      <c r="BP15" s="931" t="str">
        <f t="shared" si="22"/>
        <v/>
      </c>
      <c r="BQ15" s="931" t="str">
        <f t="shared" si="22"/>
        <v/>
      </c>
      <c r="BR15" s="931" t="str">
        <f t="shared" si="22"/>
        <v/>
      </c>
      <c r="BS15" s="931" t="str">
        <f t="shared" si="22"/>
        <v/>
      </c>
      <c r="BT15" s="931" t="str">
        <f t="shared" si="22"/>
        <v/>
      </c>
      <c r="BU15" s="931" t="str">
        <f t="shared" si="22"/>
        <v/>
      </c>
      <c r="BV15" s="931" t="str">
        <f t="shared" si="22"/>
        <v/>
      </c>
      <c r="BW15" s="931" t="str">
        <f t="shared" si="22"/>
        <v/>
      </c>
      <c r="BX15" s="931" t="str">
        <f t="shared" si="22"/>
        <v/>
      </c>
      <c r="BY15" s="931" t="str">
        <f t="shared" si="22"/>
        <v/>
      </c>
      <c r="BZ15" s="936" t="str">
        <f t="shared" si="22"/>
        <v/>
      </c>
      <c r="CA15" s="577" t="str">
        <f>""</f>
        <v/>
      </c>
      <c r="CB15" s="875">
        <f>RWDI_FACTORS!J114</f>
        <v>110</v>
      </c>
      <c r="CC15" s="916">
        <f t="shared" ref="CC15:CW15" si="23">IF(CC$4=$AD$6,$AD$4,"")</f>
        <v>110</v>
      </c>
      <c r="CD15" s="912" t="str">
        <f t="shared" si="23"/>
        <v/>
      </c>
      <c r="CE15" s="912" t="str">
        <f t="shared" si="23"/>
        <v/>
      </c>
      <c r="CF15" s="912" t="str">
        <f t="shared" si="23"/>
        <v/>
      </c>
      <c r="CG15" s="912" t="str">
        <f t="shared" si="23"/>
        <v/>
      </c>
      <c r="CH15" s="912" t="str">
        <f t="shared" si="23"/>
        <v/>
      </c>
      <c r="CI15" s="912" t="str">
        <f t="shared" si="23"/>
        <v/>
      </c>
      <c r="CJ15" s="912" t="str">
        <f t="shared" si="23"/>
        <v/>
      </c>
      <c r="CK15" s="912" t="str">
        <f t="shared" si="23"/>
        <v/>
      </c>
      <c r="CL15" s="912" t="str">
        <f t="shared" si="23"/>
        <v/>
      </c>
      <c r="CM15" s="912" t="str">
        <f t="shared" si="23"/>
        <v/>
      </c>
      <c r="CN15" s="912" t="str">
        <f t="shared" si="23"/>
        <v/>
      </c>
      <c r="CO15" s="912" t="str">
        <f t="shared" si="23"/>
        <v/>
      </c>
      <c r="CP15" s="912" t="str">
        <f t="shared" si="23"/>
        <v/>
      </c>
      <c r="CQ15" s="912" t="str">
        <f t="shared" si="23"/>
        <v/>
      </c>
      <c r="CR15" s="912" t="str">
        <f t="shared" si="23"/>
        <v/>
      </c>
      <c r="CS15" s="912" t="str">
        <f t="shared" si="23"/>
        <v/>
      </c>
      <c r="CT15" s="912" t="str">
        <f t="shared" si="23"/>
        <v/>
      </c>
      <c r="CU15" s="912" t="str">
        <f t="shared" si="23"/>
        <v/>
      </c>
      <c r="CV15" s="912" t="str">
        <f t="shared" si="23"/>
        <v/>
      </c>
      <c r="CW15" s="917" t="str">
        <f t="shared" si="23"/>
        <v/>
      </c>
      <c r="DA15" s="585"/>
      <c r="DB15" s="587"/>
      <c r="DC15" s="1288"/>
      <c r="DD15" s="1288"/>
      <c r="DE15" s="1288"/>
      <c r="DF15" s="1288"/>
      <c r="DG15" s="1288"/>
      <c r="DH15" s="1288"/>
      <c r="DI15" s="1288"/>
      <c r="DJ15" s="1288"/>
      <c r="DK15" s="1288"/>
      <c r="DL15" s="1288"/>
      <c r="DM15" s="1288"/>
      <c r="DN15" s="1288"/>
      <c r="DO15" s="1288"/>
      <c r="DP15" s="1288"/>
      <c r="DQ15" s="1288"/>
      <c r="DR15" s="1288"/>
      <c r="DS15" s="1289"/>
    </row>
    <row r="16" spans="1:123" ht="13.5" thickBot="1" x14ac:dyDescent="0.25">
      <c r="M16" s="766"/>
      <c r="N16" s="768"/>
      <c r="O16" s="768"/>
      <c r="P16" s="768"/>
      <c r="Q16" s="768"/>
      <c r="R16" s="589"/>
      <c r="S16" s="607" t="s">
        <v>459</v>
      </c>
      <c r="T16" s="811" t="str">
        <f t="shared" ref="T16:BC16" si="24">IFERROR($C$27+ATAN2(COS(T14/$C$25)-SIN($E$26)*SIN(T15*PI()/180),SIN((T$4+5)*PI()/180)*SIN(T12/$C$25)*COS($E$26))*180/PI(),"")</f>
        <v/>
      </c>
      <c r="U16" s="604" t="str">
        <f t="shared" si="24"/>
        <v/>
      </c>
      <c r="V16" s="604" t="str">
        <f t="shared" si="24"/>
        <v/>
      </c>
      <c r="W16" s="604" t="str">
        <f t="shared" si="24"/>
        <v/>
      </c>
      <c r="X16" s="604" t="str">
        <f t="shared" si="24"/>
        <v/>
      </c>
      <c r="Y16" s="604" t="str">
        <f t="shared" si="24"/>
        <v/>
      </c>
      <c r="Z16" s="604" t="str">
        <f t="shared" si="24"/>
        <v/>
      </c>
      <c r="AA16" s="604" t="str">
        <f t="shared" si="24"/>
        <v/>
      </c>
      <c r="AB16" s="604" t="str">
        <f t="shared" si="24"/>
        <v/>
      </c>
      <c r="AC16" s="604" t="str">
        <f t="shared" si="24"/>
        <v/>
      </c>
      <c r="AD16" s="604" t="str">
        <f t="shared" si="24"/>
        <v/>
      </c>
      <c r="AE16" s="604" t="str">
        <f t="shared" si="24"/>
        <v/>
      </c>
      <c r="AF16" s="604" t="str">
        <f t="shared" si="24"/>
        <v/>
      </c>
      <c r="AG16" s="604" t="str">
        <f t="shared" si="24"/>
        <v/>
      </c>
      <c r="AH16" s="604" t="str">
        <f t="shared" si="24"/>
        <v/>
      </c>
      <c r="AI16" s="604" t="str">
        <f t="shared" si="24"/>
        <v/>
      </c>
      <c r="AJ16" s="604" t="str">
        <f t="shared" si="24"/>
        <v/>
      </c>
      <c r="AK16" s="604" t="str">
        <f t="shared" si="24"/>
        <v/>
      </c>
      <c r="AL16" s="604" t="str">
        <f t="shared" si="24"/>
        <v/>
      </c>
      <c r="AM16" s="604" t="str">
        <f t="shared" si="24"/>
        <v/>
      </c>
      <c r="AN16" s="604" t="str">
        <f t="shared" si="24"/>
        <v/>
      </c>
      <c r="AO16" s="604" t="str">
        <f t="shared" si="24"/>
        <v/>
      </c>
      <c r="AP16" s="604" t="str">
        <f t="shared" si="24"/>
        <v/>
      </c>
      <c r="AQ16" s="604" t="str">
        <f t="shared" si="24"/>
        <v/>
      </c>
      <c r="AR16" s="604" t="str">
        <f t="shared" si="24"/>
        <v/>
      </c>
      <c r="AS16" s="604" t="str">
        <f t="shared" si="24"/>
        <v/>
      </c>
      <c r="AT16" s="604" t="str">
        <f t="shared" si="24"/>
        <v/>
      </c>
      <c r="AU16" s="604" t="str">
        <f t="shared" si="24"/>
        <v/>
      </c>
      <c r="AV16" s="604" t="str">
        <f t="shared" si="24"/>
        <v/>
      </c>
      <c r="AW16" s="604" t="str">
        <f t="shared" si="24"/>
        <v/>
      </c>
      <c r="AX16" s="604" t="str">
        <f t="shared" si="24"/>
        <v/>
      </c>
      <c r="AY16" s="604" t="str">
        <f t="shared" si="24"/>
        <v/>
      </c>
      <c r="AZ16" s="604" t="str">
        <f t="shared" si="24"/>
        <v/>
      </c>
      <c r="BA16" s="604" t="str">
        <f t="shared" si="24"/>
        <v/>
      </c>
      <c r="BB16" s="604" t="str">
        <f t="shared" si="24"/>
        <v/>
      </c>
      <c r="BC16" s="605" t="str">
        <f t="shared" si="24"/>
        <v/>
      </c>
      <c r="BD16" s="606"/>
      <c r="BE16" s="876"/>
      <c r="BF16" s="935" t="str">
        <f>IF(BF8="",BF15,CONCATENATE(BF15,",",BF8))</f>
        <v>"zNaughts":[0.005</v>
      </c>
      <c r="BG16" s="931" t="str">
        <f t="shared" ref="BG16:BZ16" si="25">IF(BG8="",BG15,CONCATENATE(BG15,",",BG8))</f>
        <v>"zNaughts":[0.02</v>
      </c>
      <c r="BH16" s="931" t="str">
        <f t="shared" si="25"/>
        <v>"zNaughts":[0.1</v>
      </c>
      <c r="BI16" s="931" t="str">
        <f t="shared" si="25"/>
        <v>"zNaughts":[0.5,0.1</v>
      </c>
      <c r="BJ16" s="931" t="str">
        <f t="shared" si="25"/>
        <v>"zNaughts":[3,0.5</v>
      </c>
      <c r="BK16" s="931" t="str">
        <f t="shared" si="25"/>
        <v/>
      </c>
      <c r="BL16" s="931" t="str">
        <f t="shared" si="25"/>
        <v/>
      </c>
      <c r="BM16" s="931" t="str">
        <f t="shared" si="25"/>
        <v/>
      </c>
      <c r="BN16" s="931" t="str">
        <f t="shared" si="25"/>
        <v/>
      </c>
      <c r="BO16" s="931" t="str">
        <f t="shared" si="25"/>
        <v/>
      </c>
      <c r="BP16" s="931" t="str">
        <f t="shared" si="25"/>
        <v/>
      </c>
      <c r="BQ16" s="931" t="str">
        <f t="shared" si="25"/>
        <v/>
      </c>
      <c r="BR16" s="931" t="str">
        <f t="shared" si="25"/>
        <v/>
      </c>
      <c r="BS16" s="931" t="str">
        <f t="shared" si="25"/>
        <v/>
      </c>
      <c r="BT16" s="931" t="str">
        <f t="shared" si="25"/>
        <v/>
      </c>
      <c r="BU16" s="931" t="str">
        <f t="shared" si="25"/>
        <v/>
      </c>
      <c r="BV16" s="931" t="str">
        <f t="shared" si="25"/>
        <v/>
      </c>
      <c r="BW16" s="931" t="str">
        <f t="shared" si="25"/>
        <v/>
      </c>
      <c r="BX16" s="931" t="str">
        <f t="shared" si="25"/>
        <v/>
      </c>
      <c r="BY16" s="931" t="str">
        <f t="shared" si="25"/>
        <v/>
      </c>
      <c r="BZ16" s="936" t="str">
        <f t="shared" si="25"/>
        <v/>
      </c>
      <c r="CA16" s="577" t="str">
        <f>""</f>
        <v/>
      </c>
      <c r="CB16" s="875">
        <f>RWDI_FACTORS!J115</f>
        <v>120</v>
      </c>
      <c r="CC16" s="916">
        <f t="shared" ref="CC16:CW16" si="26">IF(CC$4=$AE$6,$AE$4,"")</f>
        <v>120</v>
      </c>
      <c r="CD16" s="912" t="str">
        <f t="shared" si="26"/>
        <v/>
      </c>
      <c r="CE16" s="912" t="str">
        <f t="shared" si="26"/>
        <v/>
      </c>
      <c r="CF16" s="912" t="str">
        <f t="shared" si="26"/>
        <v/>
      </c>
      <c r="CG16" s="912" t="str">
        <f t="shared" si="26"/>
        <v/>
      </c>
      <c r="CH16" s="912" t="str">
        <f t="shared" si="26"/>
        <v/>
      </c>
      <c r="CI16" s="912" t="str">
        <f t="shared" si="26"/>
        <v/>
      </c>
      <c r="CJ16" s="912" t="str">
        <f t="shared" si="26"/>
        <v/>
      </c>
      <c r="CK16" s="912" t="str">
        <f t="shared" si="26"/>
        <v/>
      </c>
      <c r="CL16" s="912" t="str">
        <f t="shared" si="26"/>
        <v/>
      </c>
      <c r="CM16" s="912" t="str">
        <f t="shared" si="26"/>
        <v/>
      </c>
      <c r="CN16" s="912" t="str">
        <f t="shared" si="26"/>
        <v/>
      </c>
      <c r="CO16" s="912" t="str">
        <f t="shared" si="26"/>
        <v/>
      </c>
      <c r="CP16" s="912" t="str">
        <f t="shared" si="26"/>
        <v/>
      </c>
      <c r="CQ16" s="912" t="str">
        <f t="shared" si="26"/>
        <v/>
      </c>
      <c r="CR16" s="912" t="str">
        <f t="shared" si="26"/>
        <v/>
      </c>
      <c r="CS16" s="912" t="str">
        <f t="shared" si="26"/>
        <v/>
      </c>
      <c r="CT16" s="912" t="str">
        <f t="shared" si="26"/>
        <v/>
      </c>
      <c r="CU16" s="912" t="str">
        <f t="shared" si="26"/>
        <v/>
      </c>
      <c r="CV16" s="912" t="str">
        <f t="shared" si="26"/>
        <v/>
      </c>
      <c r="CW16" s="917" t="str">
        <f t="shared" si="26"/>
        <v/>
      </c>
      <c r="DA16" s="585"/>
      <c r="DB16" s="587"/>
      <c r="DC16" s="1288"/>
      <c r="DD16" s="1288"/>
      <c r="DE16" s="1288"/>
      <c r="DF16" s="1288"/>
      <c r="DG16" s="1288"/>
      <c r="DH16" s="1288"/>
      <c r="DI16" s="1288"/>
      <c r="DJ16" s="1288"/>
      <c r="DK16" s="1288"/>
      <c r="DL16" s="1288"/>
      <c r="DM16" s="1288"/>
      <c r="DN16" s="1288"/>
      <c r="DO16" s="1288"/>
      <c r="DP16" s="1288"/>
      <c r="DQ16" s="1288"/>
      <c r="DR16" s="1288"/>
      <c r="DS16" s="1289"/>
    </row>
    <row r="17" spans="2:123" x14ac:dyDescent="0.2">
      <c r="M17" s="766"/>
      <c r="N17" s="871"/>
      <c r="O17" s="871"/>
      <c r="P17" s="871"/>
      <c r="Q17" s="871"/>
      <c r="R17" s="589"/>
      <c r="S17" s="716" t="s">
        <v>446</v>
      </c>
      <c r="T17" s="812" t="str">
        <f t="shared" ref="T17:BC17" si="27">IFERROR(VLOOKUP($S17,$U$46:$AP$51,6+T$6,FALSE),"")</f>
        <v/>
      </c>
      <c r="U17" s="608" t="str">
        <f t="shared" si="27"/>
        <v/>
      </c>
      <c r="V17" s="608" t="str">
        <f t="shared" si="27"/>
        <v/>
      </c>
      <c r="W17" s="608" t="str">
        <f t="shared" si="27"/>
        <v/>
      </c>
      <c r="X17" s="608" t="str">
        <f t="shared" si="27"/>
        <v/>
      </c>
      <c r="Y17" s="608" t="str">
        <f t="shared" si="27"/>
        <v/>
      </c>
      <c r="Z17" s="608" t="str">
        <f t="shared" si="27"/>
        <v/>
      </c>
      <c r="AA17" s="608" t="str">
        <f t="shared" si="27"/>
        <v/>
      </c>
      <c r="AB17" s="608" t="str">
        <f t="shared" si="27"/>
        <v/>
      </c>
      <c r="AC17" s="608" t="str">
        <f t="shared" si="27"/>
        <v/>
      </c>
      <c r="AD17" s="608" t="str">
        <f t="shared" si="27"/>
        <v/>
      </c>
      <c r="AE17" s="608" t="str">
        <f t="shared" si="27"/>
        <v/>
      </c>
      <c r="AF17" s="608" t="str">
        <f t="shared" si="27"/>
        <v/>
      </c>
      <c r="AG17" s="608" t="str">
        <f t="shared" si="27"/>
        <v/>
      </c>
      <c r="AH17" s="608" t="str">
        <f t="shared" si="27"/>
        <v/>
      </c>
      <c r="AI17" s="608" t="str">
        <f t="shared" si="27"/>
        <v/>
      </c>
      <c r="AJ17" s="608" t="str">
        <f t="shared" si="27"/>
        <v/>
      </c>
      <c r="AK17" s="608" t="str">
        <f t="shared" si="27"/>
        <v/>
      </c>
      <c r="AL17" s="608" t="str">
        <f t="shared" si="27"/>
        <v/>
      </c>
      <c r="AM17" s="608" t="str">
        <f t="shared" si="27"/>
        <v/>
      </c>
      <c r="AN17" s="608" t="str">
        <f t="shared" si="27"/>
        <v/>
      </c>
      <c r="AO17" s="608" t="str">
        <f t="shared" si="27"/>
        <v/>
      </c>
      <c r="AP17" s="608" t="str">
        <f t="shared" si="27"/>
        <v/>
      </c>
      <c r="AQ17" s="608" t="str">
        <f t="shared" si="27"/>
        <v/>
      </c>
      <c r="AR17" s="608" t="str">
        <f t="shared" si="27"/>
        <v/>
      </c>
      <c r="AS17" s="608" t="str">
        <f t="shared" si="27"/>
        <v/>
      </c>
      <c r="AT17" s="608" t="str">
        <f t="shared" si="27"/>
        <v/>
      </c>
      <c r="AU17" s="608" t="str">
        <f t="shared" si="27"/>
        <v/>
      </c>
      <c r="AV17" s="608" t="str">
        <f t="shared" si="27"/>
        <v/>
      </c>
      <c r="AW17" s="608" t="str">
        <f t="shared" si="27"/>
        <v/>
      </c>
      <c r="AX17" s="608" t="str">
        <f t="shared" si="27"/>
        <v/>
      </c>
      <c r="AY17" s="608" t="str">
        <f t="shared" si="27"/>
        <v/>
      </c>
      <c r="AZ17" s="608" t="str">
        <f t="shared" si="27"/>
        <v/>
      </c>
      <c r="BA17" s="608" t="str">
        <f t="shared" si="27"/>
        <v/>
      </c>
      <c r="BB17" s="608" t="str">
        <f t="shared" si="27"/>
        <v/>
      </c>
      <c r="BC17" s="609" t="str">
        <f t="shared" si="27"/>
        <v/>
      </c>
      <c r="BD17" s="606"/>
      <c r="BE17" s="876"/>
      <c r="BF17" s="935" t="str">
        <f t="shared" ref="BF17:BF19" si="28">IF(BF9="",BF16,CONCATENATE(BF16,",",BF9))</f>
        <v>"zNaughts":[0.005</v>
      </c>
      <c r="BG17" s="931" t="str">
        <f t="shared" ref="BG17:BG19" si="29">IF(BG9="",BG16,CONCATENATE(BG16,",",BG9))</f>
        <v>"zNaughts":[0.02</v>
      </c>
      <c r="BH17" s="931" t="str">
        <f t="shared" ref="BH17:BH19" si="30">IF(BH9="",BH16,CONCATENATE(BH16,",",BH9))</f>
        <v>"zNaughts":[0.1</v>
      </c>
      <c r="BI17" s="931" t="str">
        <f t="shared" ref="BI17:BI19" si="31">IF(BI9="",BI16,CONCATENATE(BI16,",",BI9))</f>
        <v>"zNaughts":[0.5,0.1</v>
      </c>
      <c r="BJ17" s="931" t="str">
        <f t="shared" ref="BJ17:BJ19" si="32">IF(BJ9="",BJ16,CONCATENATE(BJ16,",",BJ9))</f>
        <v>"zNaughts":[3,0.5,0.1</v>
      </c>
      <c r="BK17" s="931" t="str">
        <f t="shared" ref="BK17:BK19" si="33">IF(BK9="",BK16,CONCATENATE(BK16,",",BK9))</f>
        <v/>
      </c>
      <c r="BL17" s="931" t="str">
        <f t="shared" ref="BL17:BL19" si="34">IF(BL9="",BL16,CONCATENATE(BL16,",",BL9))</f>
        <v/>
      </c>
      <c r="BM17" s="931" t="str">
        <f t="shared" ref="BM17:BM19" si="35">IF(BM9="",BM16,CONCATENATE(BM16,",",BM9))</f>
        <v/>
      </c>
      <c r="BN17" s="931" t="str">
        <f t="shared" ref="BN17:BN19" si="36">IF(BN9="",BN16,CONCATENATE(BN16,",",BN9))</f>
        <v/>
      </c>
      <c r="BO17" s="931" t="str">
        <f t="shared" ref="BO17:BO19" si="37">IF(BO9="",BO16,CONCATENATE(BO16,",",BO9))</f>
        <v/>
      </c>
      <c r="BP17" s="931" t="str">
        <f t="shared" ref="BP17:BP19" si="38">IF(BP9="",BP16,CONCATENATE(BP16,",",BP9))</f>
        <v/>
      </c>
      <c r="BQ17" s="931" t="str">
        <f t="shared" ref="BQ17:BQ19" si="39">IF(BQ9="",BQ16,CONCATENATE(BQ16,",",BQ9))</f>
        <v/>
      </c>
      <c r="BR17" s="931" t="str">
        <f t="shared" ref="BR17:BR19" si="40">IF(BR9="",BR16,CONCATENATE(BR16,",",BR9))</f>
        <v/>
      </c>
      <c r="BS17" s="931" t="str">
        <f t="shared" ref="BS17:BS19" si="41">IF(BS9="",BS16,CONCATENATE(BS16,",",BS9))</f>
        <v/>
      </c>
      <c r="BT17" s="931" t="str">
        <f t="shared" ref="BT17:BT19" si="42">IF(BT9="",BT16,CONCATENATE(BT16,",",BT9))</f>
        <v/>
      </c>
      <c r="BU17" s="931" t="str">
        <f t="shared" ref="BU17:BU19" si="43">IF(BU9="",BU16,CONCATENATE(BU16,",",BU9))</f>
        <v/>
      </c>
      <c r="BV17" s="931" t="str">
        <f t="shared" ref="BV17:BV19" si="44">IF(BV9="",BV16,CONCATENATE(BV16,",",BV9))</f>
        <v/>
      </c>
      <c r="BW17" s="931" t="str">
        <f t="shared" ref="BW17:BW19" si="45">IF(BW9="",BW16,CONCATENATE(BW16,",",BW9))</f>
        <v/>
      </c>
      <c r="BX17" s="931" t="str">
        <f t="shared" ref="BX17:BX19" si="46">IF(BX9="",BX16,CONCATENATE(BX16,",",BX9))</f>
        <v/>
      </c>
      <c r="BY17" s="931" t="str">
        <f t="shared" ref="BY17:BY19" si="47">IF(BY9="",BY16,CONCATENATE(BY16,",",BY9))</f>
        <v/>
      </c>
      <c r="BZ17" s="936" t="str">
        <f t="shared" ref="BZ17:BZ19" si="48">IF(BZ9="",BZ16,CONCATENATE(BZ16,",",BZ9))</f>
        <v/>
      </c>
      <c r="CA17" s="577" t="str">
        <f>""</f>
        <v/>
      </c>
      <c r="CB17" s="875">
        <f>RWDI_FACTORS!J116</f>
        <v>130</v>
      </c>
      <c r="CC17" s="916">
        <f t="shared" ref="CC17:CW17" si="49">IF(CC$4=$AF$6,$AF$4,"")</f>
        <v>130</v>
      </c>
      <c r="CD17" s="912" t="str">
        <f t="shared" si="49"/>
        <v/>
      </c>
      <c r="CE17" s="912" t="str">
        <f t="shared" si="49"/>
        <v/>
      </c>
      <c r="CF17" s="912" t="str">
        <f t="shared" si="49"/>
        <v/>
      </c>
      <c r="CG17" s="912" t="str">
        <f t="shared" si="49"/>
        <v/>
      </c>
      <c r="CH17" s="912" t="str">
        <f t="shared" si="49"/>
        <v/>
      </c>
      <c r="CI17" s="912" t="str">
        <f t="shared" si="49"/>
        <v/>
      </c>
      <c r="CJ17" s="912" t="str">
        <f t="shared" si="49"/>
        <v/>
      </c>
      <c r="CK17" s="912" t="str">
        <f t="shared" si="49"/>
        <v/>
      </c>
      <c r="CL17" s="912" t="str">
        <f t="shared" si="49"/>
        <v/>
      </c>
      <c r="CM17" s="912" t="str">
        <f t="shared" si="49"/>
        <v/>
      </c>
      <c r="CN17" s="912" t="str">
        <f t="shared" si="49"/>
        <v/>
      </c>
      <c r="CO17" s="912" t="str">
        <f t="shared" si="49"/>
        <v/>
      </c>
      <c r="CP17" s="912" t="str">
        <f t="shared" si="49"/>
        <v/>
      </c>
      <c r="CQ17" s="912" t="str">
        <f t="shared" si="49"/>
        <v/>
      </c>
      <c r="CR17" s="912" t="str">
        <f t="shared" si="49"/>
        <v/>
      </c>
      <c r="CS17" s="912" t="str">
        <f t="shared" si="49"/>
        <v/>
      </c>
      <c r="CT17" s="912" t="str">
        <f t="shared" si="49"/>
        <v/>
      </c>
      <c r="CU17" s="912" t="str">
        <f t="shared" si="49"/>
        <v/>
      </c>
      <c r="CV17" s="912" t="str">
        <f t="shared" si="49"/>
        <v/>
      </c>
      <c r="CW17" s="917" t="str">
        <f t="shared" si="49"/>
        <v/>
      </c>
      <c r="DA17" s="585"/>
      <c r="DB17" s="587"/>
      <c r="DC17" s="1288"/>
      <c r="DD17" s="1288"/>
      <c r="DE17" s="1288"/>
      <c r="DF17" s="1288"/>
      <c r="DG17" s="1288"/>
      <c r="DH17" s="1288"/>
      <c r="DI17" s="1288"/>
      <c r="DJ17" s="1288"/>
      <c r="DK17" s="1288"/>
      <c r="DL17" s="1288"/>
      <c r="DM17" s="1288"/>
      <c r="DN17" s="1288"/>
      <c r="DO17" s="1288"/>
      <c r="DP17" s="1288"/>
      <c r="DQ17" s="1288"/>
      <c r="DR17" s="1288"/>
      <c r="DS17" s="1289"/>
    </row>
    <row r="18" spans="2:123" x14ac:dyDescent="0.2">
      <c r="M18" s="766"/>
      <c r="N18" s="871"/>
      <c r="O18" s="871"/>
      <c r="P18" s="871"/>
      <c r="Q18" s="871"/>
      <c r="R18" s="589"/>
      <c r="S18" s="610" t="s">
        <v>456</v>
      </c>
      <c r="T18" s="813" t="str">
        <f t="shared" ref="T18:BC18" si="50">IFERROR(ASIN(SIN($E$26)*COS(T17/$C$25)+COS($E$26)*SIN(T17/$C$25)*COS((T$4-5)*PI()/180))*180/PI(),"")</f>
        <v/>
      </c>
      <c r="U18" s="611" t="str">
        <f t="shared" si="50"/>
        <v/>
      </c>
      <c r="V18" s="611" t="str">
        <f t="shared" si="50"/>
        <v/>
      </c>
      <c r="W18" s="611" t="str">
        <f t="shared" si="50"/>
        <v/>
      </c>
      <c r="X18" s="611" t="str">
        <f t="shared" si="50"/>
        <v/>
      </c>
      <c r="Y18" s="611" t="str">
        <f t="shared" si="50"/>
        <v/>
      </c>
      <c r="Z18" s="611" t="str">
        <f t="shared" si="50"/>
        <v/>
      </c>
      <c r="AA18" s="611" t="str">
        <f t="shared" si="50"/>
        <v/>
      </c>
      <c r="AB18" s="611" t="str">
        <f t="shared" si="50"/>
        <v/>
      </c>
      <c r="AC18" s="611" t="str">
        <f t="shared" si="50"/>
        <v/>
      </c>
      <c r="AD18" s="611" t="str">
        <f t="shared" si="50"/>
        <v/>
      </c>
      <c r="AE18" s="611" t="str">
        <f t="shared" si="50"/>
        <v/>
      </c>
      <c r="AF18" s="611" t="str">
        <f t="shared" si="50"/>
        <v/>
      </c>
      <c r="AG18" s="611" t="str">
        <f t="shared" si="50"/>
        <v/>
      </c>
      <c r="AH18" s="611" t="str">
        <f t="shared" si="50"/>
        <v/>
      </c>
      <c r="AI18" s="611" t="str">
        <f t="shared" si="50"/>
        <v/>
      </c>
      <c r="AJ18" s="611" t="str">
        <f t="shared" si="50"/>
        <v/>
      </c>
      <c r="AK18" s="611" t="str">
        <f t="shared" si="50"/>
        <v/>
      </c>
      <c r="AL18" s="611" t="str">
        <f t="shared" si="50"/>
        <v/>
      </c>
      <c r="AM18" s="611" t="str">
        <f t="shared" si="50"/>
        <v/>
      </c>
      <c r="AN18" s="611" t="str">
        <f t="shared" si="50"/>
        <v/>
      </c>
      <c r="AO18" s="611" t="str">
        <f t="shared" si="50"/>
        <v/>
      </c>
      <c r="AP18" s="611" t="str">
        <f t="shared" si="50"/>
        <v/>
      </c>
      <c r="AQ18" s="611" t="str">
        <f t="shared" si="50"/>
        <v/>
      </c>
      <c r="AR18" s="611" t="str">
        <f t="shared" si="50"/>
        <v/>
      </c>
      <c r="AS18" s="611" t="str">
        <f t="shared" si="50"/>
        <v/>
      </c>
      <c r="AT18" s="611" t="str">
        <f t="shared" si="50"/>
        <v/>
      </c>
      <c r="AU18" s="611" t="str">
        <f t="shared" si="50"/>
        <v/>
      </c>
      <c r="AV18" s="611" t="str">
        <f t="shared" si="50"/>
        <v/>
      </c>
      <c r="AW18" s="611" t="str">
        <f t="shared" si="50"/>
        <v/>
      </c>
      <c r="AX18" s="611" t="str">
        <f t="shared" si="50"/>
        <v/>
      </c>
      <c r="AY18" s="611" t="str">
        <f t="shared" si="50"/>
        <v/>
      </c>
      <c r="AZ18" s="611" t="str">
        <f t="shared" si="50"/>
        <v/>
      </c>
      <c r="BA18" s="611" t="str">
        <f t="shared" si="50"/>
        <v/>
      </c>
      <c r="BB18" s="611" t="str">
        <f t="shared" si="50"/>
        <v/>
      </c>
      <c r="BC18" s="612" t="str">
        <f t="shared" si="50"/>
        <v/>
      </c>
      <c r="BD18" s="606"/>
      <c r="BE18" s="876"/>
      <c r="BF18" s="935" t="str">
        <f t="shared" si="28"/>
        <v>"zNaughts":[0.005</v>
      </c>
      <c r="BG18" s="931" t="str">
        <f t="shared" si="29"/>
        <v>"zNaughts":[0.02</v>
      </c>
      <c r="BH18" s="931" t="str">
        <f t="shared" si="30"/>
        <v>"zNaughts":[0.1</v>
      </c>
      <c r="BI18" s="931" t="str">
        <f t="shared" si="31"/>
        <v>"zNaughts":[0.5,0.1</v>
      </c>
      <c r="BJ18" s="931" t="str">
        <f t="shared" si="32"/>
        <v>"zNaughts":[3,0.5,0.1</v>
      </c>
      <c r="BK18" s="931" t="str">
        <f t="shared" si="33"/>
        <v/>
      </c>
      <c r="BL18" s="931" t="str">
        <f t="shared" si="34"/>
        <v/>
      </c>
      <c r="BM18" s="931" t="str">
        <f t="shared" si="35"/>
        <v/>
      </c>
      <c r="BN18" s="931" t="str">
        <f t="shared" si="36"/>
        <v/>
      </c>
      <c r="BO18" s="931" t="str">
        <f t="shared" si="37"/>
        <v/>
      </c>
      <c r="BP18" s="931" t="str">
        <f t="shared" si="38"/>
        <v/>
      </c>
      <c r="BQ18" s="931" t="str">
        <f t="shared" si="39"/>
        <v/>
      </c>
      <c r="BR18" s="931" t="str">
        <f t="shared" si="40"/>
        <v/>
      </c>
      <c r="BS18" s="931" t="str">
        <f t="shared" si="41"/>
        <v/>
      </c>
      <c r="BT18" s="931" t="str">
        <f t="shared" si="42"/>
        <v/>
      </c>
      <c r="BU18" s="931" t="str">
        <f t="shared" si="43"/>
        <v/>
      </c>
      <c r="BV18" s="931" t="str">
        <f t="shared" si="44"/>
        <v/>
      </c>
      <c r="BW18" s="931" t="str">
        <f t="shared" si="45"/>
        <v/>
      </c>
      <c r="BX18" s="931" t="str">
        <f t="shared" si="46"/>
        <v/>
      </c>
      <c r="BY18" s="931" t="str">
        <f t="shared" si="47"/>
        <v/>
      </c>
      <c r="BZ18" s="936" t="str">
        <f t="shared" si="48"/>
        <v/>
      </c>
      <c r="CA18" s="577" t="str">
        <f>""</f>
        <v/>
      </c>
      <c r="CB18" s="875">
        <f>RWDI_FACTORS!J117</f>
        <v>140</v>
      </c>
      <c r="CC18" s="916">
        <f t="shared" ref="CC18:CW18" si="51">IF(CC$4=$AG$6,$AG$4,"")</f>
        <v>140</v>
      </c>
      <c r="CD18" s="912" t="str">
        <f t="shared" si="51"/>
        <v/>
      </c>
      <c r="CE18" s="912" t="str">
        <f t="shared" si="51"/>
        <v/>
      </c>
      <c r="CF18" s="912" t="str">
        <f t="shared" si="51"/>
        <v/>
      </c>
      <c r="CG18" s="912" t="str">
        <f t="shared" si="51"/>
        <v/>
      </c>
      <c r="CH18" s="912" t="str">
        <f t="shared" si="51"/>
        <v/>
      </c>
      <c r="CI18" s="912" t="str">
        <f t="shared" si="51"/>
        <v/>
      </c>
      <c r="CJ18" s="912" t="str">
        <f t="shared" si="51"/>
        <v/>
      </c>
      <c r="CK18" s="912" t="str">
        <f t="shared" si="51"/>
        <v/>
      </c>
      <c r="CL18" s="912" t="str">
        <f t="shared" si="51"/>
        <v/>
      </c>
      <c r="CM18" s="912" t="str">
        <f t="shared" si="51"/>
        <v/>
      </c>
      <c r="CN18" s="912" t="str">
        <f t="shared" si="51"/>
        <v/>
      </c>
      <c r="CO18" s="912" t="str">
        <f t="shared" si="51"/>
        <v/>
      </c>
      <c r="CP18" s="912" t="str">
        <f t="shared" si="51"/>
        <v/>
      </c>
      <c r="CQ18" s="912" t="str">
        <f t="shared" si="51"/>
        <v/>
      </c>
      <c r="CR18" s="912" t="str">
        <f t="shared" si="51"/>
        <v/>
      </c>
      <c r="CS18" s="912" t="str">
        <f t="shared" si="51"/>
        <v/>
      </c>
      <c r="CT18" s="912" t="str">
        <f t="shared" si="51"/>
        <v/>
      </c>
      <c r="CU18" s="912" t="str">
        <f t="shared" si="51"/>
        <v/>
      </c>
      <c r="CV18" s="912" t="str">
        <f t="shared" si="51"/>
        <v/>
      </c>
      <c r="CW18" s="917" t="str">
        <f t="shared" si="51"/>
        <v/>
      </c>
      <c r="DA18" s="585"/>
      <c r="DB18" s="587"/>
      <c r="DC18" s="1288"/>
      <c r="DD18" s="1288"/>
      <c r="DE18" s="1288"/>
      <c r="DF18" s="1288"/>
      <c r="DG18" s="1288"/>
      <c r="DH18" s="1288"/>
      <c r="DI18" s="1288"/>
      <c r="DJ18" s="1288"/>
      <c r="DK18" s="1288"/>
      <c r="DL18" s="1288"/>
      <c r="DM18" s="1288"/>
      <c r="DN18" s="1288"/>
      <c r="DO18" s="1288"/>
      <c r="DP18" s="1288"/>
      <c r="DQ18" s="1288"/>
      <c r="DR18" s="1288"/>
      <c r="DS18" s="1289"/>
    </row>
    <row r="19" spans="2:123" x14ac:dyDescent="0.2">
      <c r="M19" s="766"/>
      <c r="N19" s="768"/>
      <c r="O19" s="768"/>
      <c r="P19" s="768"/>
      <c r="Q19" s="768"/>
      <c r="R19" s="589"/>
      <c r="S19" s="610" t="s">
        <v>457</v>
      </c>
      <c r="T19" s="813" t="str">
        <f t="shared" ref="T19:BC19" si="52">IFERROR($C$27+ATAN2(COS(T17/$C$25)-SIN($E$26)*SIN(T18*PI()/180),SIN((T$4-5)*PI()/180)*SIN(T17/$C$25)*COS($E$26))*180/PI(),"")</f>
        <v/>
      </c>
      <c r="U19" s="611" t="str">
        <f t="shared" si="52"/>
        <v/>
      </c>
      <c r="V19" s="611" t="str">
        <f t="shared" si="52"/>
        <v/>
      </c>
      <c r="W19" s="611" t="str">
        <f t="shared" si="52"/>
        <v/>
      </c>
      <c r="X19" s="611" t="str">
        <f t="shared" si="52"/>
        <v/>
      </c>
      <c r="Y19" s="611" t="str">
        <f t="shared" si="52"/>
        <v/>
      </c>
      <c r="Z19" s="611" t="str">
        <f t="shared" si="52"/>
        <v/>
      </c>
      <c r="AA19" s="611" t="str">
        <f t="shared" si="52"/>
        <v/>
      </c>
      <c r="AB19" s="611" t="str">
        <f t="shared" si="52"/>
        <v/>
      </c>
      <c r="AC19" s="611" t="str">
        <f t="shared" si="52"/>
        <v/>
      </c>
      <c r="AD19" s="611" t="str">
        <f t="shared" si="52"/>
        <v/>
      </c>
      <c r="AE19" s="611" t="str">
        <f t="shared" si="52"/>
        <v/>
      </c>
      <c r="AF19" s="611" t="str">
        <f t="shared" si="52"/>
        <v/>
      </c>
      <c r="AG19" s="611" t="str">
        <f t="shared" si="52"/>
        <v/>
      </c>
      <c r="AH19" s="611" t="str">
        <f t="shared" si="52"/>
        <v/>
      </c>
      <c r="AI19" s="611" t="str">
        <f t="shared" si="52"/>
        <v/>
      </c>
      <c r="AJ19" s="611" t="str">
        <f t="shared" si="52"/>
        <v/>
      </c>
      <c r="AK19" s="611" t="str">
        <f t="shared" si="52"/>
        <v/>
      </c>
      <c r="AL19" s="611" t="str">
        <f t="shared" si="52"/>
        <v/>
      </c>
      <c r="AM19" s="611" t="str">
        <f t="shared" si="52"/>
        <v/>
      </c>
      <c r="AN19" s="611" t="str">
        <f t="shared" si="52"/>
        <v/>
      </c>
      <c r="AO19" s="611" t="str">
        <f t="shared" si="52"/>
        <v/>
      </c>
      <c r="AP19" s="611" t="str">
        <f t="shared" si="52"/>
        <v/>
      </c>
      <c r="AQ19" s="611" t="str">
        <f t="shared" si="52"/>
        <v/>
      </c>
      <c r="AR19" s="611" t="str">
        <f t="shared" si="52"/>
        <v/>
      </c>
      <c r="AS19" s="611" t="str">
        <f t="shared" si="52"/>
        <v/>
      </c>
      <c r="AT19" s="611" t="str">
        <f t="shared" si="52"/>
        <v/>
      </c>
      <c r="AU19" s="611" t="str">
        <f t="shared" si="52"/>
        <v/>
      </c>
      <c r="AV19" s="611" t="str">
        <f t="shared" si="52"/>
        <v/>
      </c>
      <c r="AW19" s="611" t="str">
        <f t="shared" si="52"/>
        <v/>
      </c>
      <c r="AX19" s="611" t="str">
        <f t="shared" si="52"/>
        <v/>
      </c>
      <c r="AY19" s="611" t="str">
        <f t="shared" si="52"/>
        <v/>
      </c>
      <c r="AZ19" s="611" t="str">
        <f t="shared" si="52"/>
        <v/>
      </c>
      <c r="BA19" s="611" t="str">
        <f t="shared" si="52"/>
        <v/>
      </c>
      <c r="BB19" s="611" t="str">
        <f t="shared" si="52"/>
        <v/>
      </c>
      <c r="BC19" s="612" t="str">
        <f t="shared" si="52"/>
        <v/>
      </c>
      <c r="BD19" s="606"/>
      <c r="BE19" s="876"/>
      <c r="BF19" s="935" t="str">
        <f t="shared" si="28"/>
        <v>"zNaughts":[0.005</v>
      </c>
      <c r="BG19" s="931" t="str">
        <f t="shared" si="29"/>
        <v>"zNaughts":[0.02</v>
      </c>
      <c r="BH19" s="931" t="str">
        <f t="shared" si="30"/>
        <v>"zNaughts":[0.1</v>
      </c>
      <c r="BI19" s="931" t="str">
        <f t="shared" si="31"/>
        <v>"zNaughts":[0.5,0.1</v>
      </c>
      <c r="BJ19" s="931" t="str">
        <f t="shared" si="32"/>
        <v>"zNaughts":[3,0.5,0.1</v>
      </c>
      <c r="BK19" s="931" t="str">
        <f t="shared" si="33"/>
        <v/>
      </c>
      <c r="BL19" s="931" t="str">
        <f t="shared" si="34"/>
        <v/>
      </c>
      <c r="BM19" s="931" t="str">
        <f t="shared" si="35"/>
        <v/>
      </c>
      <c r="BN19" s="931" t="str">
        <f t="shared" si="36"/>
        <v/>
      </c>
      <c r="BO19" s="931" t="str">
        <f t="shared" si="37"/>
        <v/>
      </c>
      <c r="BP19" s="931" t="str">
        <f t="shared" si="38"/>
        <v/>
      </c>
      <c r="BQ19" s="931" t="str">
        <f t="shared" si="39"/>
        <v/>
      </c>
      <c r="BR19" s="931" t="str">
        <f t="shared" si="40"/>
        <v/>
      </c>
      <c r="BS19" s="931" t="str">
        <f t="shared" si="41"/>
        <v/>
      </c>
      <c r="BT19" s="931" t="str">
        <f t="shared" si="42"/>
        <v/>
      </c>
      <c r="BU19" s="931" t="str">
        <f t="shared" si="43"/>
        <v/>
      </c>
      <c r="BV19" s="931" t="str">
        <f t="shared" si="44"/>
        <v/>
      </c>
      <c r="BW19" s="931" t="str">
        <f t="shared" si="45"/>
        <v/>
      </c>
      <c r="BX19" s="931" t="str">
        <f t="shared" si="46"/>
        <v/>
      </c>
      <c r="BY19" s="931" t="str">
        <f t="shared" si="47"/>
        <v/>
      </c>
      <c r="BZ19" s="936" t="str">
        <f t="shared" si="48"/>
        <v/>
      </c>
      <c r="CA19" s="577" t="str">
        <f>""</f>
        <v/>
      </c>
      <c r="CB19" s="875">
        <f>RWDI_FACTORS!J118</f>
        <v>150</v>
      </c>
      <c r="CC19" s="916">
        <f t="shared" ref="CC19:CW19" si="53">IF(CC$4=$AH$6,$AH$4,"")</f>
        <v>150</v>
      </c>
      <c r="CD19" s="912" t="str">
        <f t="shared" si="53"/>
        <v/>
      </c>
      <c r="CE19" s="912" t="str">
        <f t="shared" si="53"/>
        <v/>
      </c>
      <c r="CF19" s="912" t="str">
        <f t="shared" si="53"/>
        <v/>
      </c>
      <c r="CG19" s="912" t="str">
        <f t="shared" si="53"/>
        <v/>
      </c>
      <c r="CH19" s="912" t="str">
        <f t="shared" si="53"/>
        <v/>
      </c>
      <c r="CI19" s="912" t="str">
        <f t="shared" si="53"/>
        <v/>
      </c>
      <c r="CJ19" s="912" t="str">
        <f t="shared" si="53"/>
        <v/>
      </c>
      <c r="CK19" s="912" t="str">
        <f t="shared" si="53"/>
        <v/>
      </c>
      <c r="CL19" s="912" t="str">
        <f t="shared" si="53"/>
        <v/>
      </c>
      <c r="CM19" s="912" t="str">
        <f t="shared" si="53"/>
        <v/>
      </c>
      <c r="CN19" s="912" t="str">
        <f t="shared" si="53"/>
        <v/>
      </c>
      <c r="CO19" s="912" t="str">
        <f t="shared" si="53"/>
        <v/>
      </c>
      <c r="CP19" s="912" t="str">
        <f t="shared" si="53"/>
        <v/>
      </c>
      <c r="CQ19" s="912" t="str">
        <f t="shared" si="53"/>
        <v/>
      </c>
      <c r="CR19" s="912" t="str">
        <f t="shared" si="53"/>
        <v/>
      </c>
      <c r="CS19" s="912" t="str">
        <f t="shared" si="53"/>
        <v/>
      </c>
      <c r="CT19" s="912" t="str">
        <f t="shared" si="53"/>
        <v/>
      </c>
      <c r="CU19" s="912" t="str">
        <f t="shared" si="53"/>
        <v/>
      </c>
      <c r="CV19" s="912" t="str">
        <f t="shared" si="53"/>
        <v/>
      </c>
      <c r="CW19" s="917" t="str">
        <f t="shared" si="53"/>
        <v/>
      </c>
      <c r="DA19" s="585"/>
      <c r="DB19" s="587"/>
      <c r="DC19" s="1288"/>
      <c r="DD19" s="1288"/>
      <c r="DE19" s="1288"/>
      <c r="DF19" s="1288"/>
      <c r="DG19" s="1288"/>
      <c r="DH19" s="1288"/>
      <c r="DI19" s="1288"/>
      <c r="DJ19" s="1288"/>
      <c r="DK19" s="1288"/>
      <c r="DL19" s="1288"/>
      <c r="DM19" s="1288"/>
      <c r="DN19" s="1288"/>
      <c r="DO19" s="1288"/>
      <c r="DP19" s="1288"/>
      <c r="DQ19" s="1288"/>
      <c r="DR19" s="1288"/>
      <c r="DS19" s="1289"/>
    </row>
    <row r="20" spans="2:123" ht="13.5" thickBot="1" x14ac:dyDescent="0.25">
      <c r="M20" s="766"/>
      <c r="N20" s="768"/>
      <c r="O20" s="768"/>
      <c r="P20" s="768"/>
      <c r="Q20" s="768"/>
      <c r="R20" s="589"/>
      <c r="S20" s="610" t="s">
        <v>458</v>
      </c>
      <c r="T20" s="813" t="str">
        <f t="shared" ref="T20:BC20" si="54">IFERROR(ASIN(SIN($E$26)*COS(T17/$C$25)+COS($E$26)*SIN(T17/$C$25)*COS((T$4+5)*PI()/180))*180/PI(),"")</f>
        <v/>
      </c>
      <c r="U20" s="611" t="str">
        <f t="shared" si="54"/>
        <v/>
      </c>
      <c r="V20" s="611" t="str">
        <f t="shared" si="54"/>
        <v/>
      </c>
      <c r="W20" s="611" t="str">
        <f t="shared" si="54"/>
        <v/>
      </c>
      <c r="X20" s="611" t="str">
        <f t="shared" si="54"/>
        <v/>
      </c>
      <c r="Y20" s="611" t="str">
        <f t="shared" si="54"/>
        <v/>
      </c>
      <c r="Z20" s="611" t="str">
        <f t="shared" si="54"/>
        <v/>
      </c>
      <c r="AA20" s="611" t="str">
        <f t="shared" si="54"/>
        <v/>
      </c>
      <c r="AB20" s="611" t="str">
        <f t="shared" si="54"/>
        <v/>
      </c>
      <c r="AC20" s="611" t="str">
        <f t="shared" si="54"/>
        <v/>
      </c>
      <c r="AD20" s="611" t="str">
        <f t="shared" si="54"/>
        <v/>
      </c>
      <c r="AE20" s="611" t="str">
        <f t="shared" si="54"/>
        <v/>
      </c>
      <c r="AF20" s="611" t="str">
        <f t="shared" si="54"/>
        <v/>
      </c>
      <c r="AG20" s="611" t="str">
        <f t="shared" si="54"/>
        <v/>
      </c>
      <c r="AH20" s="611" t="str">
        <f t="shared" si="54"/>
        <v/>
      </c>
      <c r="AI20" s="611" t="str">
        <f t="shared" si="54"/>
        <v/>
      </c>
      <c r="AJ20" s="611" t="str">
        <f t="shared" si="54"/>
        <v/>
      </c>
      <c r="AK20" s="611" t="str">
        <f t="shared" si="54"/>
        <v/>
      </c>
      <c r="AL20" s="611" t="str">
        <f t="shared" si="54"/>
        <v/>
      </c>
      <c r="AM20" s="611" t="str">
        <f t="shared" si="54"/>
        <v/>
      </c>
      <c r="AN20" s="611" t="str">
        <f t="shared" si="54"/>
        <v/>
      </c>
      <c r="AO20" s="611" t="str">
        <f t="shared" si="54"/>
        <v/>
      </c>
      <c r="AP20" s="611" t="str">
        <f t="shared" si="54"/>
        <v/>
      </c>
      <c r="AQ20" s="611" t="str">
        <f t="shared" si="54"/>
        <v/>
      </c>
      <c r="AR20" s="611" t="str">
        <f t="shared" si="54"/>
        <v/>
      </c>
      <c r="AS20" s="611" t="str">
        <f t="shared" si="54"/>
        <v/>
      </c>
      <c r="AT20" s="611" t="str">
        <f t="shared" si="54"/>
        <v/>
      </c>
      <c r="AU20" s="611" t="str">
        <f t="shared" si="54"/>
        <v/>
      </c>
      <c r="AV20" s="611" t="str">
        <f t="shared" si="54"/>
        <v/>
      </c>
      <c r="AW20" s="611" t="str">
        <f t="shared" si="54"/>
        <v/>
      </c>
      <c r="AX20" s="611" t="str">
        <f t="shared" si="54"/>
        <v/>
      </c>
      <c r="AY20" s="611" t="str">
        <f t="shared" si="54"/>
        <v/>
      </c>
      <c r="AZ20" s="611" t="str">
        <f t="shared" si="54"/>
        <v/>
      </c>
      <c r="BA20" s="611" t="str">
        <f t="shared" si="54"/>
        <v/>
      </c>
      <c r="BB20" s="611" t="str">
        <f t="shared" si="54"/>
        <v/>
      </c>
      <c r="BC20" s="612" t="str">
        <f t="shared" si="54"/>
        <v/>
      </c>
      <c r="BD20" s="606"/>
      <c r="BE20" s="901" t="s">
        <v>503</v>
      </c>
      <c r="BF20" s="937" t="str">
        <f t="shared" ref="BF20:BZ20" si="55">IF(BF14="","",CONCATENATE(IF(BF$12="",BF$19,CONCATENATE(BF$19,",",BF$12)),"]}"))</f>
        <v>"zNaughts":[0.005]}</v>
      </c>
      <c r="BG20" s="938" t="str">
        <f t="shared" si="55"/>
        <v>"zNaughts":[0.02]}</v>
      </c>
      <c r="BH20" s="938" t="str">
        <f t="shared" si="55"/>
        <v>"zNaughts":[0.1]}</v>
      </c>
      <c r="BI20" s="938" t="str">
        <f t="shared" si="55"/>
        <v>"zNaughts":[0.5,0.1]}</v>
      </c>
      <c r="BJ20" s="938" t="str">
        <f t="shared" si="55"/>
        <v>"zNaughts":[3,0.5,0.1]}</v>
      </c>
      <c r="BK20" s="938" t="str">
        <f t="shared" si="55"/>
        <v/>
      </c>
      <c r="BL20" s="938" t="str">
        <f t="shared" si="55"/>
        <v/>
      </c>
      <c r="BM20" s="938" t="str">
        <f t="shared" si="55"/>
        <v/>
      </c>
      <c r="BN20" s="938" t="str">
        <f t="shared" si="55"/>
        <v/>
      </c>
      <c r="BO20" s="938" t="str">
        <f t="shared" si="55"/>
        <v/>
      </c>
      <c r="BP20" s="938" t="str">
        <f t="shared" si="55"/>
        <v/>
      </c>
      <c r="BQ20" s="938" t="str">
        <f t="shared" si="55"/>
        <v/>
      </c>
      <c r="BR20" s="938" t="str">
        <f t="shared" si="55"/>
        <v/>
      </c>
      <c r="BS20" s="938" t="str">
        <f t="shared" si="55"/>
        <v/>
      </c>
      <c r="BT20" s="938" t="str">
        <f t="shared" si="55"/>
        <v/>
      </c>
      <c r="BU20" s="938" t="str">
        <f t="shared" si="55"/>
        <v/>
      </c>
      <c r="BV20" s="938" t="str">
        <f t="shared" si="55"/>
        <v/>
      </c>
      <c r="BW20" s="938" t="str">
        <f t="shared" si="55"/>
        <v/>
      </c>
      <c r="BX20" s="938" t="str">
        <f t="shared" si="55"/>
        <v/>
      </c>
      <c r="BY20" s="938" t="str">
        <f t="shared" si="55"/>
        <v/>
      </c>
      <c r="BZ20" s="939" t="str">
        <f t="shared" si="55"/>
        <v/>
      </c>
      <c r="CA20" s="577" t="str">
        <f>""</f>
        <v/>
      </c>
      <c r="CB20" s="875">
        <f>RWDI_FACTORS!J119</f>
        <v>160</v>
      </c>
      <c r="CC20" s="916">
        <f t="shared" ref="CC20:CW20" si="56">IF(CC$4=$AI$6,$AI$4,"")</f>
        <v>160</v>
      </c>
      <c r="CD20" s="912" t="str">
        <f t="shared" si="56"/>
        <v/>
      </c>
      <c r="CE20" s="912" t="str">
        <f t="shared" si="56"/>
        <v/>
      </c>
      <c r="CF20" s="912" t="str">
        <f t="shared" si="56"/>
        <v/>
      </c>
      <c r="CG20" s="912" t="str">
        <f t="shared" si="56"/>
        <v/>
      </c>
      <c r="CH20" s="912" t="str">
        <f t="shared" si="56"/>
        <v/>
      </c>
      <c r="CI20" s="912" t="str">
        <f t="shared" si="56"/>
        <v/>
      </c>
      <c r="CJ20" s="912" t="str">
        <f t="shared" si="56"/>
        <v/>
      </c>
      <c r="CK20" s="912" t="str">
        <f t="shared" si="56"/>
        <v/>
      </c>
      <c r="CL20" s="912" t="str">
        <f t="shared" si="56"/>
        <v/>
      </c>
      <c r="CM20" s="912" t="str">
        <f t="shared" si="56"/>
        <v/>
      </c>
      <c r="CN20" s="912" t="str">
        <f t="shared" si="56"/>
        <v/>
      </c>
      <c r="CO20" s="912" t="str">
        <f t="shared" si="56"/>
        <v/>
      </c>
      <c r="CP20" s="912" t="str">
        <f t="shared" si="56"/>
        <v/>
      </c>
      <c r="CQ20" s="912" t="str">
        <f t="shared" si="56"/>
        <v/>
      </c>
      <c r="CR20" s="912" t="str">
        <f t="shared" si="56"/>
        <v/>
      </c>
      <c r="CS20" s="912" t="str">
        <f t="shared" si="56"/>
        <v/>
      </c>
      <c r="CT20" s="912" t="str">
        <f t="shared" si="56"/>
        <v/>
      </c>
      <c r="CU20" s="912" t="str">
        <f t="shared" si="56"/>
        <v/>
      </c>
      <c r="CV20" s="912" t="str">
        <f t="shared" si="56"/>
        <v/>
      </c>
      <c r="CW20" s="917" t="str">
        <f t="shared" si="56"/>
        <v/>
      </c>
      <c r="DA20" s="585"/>
      <c r="DB20" s="587"/>
      <c r="DC20" s="1288"/>
      <c r="DD20" s="1288"/>
      <c r="DE20" s="1288"/>
      <c r="DF20" s="1288"/>
      <c r="DG20" s="1288"/>
      <c r="DH20" s="1288"/>
      <c r="DI20" s="1288"/>
      <c r="DJ20" s="1288"/>
      <c r="DK20" s="1288"/>
      <c r="DL20" s="1288"/>
      <c r="DM20" s="1288"/>
      <c r="DN20" s="1288"/>
      <c r="DO20" s="1288"/>
      <c r="DP20" s="1288"/>
      <c r="DQ20" s="1288"/>
      <c r="DR20" s="1288"/>
      <c r="DS20" s="1289"/>
    </row>
    <row r="21" spans="2:123" ht="13.5" thickBot="1" x14ac:dyDescent="0.25">
      <c r="R21" s="589"/>
      <c r="S21" s="613" t="s">
        <v>459</v>
      </c>
      <c r="T21" s="813" t="str">
        <f t="shared" ref="T21:BC21" si="57">IFERROR($C$27+ATAN2(COS(T19/$C$25)-SIN($E$26)*SIN(T20*PI()/180),SIN((T$4+5)*PI()/180)*SIN(T17/$C$25)*COS($E$26))*180/PI(),"")</f>
        <v/>
      </c>
      <c r="U21" s="611" t="str">
        <f t="shared" si="57"/>
        <v/>
      </c>
      <c r="V21" s="611" t="str">
        <f t="shared" si="57"/>
        <v/>
      </c>
      <c r="W21" s="611" t="str">
        <f t="shared" si="57"/>
        <v/>
      </c>
      <c r="X21" s="611" t="str">
        <f t="shared" si="57"/>
        <v/>
      </c>
      <c r="Y21" s="611" t="str">
        <f t="shared" si="57"/>
        <v/>
      </c>
      <c r="Z21" s="611" t="str">
        <f t="shared" si="57"/>
        <v/>
      </c>
      <c r="AA21" s="611" t="str">
        <f t="shared" si="57"/>
        <v/>
      </c>
      <c r="AB21" s="611" t="str">
        <f t="shared" si="57"/>
        <v/>
      </c>
      <c r="AC21" s="611" t="str">
        <f t="shared" si="57"/>
        <v/>
      </c>
      <c r="AD21" s="611" t="str">
        <f t="shared" si="57"/>
        <v/>
      </c>
      <c r="AE21" s="611" t="str">
        <f t="shared" si="57"/>
        <v/>
      </c>
      <c r="AF21" s="611" t="str">
        <f t="shared" si="57"/>
        <v/>
      </c>
      <c r="AG21" s="611" t="str">
        <f t="shared" si="57"/>
        <v/>
      </c>
      <c r="AH21" s="611" t="str">
        <f t="shared" si="57"/>
        <v/>
      </c>
      <c r="AI21" s="611" t="str">
        <f t="shared" si="57"/>
        <v/>
      </c>
      <c r="AJ21" s="611" t="str">
        <f t="shared" si="57"/>
        <v/>
      </c>
      <c r="AK21" s="611" t="str">
        <f t="shared" si="57"/>
        <v/>
      </c>
      <c r="AL21" s="611" t="str">
        <f t="shared" si="57"/>
        <v/>
      </c>
      <c r="AM21" s="611" t="str">
        <f t="shared" si="57"/>
        <v/>
      </c>
      <c r="AN21" s="611" t="str">
        <f t="shared" si="57"/>
        <v/>
      </c>
      <c r="AO21" s="611" t="str">
        <f t="shared" si="57"/>
        <v/>
      </c>
      <c r="AP21" s="611" t="str">
        <f t="shared" si="57"/>
        <v/>
      </c>
      <c r="AQ21" s="611" t="str">
        <f t="shared" si="57"/>
        <v/>
      </c>
      <c r="AR21" s="611" t="str">
        <f t="shared" si="57"/>
        <v/>
      </c>
      <c r="AS21" s="611" t="str">
        <f t="shared" si="57"/>
        <v/>
      </c>
      <c r="AT21" s="611" t="str">
        <f t="shared" si="57"/>
        <v/>
      </c>
      <c r="AU21" s="611" t="str">
        <f t="shared" si="57"/>
        <v/>
      </c>
      <c r="AV21" s="611" t="str">
        <f t="shared" si="57"/>
        <v/>
      </c>
      <c r="AW21" s="611" t="str">
        <f t="shared" si="57"/>
        <v/>
      </c>
      <c r="AX21" s="611" t="str">
        <f t="shared" si="57"/>
        <v/>
      </c>
      <c r="AY21" s="611" t="str">
        <f t="shared" si="57"/>
        <v/>
      </c>
      <c r="AZ21" s="611" t="str">
        <f t="shared" si="57"/>
        <v/>
      </c>
      <c r="BA21" s="611" t="str">
        <f t="shared" si="57"/>
        <v/>
      </c>
      <c r="BB21" s="611" t="str">
        <f t="shared" si="57"/>
        <v/>
      </c>
      <c r="BC21" s="612" t="str">
        <f t="shared" si="57"/>
        <v/>
      </c>
      <c r="BD21" s="606"/>
      <c r="CB21" s="875">
        <f>RWDI_FACTORS!J120</f>
        <v>170</v>
      </c>
      <c r="CC21" s="916">
        <f t="shared" ref="CC21:CW21" si="58">IF(CC$4=$AJ$6,$AJ$4,"")</f>
        <v>170</v>
      </c>
      <c r="CD21" s="912" t="str">
        <f t="shared" si="58"/>
        <v/>
      </c>
      <c r="CE21" s="912" t="str">
        <f t="shared" si="58"/>
        <v/>
      </c>
      <c r="CF21" s="912" t="str">
        <f t="shared" si="58"/>
        <v/>
      </c>
      <c r="CG21" s="912" t="str">
        <f t="shared" si="58"/>
        <v/>
      </c>
      <c r="CH21" s="912" t="str">
        <f t="shared" si="58"/>
        <v/>
      </c>
      <c r="CI21" s="912" t="str">
        <f t="shared" si="58"/>
        <v/>
      </c>
      <c r="CJ21" s="912" t="str">
        <f t="shared" si="58"/>
        <v/>
      </c>
      <c r="CK21" s="912" t="str">
        <f t="shared" si="58"/>
        <v/>
      </c>
      <c r="CL21" s="912" t="str">
        <f t="shared" si="58"/>
        <v/>
      </c>
      <c r="CM21" s="912" t="str">
        <f t="shared" si="58"/>
        <v/>
      </c>
      <c r="CN21" s="912" t="str">
        <f t="shared" si="58"/>
        <v/>
      </c>
      <c r="CO21" s="912" t="str">
        <f t="shared" si="58"/>
        <v/>
      </c>
      <c r="CP21" s="912" t="str">
        <f t="shared" si="58"/>
        <v/>
      </c>
      <c r="CQ21" s="912" t="str">
        <f t="shared" si="58"/>
        <v/>
      </c>
      <c r="CR21" s="912" t="str">
        <f t="shared" si="58"/>
        <v/>
      </c>
      <c r="CS21" s="912" t="str">
        <f t="shared" si="58"/>
        <v/>
      </c>
      <c r="CT21" s="912" t="str">
        <f t="shared" si="58"/>
        <v/>
      </c>
      <c r="CU21" s="912" t="str">
        <f t="shared" si="58"/>
        <v/>
      </c>
      <c r="CV21" s="912" t="str">
        <f t="shared" si="58"/>
        <v/>
      </c>
      <c r="CW21" s="917" t="str">
        <f t="shared" si="58"/>
        <v/>
      </c>
      <c r="DA21" s="585"/>
      <c r="DB21" s="587"/>
      <c r="DC21" s="1288"/>
      <c r="DD21" s="1288"/>
      <c r="DE21" s="1288"/>
      <c r="DF21" s="1288"/>
      <c r="DG21" s="1288"/>
      <c r="DH21" s="1288"/>
      <c r="DI21" s="1288"/>
      <c r="DJ21" s="1288"/>
      <c r="DK21" s="1288"/>
      <c r="DL21" s="1288"/>
      <c r="DM21" s="1288"/>
      <c r="DN21" s="1288"/>
      <c r="DO21" s="1288"/>
      <c r="DP21" s="1288"/>
      <c r="DQ21" s="1288"/>
      <c r="DR21" s="1288"/>
      <c r="DS21" s="1289"/>
    </row>
    <row r="22" spans="2:123" x14ac:dyDescent="0.2">
      <c r="S22" s="717" t="s">
        <v>447</v>
      </c>
      <c r="T22" s="814" t="str">
        <f t="shared" ref="T22:BC22" si="59">IFERROR(VLOOKUP($S22,$U$46:$AP$51,6+T$6,FALSE),"")</f>
        <v/>
      </c>
      <c r="U22" s="754" t="str">
        <f t="shared" si="59"/>
        <v/>
      </c>
      <c r="V22" s="754" t="str">
        <f t="shared" si="59"/>
        <v/>
      </c>
      <c r="W22" s="754" t="str">
        <f t="shared" si="59"/>
        <v/>
      </c>
      <c r="X22" s="754" t="str">
        <f t="shared" si="59"/>
        <v/>
      </c>
      <c r="Y22" s="754" t="str">
        <f t="shared" si="59"/>
        <v/>
      </c>
      <c r="Z22" s="754" t="str">
        <f t="shared" si="59"/>
        <v/>
      </c>
      <c r="AA22" s="754" t="str">
        <f t="shared" si="59"/>
        <v/>
      </c>
      <c r="AB22" s="754" t="str">
        <f t="shared" si="59"/>
        <v/>
      </c>
      <c r="AC22" s="754" t="str">
        <f t="shared" si="59"/>
        <v/>
      </c>
      <c r="AD22" s="754" t="str">
        <f t="shared" si="59"/>
        <v/>
      </c>
      <c r="AE22" s="754" t="str">
        <f t="shared" si="59"/>
        <v/>
      </c>
      <c r="AF22" s="754" t="str">
        <f t="shared" si="59"/>
        <v/>
      </c>
      <c r="AG22" s="754" t="str">
        <f t="shared" si="59"/>
        <v/>
      </c>
      <c r="AH22" s="754" t="str">
        <f t="shared" si="59"/>
        <v/>
      </c>
      <c r="AI22" s="754" t="str">
        <f t="shared" si="59"/>
        <v/>
      </c>
      <c r="AJ22" s="754" t="str">
        <f t="shared" si="59"/>
        <v/>
      </c>
      <c r="AK22" s="754" t="str">
        <f t="shared" si="59"/>
        <v/>
      </c>
      <c r="AL22" s="754" t="str">
        <f t="shared" si="59"/>
        <v/>
      </c>
      <c r="AM22" s="754" t="str">
        <f t="shared" si="59"/>
        <v/>
      </c>
      <c r="AN22" s="754" t="str">
        <f t="shared" si="59"/>
        <v/>
      </c>
      <c r="AO22" s="754" t="str">
        <f t="shared" si="59"/>
        <v/>
      </c>
      <c r="AP22" s="754" t="str">
        <f t="shared" si="59"/>
        <v/>
      </c>
      <c r="AQ22" s="754" t="str">
        <f t="shared" si="59"/>
        <v/>
      </c>
      <c r="AR22" s="754" t="str">
        <f t="shared" si="59"/>
        <v/>
      </c>
      <c r="AS22" s="754" t="str">
        <f t="shared" si="59"/>
        <v/>
      </c>
      <c r="AT22" s="754" t="str">
        <f t="shared" si="59"/>
        <v/>
      </c>
      <c r="AU22" s="754" t="str">
        <f t="shared" si="59"/>
        <v/>
      </c>
      <c r="AV22" s="754" t="str">
        <f t="shared" si="59"/>
        <v/>
      </c>
      <c r="AW22" s="754" t="str">
        <f t="shared" si="59"/>
        <v/>
      </c>
      <c r="AX22" s="754" t="str">
        <f t="shared" si="59"/>
        <v/>
      </c>
      <c r="AY22" s="754" t="str">
        <f t="shared" si="59"/>
        <v/>
      </c>
      <c r="AZ22" s="754" t="str">
        <f t="shared" si="59"/>
        <v/>
      </c>
      <c r="BA22" s="754" t="str">
        <f t="shared" si="59"/>
        <v/>
      </c>
      <c r="BB22" s="754" t="str">
        <f t="shared" si="59"/>
        <v/>
      </c>
      <c r="BC22" s="815" t="str">
        <f t="shared" si="59"/>
        <v/>
      </c>
      <c r="BD22" s="606"/>
      <c r="CB22" s="875">
        <f>RWDI_FACTORS!J121</f>
        <v>180</v>
      </c>
      <c r="CC22" s="916">
        <f t="shared" ref="CC22:CW22" si="60">IF(CC$4=$AK$6,$AK$4,"")</f>
        <v>180</v>
      </c>
      <c r="CD22" s="912" t="str">
        <f t="shared" si="60"/>
        <v/>
      </c>
      <c r="CE22" s="912" t="str">
        <f t="shared" si="60"/>
        <v/>
      </c>
      <c r="CF22" s="912" t="str">
        <f t="shared" si="60"/>
        <v/>
      </c>
      <c r="CG22" s="912" t="str">
        <f t="shared" si="60"/>
        <v/>
      </c>
      <c r="CH22" s="912" t="str">
        <f t="shared" si="60"/>
        <v/>
      </c>
      <c r="CI22" s="912" t="str">
        <f t="shared" si="60"/>
        <v/>
      </c>
      <c r="CJ22" s="912" t="str">
        <f t="shared" si="60"/>
        <v/>
      </c>
      <c r="CK22" s="912" t="str">
        <f t="shared" si="60"/>
        <v/>
      </c>
      <c r="CL22" s="912" t="str">
        <f t="shared" si="60"/>
        <v/>
      </c>
      <c r="CM22" s="912" t="str">
        <f t="shared" si="60"/>
        <v/>
      </c>
      <c r="CN22" s="912" t="str">
        <f t="shared" si="60"/>
        <v/>
      </c>
      <c r="CO22" s="912" t="str">
        <f t="shared" si="60"/>
        <v/>
      </c>
      <c r="CP22" s="912" t="str">
        <f t="shared" si="60"/>
        <v/>
      </c>
      <c r="CQ22" s="912" t="str">
        <f t="shared" si="60"/>
        <v/>
      </c>
      <c r="CR22" s="912" t="str">
        <f t="shared" si="60"/>
        <v/>
      </c>
      <c r="CS22" s="912" t="str">
        <f t="shared" si="60"/>
        <v/>
      </c>
      <c r="CT22" s="912" t="str">
        <f t="shared" si="60"/>
        <v/>
      </c>
      <c r="CU22" s="912" t="str">
        <f t="shared" si="60"/>
        <v/>
      </c>
      <c r="CV22" s="912" t="str">
        <f t="shared" si="60"/>
        <v/>
      </c>
      <c r="CW22" s="917" t="str">
        <f t="shared" si="60"/>
        <v/>
      </c>
      <c r="DA22" s="585"/>
      <c r="DB22" s="587"/>
      <c r="DC22" s="1288"/>
      <c r="DD22" s="1288"/>
      <c r="DE22" s="1288"/>
      <c r="DF22" s="1288"/>
      <c r="DG22" s="1288"/>
      <c r="DH22" s="1288"/>
      <c r="DI22" s="1288"/>
      <c r="DJ22" s="1288"/>
      <c r="DK22" s="1288"/>
      <c r="DL22" s="1288"/>
      <c r="DM22" s="1288"/>
      <c r="DN22" s="1288"/>
      <c r="DO22" s="1288"/>
      <c r="DP22" s="1288"/>
      <c r="DQ22" s="1288"/>
      <c r="DR22" s="1288"/>
      <c r="DS22" s="1289"/>
    </row>
    <row r="23" spans="2:123" ht="13.5" thickBot="1" x14ac:dyDescent="0.25">
      <c r="F23" s="614"/>
      <c r="S23" s="615" t="s">
        <v>456</v>
      </c>
      <c r="T23" s="816" t="str">
        <f t="shared" ref="T23:BC23" si="61">IFERROR(ASIN(SIN($E$26)*COS(T22/$C$25)+COS($E$26)*SIN(T22/$C$25)*COS((T$4-5)*PI()/180))*180/PI(),"")</f>
        <v/>
      </c>
      <c r="U23" s="616" t="str">
        <f t="shared" si="61"/>
        <v/>
      </c>
      <c r="V23" s="616" t="str">
        <f t="shared" si="61"/>
        <v/>
      </c>
      <c r="W23" s="616" t="str">
        <f t="shared" si="61"/>
        <v/>
      </c>
      <c r="X23" s="616" t="str">
        <f t="shared" si="61"/>
        <v/>
      </c>
      <c r="Y23" s="616" t="str">
        <f t="shared" si="61"/>
        <v/>
      </c>
      <c r="Z23" s="616" t="str">
        <f t="shared" si="61"/>
        <v/>
      </c>
      <c r="AA23" s="616" t="str">
        <f t="shared" si="61"/>
        <v/>
      </c>
      <c r="AB23" s="616" t="str">
        <f t="shared" si="61"/>
        <v/>
      </c>
      <c r="AC23" s="616" t="str">
        <f t="shared" si="61"/>
        <v/>
      </c>
      <c r="AD23" s="616" t="str">
        <f t="shared" si="61"/>
        <v/>
      </c>
      <c r="AE23" s="616" t="str">
        <f t="shared" si="61"/>
        <v/>
      </c>
      <c r="AF23" s="616" t="str">
        <f t="shared" si="61"/>
        <v/>
      </c>
      <c r="AG23" s="616" t="str">
        <f t="shared" si="61"/>
        <v/>
      </c>
      <c r="AH23" s="616" t="str">
        <f t="shared" si="61"/>
        <v/>
      </c>
      <c r="AI23" s="616" t="str">
        <f t="shared" si="61"/>
        <v/>
      </c>
      <c r="AJ23" s="616" t="str">
        <f t="shared" si="61"/>
        <v/>
      </c>
      <c r="AK23" s="616" t="str">
        <f t="shared" si="61"/>
        <v/>
      </c>
      <c r="AL23" s="616" t="str">
        <f t="shared" si="61"/>
        <v/>
      </c>
      <c r="AM23" s="616" t="str">
        <f t="shared" si="61"/>
        <v/>
      </c>
      <c r="AN23" s="616" t="str">
        <f t="shared" si="61"/>
        <v/>
      </c>
      <c r="AO23" s="616" t="str">
        <f t="shared" si="61"/>
        <v/>
      </c>
      <c r="AP23" s="616" t="str">
        <f t="shared" si="61"/>
        <v/>
      </c>
      <c r="AQ23" s="616" t="str">
        <f t="shared" si="61"/>
        <v/>
      </c>
      <c r="AR23" s="616" t="str">
        <f t="shared" si="61"/>
        <v/>
      </c>
      <c r="AS23" s="616" t="str">
        <f t="shared" si="61"/>
        <v/>
      </c>
      <c r="AT23" s="616" t="str">
        <f t="shared" si="61"/>
        <v/>
      </c>
      <c r="AU23" s="616" t="str">
        <f t="shared" si="61"/>
        <v/>
      </c>
      <c r="AV23" s="616" t="str">
        <f t="shared" si="61"/>
        <v/>
      </c>
      <c r="AW23" s="616" t="str">
        <f t="shared" si="61"/>
        <v/>
      </c>
      <c r="AX23" s="616" t="str">
        <f t="shared" si="61"/>
        <v/>
      </c>
      <c r="AY23" s="616" t="str">
        <f t="shared" si="61"/>
        <v/>
      </c>
      <c r="AZ23" s="616" t="str">
        <f t="shared" si="61"/>
        <v/>
      </c>
      <c r="BA23" s="616" t="str">
        <f t="shared" si="61"/>
        <v/>
      </c>
      <c r="BB23" s="616" t="str">
        <f t="shared" si="61"/>
        <v/>
      </c>
      <c r="BC23" s="617" t="str">
        <f t="shared" si="61"/>
        <v/>
      </c>
      <c r="BD23" s="606"/>
      <c r="CB23" s="875">
        <f>RWDI_FACTORS!J122</f>
        <v>190</v>
      </c>
      <c r="CC23" s="916">
        <f t="shared" ref="CC23:CW23" si="62">IF(CC$4=$AL$6,$AL$4,"")</f>
        <v>190</v>
      </c>
      <c r="CD23" s="912" t="str">
        <f t="shared" si="62"/>
        <v/>
      </c>
      <c r="CE23" s="912" t="str">
        <f t="shared" si="62"/>
        <v/>
      </c>
      <c r="CF23" s="912" t="str">
        <f t="shared" si="62"/>
        <v/>
      </c>
      <c r="CG23" s="912" t="str">
        <f t="shared" si="62"/>
        <v/>
      </c>
      <c r="CH23" s="912" t="str">
        <f t="shared" si="62"/>
        <v/>
      </c>
      <c r="CI23" s="912" t="str">
        <f t="shared" si="62"/>
        <v/>
      </c>
      <c r="CJ23" s="912" t="str">
        <f t="shared" si="62"/>
        <v/>
      </c>
      <c r="CK23" s="912" t="str">
        <f t="shared" si="62"/>
        <v/>
      </c>
      <c r="CL23" s="912" t="str">
        <f t="shared" si="62"/>
        <v/>
      </c>
      <c r="CM23" s="912" t="str">
        <f t="shared" si="62"/>
        <v/>
      </c>
      <c r="CN23" s="912" t="str">
        <f t="shared" si="62"/>
        <v/>
      </c>
      <c r="CO23" s="912" t="str">
        <f t="shared" si="62"/>
        <v/>
      </c>
      <c r="CP23" s="912" t="str">
        <f t="shared" si="62"/>
        <v/>
      </c>
      <c r="CQ23" s="912" t="str">
        <f t="shared" si="62"/>
        <v/>
      </c>
      <c r="CR23" s="912" t="str">
        <f t="shared" si="62"/>
        <v/>
      </c>
      <c r="CS23" s="912" t="str">
        <f t="shared" si="62"/>
        <v/>
      </c>
      <c r="CT23" s="912" t="str">
        <f t="shared" si="62"/>
        <v/>
      </c>
      <c r="CU23" s="912" t="str">
        <f t="shared" si="62"/>
        <v/>
      </c>
      <c r="CV23" s="912" t="str">
        <f t="shared" si="62"/>
        <v/>
      </c>
      <c r="CW23" s="917" t="str">
        <f t="shared" si="62"/>
        <v/>
      </c>
      <c r="DA23" s="585"/>
      <c r="DB23" s="587"/>
      <c r="DC23" s="1288"/>
      <c r="DD23" s="1288"/>
      <c r="DE23" s="1288"/>
      <c r="DF23" s="1288"/>
      <c r="DG23" s="1288"/>
      <c r="DH23" s="1288"/>
      <c r="DI23" s="1288"/>
      <c r="DJ23" s="1288"/>
      <c r="DK23" s="1288"/>
      <c r="DL23" s="1288"/>
      <c r="DM23" s="1288"/>
      <c r="DN23" s="1288"/>
      <c r="DO23" s="1288"/>
      <c r="DP23" s="1288"/>
      <c r="DQ23" s="1288"/>
      <c r="DR23" s="1288"/>
      <c r="DS23" s="1289"/>
    </row>
    <row r="24" spans="2:123" ht="13.5" thickBot="1" x14ac:dyDescent="0.25">
      <c r="B24" s="1259" t="s">
        <v>488</v>
      </c>
      <c r="C24" s="1260"/>
      <c r="D24" s="1260"/>
      <c r="E24" s="1260"/>
      <c r="F24" s="1261"/>
      <c r="I24" s="578" t="s">
        <v>497</v>
      </c>
      <c r="S24" s="615" t="s">
        <v>457</v>
      </c>
      <c r="T24" s="816" t="str">
        <f t="shared" ref="T24:BC24" si="63">IFERROR($C$27+ATAN2(COS(T22/$C$25)-SIN($E$26)*SIN(T23*PI()/180),SIN((T$4-5)*PI()/180)*SIN(T22/$C$25)*COS($E$26))*180/PI(),"")</f>
        <v/>
      </c>
      <c r="U24" s="616" t="str">
        <f t="shared" si="63"/>
        <v/>
      </c>
      <c r="V24" s="616" t="str">
        <f t="shared" si="63"/>
        <v/>
      </c>
      <c r="W24" s="616" t="str">
        <f t="shared" si="63"/>
        <v/>
      </c>
      <c r="X24" s="616" t="str">
        <f t="shared" si="63"/>
        <v/>
      </c>
      <c r="Y24" s="616" t="str">
        <f t="shared" si="63"/>
        <v/>
      </c>
      <c r="Z24" s="616" t="str">
        <f t="shared" si="63"/>
        <v/>
      </c>
      <c r="AA24" s="616" t="str">
        <f t="shared" si="63"/>
        <v/>
      </c>
      <c r="AB24" s="616" t="str">
        <f t="shared" si="63"/>
        <v/>
      </c>
      <c r="AC24" s="616" t="str">
        <f t="shared" si="63"/>
        <v/>
      </c>
      <c r="AD24" s="616" t="str">
        <f t="shared" si="63"/>
        <v/>
      </c>
      <c r="AE24" s="616" t="str">
        <f t="shared" si="63"/>
        <v/>
      </c>
      <c r="AF24" s="616" t="str">
        <f t="shared" si="63"/>
        <v/>
      </c>
      <c r="AG24" s="616" t="str">
        <f t="shared" si="63"/>
        <v/>
      </c>
      <c r="AH24" s="616" t="str">
        <f t="shared" si="63"/>
        <v/>
      </c>
      <c r="AI24" s="616" t="str">
        <f t="shared" si="63"/>
        <v/>
      </c>
      <c r="AJ24" s="616" t="str">
        <f t="shared" si="63"/>
        <v/>
      </c>
      <c r="AK24" s="616" t="str">
        <f t="shared" si="63"/>
        <v/>
      </c>
      <c r="AL24" s="616" t="str">
        <f t="shared" si="63"/>
        <v/>
      </c>
      <c r="AM24" s="616" t="str">
        <f t="shared" si="63"/>
        <v/>
      </c>
      <c r="AN24" s="616" t="str">
        <f t="shared" si="63"/>
        <v/>
      </c>
      <c r="AO24" s="616" t="str">
        <f t="shared" si="63"/>
        <v/>
      </c>
      <c r="AP24" s="616" t="str">
        <f t="shared" si="63"/>
        <v/>
      </c>
      <c r="AQ24" s="616" t="str">
        <f t="shared" si="63"/>
        <v/>
      </c>
      <c r="AR24" s="616" t="str">
        <f t="shared" si="63"/>
        <v/>
      </c>
      <c r="AS24" s="616" t="str">
        <f t="shared" si="63"/>
        <v/>
      </c>
      <c r="AT24" s="616" t="str">
        <f t="shared" si="63"/>
        <v/>
      </c>
      <c r="AU24" s="616" t="str">
        <f t="shared" si="63"/>
        <v/>
      </c>
      <c r="AV24" s="616" t="str">
        <f t="shared" si="63"/>
        <v/>
      </c>
      <c r="AW24" s="616" t="str">
        <f t="shared" si="63"/>
        <v/>
      </c>
      <c r="AX24" s="616" t="str">
        <f t="shared" si="63"/>
        <v/>
      </c>
      <c r="AY24" s="616" t="str">
        <f t="shared" si="63"/>
        <v/>
      </c>
      <c r="AZ24" s="616" t="str">
        <f t="shared" si="63"/>
        <v/>
      </c>
      <c r="BA24" s="616" t="str">
        <f t="shared" si="63"/>
        <v/>
      </c>
      <c r="BB24" s="616" t="str">
        <f t="shared" si="63"/>
        <v/>
      </c>
      <c r="BC24" s="617" t="str">
        <f t="shared" si="63"/>
        <v/>
      </c>
      <c r="BD24" s="606"/>
      <c r="CB24" s="875">
        <f>RWDI_FACTORS!J123</f>
        <v>200</v>
      </c>
      <c r="CC24" s="916">
        <f t="shared" ref="CC24:CW24" si="64">IF(CC$4=$AM$6,$AM$4,"")</f>
        <v>200</v>
      </c>
      <c r="CD24" s="912" t="str">
        <f t="shared" si="64"/>
        <v/>
      </c>
      <c r="CE24" s="912" t="str">
        <f t="shared" si="64"/>
        <v/>
      </c>
      <c r="CF24" s="912" t="str">
        <f t="shared" si="64"/>
        <v/>
      </c>
      <c r="CG24" s="912" t="str">
        <f t="shared" si="64"/>
        <v/>
      </c>
      <c r="CH24" s="912" t="str">
        <f t="shared" si="64"/>
        <v/>
      </c>
      <c r="CI24" s="912" t="str">
        <f t="shared" si="64"/>
        <v/>
      </c>
      <c r="CJ24" s="912" t="str">
        <f t="shared" si="64"/>
        <v/>
      </c>
      <c r="CK24" s="912" t="str">
        <f t="shared" si="64"/>
        <v/>
      </c>
      <c r="CL24" s="912" t="str">
        <f t="shared" si="64"/>
        <v/>
      </c>
      <c r="CM24" s="912" t="str">
        <f t="shared" si="64"/>
        <v/>
      </c>
      <c r="CN24" s="912" t="str">
        <f t="shared" si="64"/>
        <v/>
      </c>
      <c r="CO24" s="912" t="str">
        <f t="shared" si="64"/>
        <v/>
      </c>
      <c r="CP24" s="912" t="str">
        <f t="shared" si="64"/>
        <v/>
      </c>
      <c r="CQ24" s="912" t="str">
        <f t="shared" si="64"/>
        <v/>
      </c>
      <c r="CR24" s="912" t="str">
        <f t="shared" si="64"/>
        <v/>
      </c>
      <c r="CS24" s="912" t="str">
        <f t="shared" si="64"/>
        <v/>
      </c>
      <c r="CT24" s="912" t="str">
        <f t="shared" si="64"/>
        <v/>
      </c>
      <c r="CU24" s="912" t="str">
        <f t="shared" si="64"/>
        <v/>
      </c>
      <c r="CV24" s="912" t="str">
        <f t="shared" si="64"/>
        <v/>
      </c>
      <c r="CW24" s="917" t="str">
        <f t="shared" si="64"/>
        <v/>
      </c>
      <c r="DA24" s="585"/>
      <c r="DB24" s="587"/>
      <c r="DC24" s="1288"/>
      <c r="DD24" s="1288"/>
      <c r="DE24" s="1288"/>
      <c r="DF24" s="1288"/>
      <c r="DG24" s="1288"/>
      <c r="DH24" s="1288"/>
      <c r="DI24" s="1288"/>
      <c r="DJ24" s="1288"/>
      <c r="DK24" s="1288"/>
      <c r="DL24" s="1288"/>
      <c r="DM24" s="1288"/>
      <c r="DN24" s="1288"/>
      <c r="DO24" s="1288"/>
      <c r="DP24" s="1288"/>
      <c r="DQ24" s="1288"/>
      <c r="DR24" s="1288"/>
      <c r="DS24" s="1289"/>
    </row>
    <row r="25" spans="2:123" ht="12.75" customHeight="1" x14ac:dyDescent="0.2">
      <c r="B25" s="905" t="s">
        <v>443</v>
      </c>
      <c r="C25" s="906">
        <f>6371*1000</f>
        <v>6371000</v>
      </c>
      <c r="D25" s="899" t="s">
        <v>444</v>
      </c>
      <c r="E25" s="906"/>
      <c r="F25" s="881"/>
      <c r="I25" s="1262" t="str">
        <f>CONCATENATE(DC8,DC11,DC13,DC100)</f>
        <v>{"MapInstance":{"centerLatitude":0,"centerLongitude":0},"RoseInstance":{"jobName":"Name","jobNumber":########,"startAngle":0,"numSectors":36,"scaleFactor":300,"projectCategory":"Structural","diskRadiusInFeet":4,"roseRadiusInKM":100},"others":{"sectors":[{"direction":10,"fetchPoints":[{"left":{"latitude":0.00307203909640892,"longitude":0.000268768595102742},"right":{"latitude":0.00297869674290592,"longitude":0.0007981393863477}},{"left":{"latitude":0.89589913623071,"longitude":0.0783874311275482},"right":{"latitude":0.868675575701221,"longitude":0.232750721597637}}],"zNaughts":[0.005]},{"direction":20,"fetchPoints":[{"left":{"latitude":0.00297869674290592,"longitude":0.000798139387503729},"right":{"latitude":0.00279484819610047,"longitude":0.00130325911648073}},{"left":{"latitude":0.868675575701221,"longitude":0.232779395422981},"right":{"latitude":0.815056196507026,"longitude":0.380048553953978}}],"zNaughts":[0.005]},{"direction":30,"fetchPoints":[{"left":{"latitude":0.00279484819610047,"longitude":0.00130325911836838},"right":{"latitude":0.00252607960109505,"longitude":0.00176877997766961}},{"left":{"latitude":0.815056196507026,"longitude":0.380095373340785},"right":{"latitude":0.736671179680177,"longitude":0.515794567373208}}],"zNaughts":[0.005]},{"direction":40,"fetchPoints":[{"left":{"latitude":0.00252607960109505,"longitude":0.00176877998023152},"right":{"latitude":0.0021805573556912,"longitude":0.00218055735411203}},{"left":{"latitude":0.736671179680177,"longitude":0.515858108172444},"right":{"latitude":0.635903349647258,"longitude":0.635864188269896}}],"zNaughts":[0.005]},{"direction":50,"fetchPoints":[{"left":{"latitude":0.0021805573556912,"longitude":0.00218055735727036},"right":{"latitude":0.00176877997851245,"longitude":0.00252607959863997}},{"left":{"latitude":0.635903349647258,"longitude":0.635942518261085},"right":{"latitude":0.515815469064466,"longitude":0.736610297255833}}],"zNaughts":[0.005]},{"direction":60,"fetchPoints":[{"left":{"latitude":0.00176877997851245,"longitude":0.00252607960229875},"right":{"latitude":0.00130325911681788,"longitude":0.00279484819277541}},{"left":{"latitude":0.515815469064466,"longitude":0.736701035276063},"right":{"latitude":0.380056914917414,"longitude":0.814973740653099}}],"zNaughts":[0.005]},{"direction":70,"fetchPoints":[{"left":{"latitude":0.00130325911681788,"longitude":0.00279484819682348},"right":{"latitude":0.000798139386425139,"longitude":0.00297869673888057}},{"left":{"latitude":0.380056914917414,"longitude":0.815074129254374},"right":{"latitude":0.232752642048603,"longitude":0.868575754518826}}],"zNaughts":[0.005]},{"direction":80,"fetchPoints":[{"left":{"latitude":0.000798139386425139,"longitude":0.00297869674319492},"right":{"latitude":0.000268768594716413,"longitude":0.00307203909199317}},{"left":{"latitude":0.232752642048603,"longitude":0.868682743863914},"right":{"latitude":0.0783778485833792,"longitude":0.895789634126158}}],"zNaughts":[0.005]},{"direction":90,"fetchPoints":[{"left":{"latitude":0.000268768594716413,"longitude":0.00307203909644272},"right":{"latitude":-0.000268768594716414,"longitude":0.00307203909199317}},{"left":{"latitude":0.0783778485833792,"longitude":0.895899974543841},"right":{"latitude":-0.0783778485833793,"longitude":0.895789634126159}}],"zNaughts":[0.005]},{"direction":100,"fetchPoints":[{"left":{"latitude":-0.000268768594716414,"longitude":0.00307203909644272},"right":{"latitude":-0.00079813938642514,"longitude":0.00297869673888057}},{"left":{"latitude":-0.0783778485833793,"longitude":0.895899974543841},"right":{"latitude":-0.232752642048603,"longitude":0.868575754518828}}],"zNaughts":[0.005]},{"direction":110,"fetchPoints":[{"left":{"latitude":-0.00079813938642514,"longitude":0.00297869674319492},"right":{"latitude":-0.00130325911681788,"longitude":0.00279484819277541}},{"left":{"latitude":-0.232752642048603,"longitude":0.868682743863914},"right":{"latitude":-0.380056914917414,"longitude":0.814973740653101}}],"zNaughts":[0.005]},{"direction":120,"fetchPoints":[{"left":{"latitude":-0.00130325911681788,"longitude":0.00279484819682348},"right":{"latitude":-0.00176877997851245,"longitude":0.00252607959863997}},{"left":{"latitude":-0.380056914917414,"longitude":0.815074129254374},"right":{"latitude":-0.515815469064466,"longitude":0.736610297255835}}],"zNaughts":[0.005]},{"direction":130,"fetchPoints":[{"left":{"latitude":-0.00176877997851245,"longitude":0.00252607960229875},"right":{"latitude":-0.0021805573556912,"longitude":0.00218055735411203}},{"left":{"latitude":-0.515815469064466,"longitude":0.736701035276063},"right":{"latitude":-0.635903349647258,"longitude":0.635864188269898}}],"zNaughts":[0.005]},{"direction":140,"fetchPoints":[{"left":{"latitude":-0.0021805573556912,"longitude":0.00218055735727036},"right":{"latitude":-0.00252607960109505,"longitude":0.00176877997766961}},{"left":{"latitude":-0.635903349647258,"longitude":0.635942518261085},"right":{"latitude":-0.736671179680176,"longitude":0.51579456737321}}],"zNaughts":[0.005]},{"direction":150,"fetchPoints":[{"left":{"latitude":-0.00252607960109505,"longitude":0.00176877998023152},"right":{"latitude":-0.00279484819610047,"longitude":0.00130325911648073}},{"left":{"latitude":-0.736671179680176,"longitude":0.515858108172445},"right":{"latitude":-0.815056196507026,"longitude":0.380048553953979}}],"zNaughts":[0.005]},{"direction":160,"fetchPoints":[{"left":{"latitude":-0.00279484819610047,"longitude":0.00130325911836838},"right":{"latitude":-0.00297869674290592,"longitude":0.000798139386347701}},{"left":{"latitude":-0.815056196507026,"longitude":0.380095373340785},"right":{"latitude":-0.868675575701221,"longitude":0.232750721597638}}],"zNaughts":[0.005]},{"direction":170,"fetchPoints":[{"left":{"latitude":-0.00297869674290592,"longitude":0.00079813938750373},"right":{"latitude":-0.00307203909640892,"longitude":0.000268768594713458}},{"left":{"latitude":-0.868675575701221,"longitude":0.232779395422981},"right":{"latitude":-0.89589913623071,"longitude":0.0783777752495873}}],"zNaughts":[0.005]},{"direction":180,"fetchPoints":[{"left":{"latitude":-0.00307203909640892,"longitude":0.000268768595102743},"right":{"latitude":-0.00307203909640892,"longitude":-0.000268768594713456}},{"left":{"latitude":-0.89589913623071,"longitude":0.0783874311275487},"right":{"latitude":-0.89589913623071,"longitude":-0.0783777752495867}}],"zNaughts":[0.005]},{"direction":190,"fetchPoints":[{"left":{"latitude":-0.00307203909640892,"longitude":-0.000268768595102741},"right":{"latitude":-0.00297869674290592,"longitude":-0.000798139386347699}},{"left":{"latitude":-0.89589913623071,"longitude":-0.078387431127548},"right":{"latitude":-0.868675575701221,"longitude":-0.232750721597637}}],"zNaughts":[0.005]},{"direction":200,"fetchPoints":[{"left":{"latitude":-0.00297869674290592,"longitude":-0.000798139387503727},"right":{"latitude":-0.00279484819610047,"longitude":-0.00130325911648073}},{"left":{"latitude":-0.868675575701221,"longitude":-0.23277939542298},"right":{"latitude":-0.815056196507026,"longitude":-0.380048553953978}}],"zNaughts":[0.005]},{"direction":210,"fetchPoints":[{"left":{"latitude":-0.00279484819610047,"longitude":-0.00130325911836838},"right":{"latitude":-0.00252607960109505,"longitude":-0.00176877997766961}},{"left":{"latitude":-0.815056196507026,"longitude":-0.380095373340785},"right":{"latitude":-0.736671179680177,"longitude":-0.515794567373207}}],"zNaughts":[0.005]},{"direction":220,"fetchPoints":[{"left":{"latitude":-0.00252607960109505,"longitude":-0.00176877998023152},"right":{"latitude":-0.0021805573556912,"longitude":-0.00218055735411203}},{"left":{"latitude":-0.736671179680177,"longitude":-0.515858108172444},"right":{"latitude":-0.635903349647258,"longitude":-0.635864188269896}}],"zNaughts":[0.005]},{"direction":230,"fetchPoints":[{"left":{"latitude":-0.0021805573556912,"longitude":-0.00218055735727036},"right":{"latitude":-0.00176877997851246,"longitude":-0.00252607959863997}},{"left":{"latitude":-0.635903349647258,"longitude":-0.635942518261085},"right":{"latitude":-0.515815469064466,"longitude":-0.736610297255832}}],"zNaughts":[0.005]},{"direction":240,"fetchPoints":[{"left":{"latitude":-0.00176877997851246,"longitude":-0.00252607960229875},"right":{"latitude":-0.00130325911681788,"longitude":-0.00279484819277541}},{"left":{"latitude":-0.515815469064466,"longitude":-0.736701035276063},"right":{"latitude":-0.380056914917414,"longitude":-0.814973740653098}}],"zNaughts":[0.005]},{"direction":250,"fetchPoints":[{"left":{"latitude":-0.00130325911681788,"longitude":-0.00279484819682348},"right":{"latitude":-0.000798139386425139,"longitude":-0.00297869673888057}},{"left":{"latitude":-0.380056914917414,"longitude":-0.815074129254374},"right":{"latitude":-0.232752642048603,"longitude":-0.868575754518826}}],"zNaughts":[0.005]},{"direction":260,"fetchPoints":[{"left":{"latitude":-0.000798139386425139,"longitude":-0.00297869674319492},"right":{"latitude":-0.000268768594716414,"longitude":-0.00307203909199317}},{"left":{"latitude":-0.232752642048603,"longitude":-0.868682743863914},"right":{"latitude":-0.0783778485833793,"longitude":-0.895789634126158}}],"zNaughts":[0.005]},{"direction":270,"fetchPoints":[{"left":{"latitude":-0.000268768594716414,"longitude":-0.00307203909644272},"right":{"latitude":0.000268768594716413,"longitude":-0.00307203909199317}},{"left":{"latitude":-0.0783778485833793,"longitude":-0.895899974543841},"right":{"latitude":0.078377848583379,"longitude":-0.895789634126159}}],"zNaughts":[0.005]},{"direction":280,"fetchPoints":[{"left":{"latitude":0.000268768594716413,"longitude":-0.00307203909644272},"right":{"latitude":0.00079813938642514,"longitude":-0.00297869673888057}},{"left":{"latitude":0.078377848583379,"longitude":-0.895899974543841},"right":{"latitude":0.232752642048603,"longitude":-0.868575754518827}}],"zNaughts":[0.005]},{"direction":290,"fetchPoints":[{"left":{"latitude":0.00079813938642514,"longitude":-0.00297869674319492},"right":{"latitude":0.00130325911681788,"longitude":-0.00279484819277541}},{"left":{"latitude":0.232752642048603,"longitude":-0.868682743863914},"right":{"latitude":0.380056914917414,"longitude":-0.814973740653101}}],"zNaughts":[0.005]},{"direction":300,"fetchPoints":[{"left":{"latitude":0.00130325911681788,"longitude":-0.00279484819682348},"right":{"latitude":0.00176877997851245,"longitude":-0.00252607959863997}},{"left":{"latitude":0.380056914917414,"longitude":-0.815074129254374},"right":{"latitude":0.515815469064466,"longitude":-0.736610297255835}}],"zNaughts":[0.005]},{"direction":310,"fetchPoints":[{"left":{"latitude":0.00176877997851245,"longitude":-0.00252607960229875},"right":{"latitude":0.0021805573556912,"longitude":-0.00218055735411203}},{"left":{"latitude":0.515815469064466,"longitude":-0.736701035276063},"right":{"latitude":0.635903349647258,"longitude":-0.635864188269898}}],"zNaughts":[0.005]},{"direction":320,"fetchPoints":[{"left":{"latitude":0.0021805573556912,"longitude":-0.00218055735727036},"right":{"latitude":0.00252607960109505,"longitude":-0.00176877997766961}},{"left":{"latitude":0.635903349647258,"longitude":-0.635942518261085},"right":{"latitude":0.736671179680176,"longitude":-0.51579456737321}}],"zNaughts":[0.005]},{"direction":330,"fetchPoints":[{"left":{"latitude":0.00252607960109505,"longitude":-0.00176877998023152},"right":{"latitude":0.00279484819610047,"longitude":-0.00130325911648074}},{"left":{"latitude":0.736671179680176,"longitude":-0.515858108172445},"right":{"latitude":0.815056196507025,"longitude":-0.380048553953979}}],"zNaughts":[0.005]},{"direction":340,"fetchPoints":[{"left":{"latitude":0.00279484819610047,"longitude":-0.00130325911836838},"right":{"latitude":0.00297869674290592,"longitude":-0.0007981393863477}},{"left":{"latitude":0.815056196507025,"longitude":-0.380095373340785},"right":{"latitude":0.868675575701221,"longitude":-0.232750721597637}}],"zNaughts":[0.005]},{"direction":350,"fetchPoints":[{"left":{"latitude":0.00297869674290592,"longitude":-0.000798139387503728},"right":{"latitude":0.00307203909640892,"longitude":-0.000268768594713457}},{"left":{"latitude":0.868675575701221,"longitude":-0.232779395422981},"right":{"latitude":0.89589913623071,"longitude":-0.078377775249587}}],"zNaughts":[0.005]},{"direction":360,"fetchPoints":[{"left":{"latitude":0.00307203909640892,"longitude":-0.000268768595102742},"right":{"latitude":0.00307203909640892,"longitude":0.000268768594713458}},{"left":{"latitude":0.89589913623071,"longitude":-0.0783874311275484},"right":{"latitude":0.895899136230709,"longitude":0.0783777752495873}}],"zNaughts":[0.005]}],"sectorGroups":[[10,20,30,40,50,60,70,80,90,100,110,120,130,140,150,160,170,180,190,200,210,220,230,240,250,260,270,280,290,300,310,320,330,340,350,360]]}}</v>
      </c>
      <c r="J25" s="1263"/>
      <c r="K25" s="1263"/>
      <c r="L25" s="1263"/>
      <c r="M25" s="1263"/>
      <c r="N25" s="1263"/>
      <c r="O25" s="1263"/>
      <c r="P25" s="1263"/>
      <c r="Q25" s="1264"/>
      <c r="S25" s="615" t="s">
        <v>458</v>
      </c>
      <c r="T25" s="816" t="str">
        <f t="shared" ref="T25:BC25" si="65">IFERROR(ASIN(SIN($E$26)*COS(T22/$C$25)+COS($E$26)*SIN(T22/$C$25)*COS((T$4+5)*PI()/180))*180/PI(),"")</f>
        <v/>
      </c>
      <c r="U25" s="616" t="str">
        <f t="shared" si="65"/>
        <v/>
      </c>
      <c r="V25" s="616" t="str">
        <f t="shared" si="65"/>
        <v/>
      </c>
      <c r="W25" s="616" t="str">
        <f t="shared" si="65"/>
        <v/>
      </c>
      <c r="X25" s="616" t="str">
        <f t="shared" si="65"/>
        <v/>
      </c>
      <c r="Y25" s="616" t="str">
        <f t="shared" si="65"/>
        <v/>
      </c>
      <c r="Z25" s="616" t="str">
        <f t="shared" si="65"/>
        <v/>
      </c>
      <c r="AA25" s="616" t="str">
        <f t="shared" si="65"/>
        <v/>
      </c>
      <c r="AB25" s="616" t="str">
        <f t="shared" si="65"/>
        <v/>
      </c>
      <c r="AC25" s="616" t="str">
        <f t="shared" si="65"/>
        <v/>
      </c>
      <c r="AD25" s="616" t="str">
        <f t="shared" si="65"/>
        <v/>
      </c>
      <c r="AE25" s="616" t="str">
        <f t="shared" si="65"/>
        <v/>
      </c>
      <c r="AF25" s="616" t="str">
        <f t="shared" si="65"/>
        <v/>
      </c>
      <c r="AG25" s="616" t="str">
        <f t="shared" si="65"/>
        <v/>
      </c>
      <c r="AH25" s="616" t="str">
        <f t="shared" si="65"/>
        <v/>
      </c>
      <c r="AI25" s="616" t="str">
        <f t="shared" si="65"/>
        <v/>
      </c>
      <c r="AJ25" s="616" t="str">
        <f t="shared" si="65"/>
        <v/>
      </c>
      <c r="AK25" s="616" t="str">
        <f t="shared" si="65"/>
        <v/>
      </c>
      <c r="AL25" s="616" t="str">
        <f t="shared" si="65"/>
        <v/>
      </c>
      <c r="AM25" s="616" t="str">
        <f t="shared" si="65"/>
        <v/>
      </c>
      <c r="AN25" s="616" t="str">
        <f t="shared" si="65"/>
        <v/>
      </c>
      <c r="AO25" s="616" t="str">
        <f t="shared" si="65"/>
        <v/>
      </c>
      <c r="AP25" s="616" t="str">
        <f t="shared" si="65"/>
        <v/>
      </c>
      <c r="AQ25" s="616" t="str">
        <f t="shared" si="65"/>
        <v/>
      </c>
      <c r="AR25" s="616" t="str">
        <f t="shared" si="65"/>
        <v/>
      </c>
      <c r="AS25" s="616" t="str">
        <f t="shared" si="65"/>
        <v/>
      </c>
      <c r="AT25" s="616" t="str">
        <f t="shared" si="65"/>
        <v/>
      </c>
      <c r="AU25" s="616" t="str">
        <f t="shared" si="65"/>
        <v/>
      </c>
      <c r="AV25" s="616" t="str">
        <f t="shared" si="65"/>
        <v/>
      </c>
      <c r="AW25" s="616" t="str">
        <f t="shared" si="65"/>
        <v/>
      </c>
      <c r="AX25" s="616" t="str">
        <f t="shared" si="65"/>
        <v/>
      </c>
      <c r="AY25" s="616" t="str">
        <f t="shared" si="65"/>
        <v/>
      </c>
      <c r="AZ25" s="616" t="str">
        <f t="shared" si="65"/>
        <v/>
      </c>
      <c r="BA25" s="616" t="str">
        <f t="shared" si="65"/>
        <v/>
      </c>
      <c r="BB25" s="616" t="str">
        <f t="shared" si="65"/>
        <v/>
      </c>
      <c r="BC25" s="617" t="str">
        <f t="shared" si="65"/>
        <v/>
      </c>
      <c r="CB25" s="875">
        <f>RWDI_FACTORS!J124</f>
        <v>210</v>
      </c>
      <c r="CC25" s="916">
        <f t="shared" ref="CC25:CW25" si="66">IF(CC$4=$AN$6,$AN$4,"")</f>
        <v>210</v>
      </c>
      <c r="CD25" s="912" t="str">
        <f t="shared" si="66"/>
        <v/>
      </c>
      <c r="CE25" s="912" t="str">
        <f t="shared" si="66"/>
        <v/>
      </c>
      <c r="CF25" s="912" t="str">
        <f t="shared" si="66"/>
        <v/>
      </c>
      <c r="CG25" s="912" t="str">
        <f t="shared" si="66"/>
        <v/>
      </c>
      <c r="CH25" s="912" t="str">
        <f t="shared" si="66"/>
        <v/>
      </c>
      <c r="CI25" s="912" t="str">
        <f t="shared" si="66"/>
        <v/>
      </c>
      <c r="CJ25" s="912" t="str">
        <f t="shared" si="66"/>
        <v/>
      </c>
      <c r="CK25" s="912" t="str">
        <f t="shared" si="66"/>
        <v/>
      </c>
      <c r="CL25" s="912" t="str">
        <f t="shared" si="66"/>
        <v/>
      </c>
      <c r="CM25" s="912" t="str">
        <f t="shared" si="66"/>
        <v/>
      </c>
      <c r="CN25" s="912" t="str">
        <f t="shared" si="66"/>
        <v/>
      </c>
      <c r="CO25" s="912" t="str">
        <f t="shared" si="66"/>
        <v/>
      </c>
      <c r="CP25" s="912" t="str">
        <f t="shared" si="66"/>
        <v/>
      </c>
      <c r="CQ25" s="912" t="str">
        <f t="shared" si="66"/>
        <v/>
      </c>
      <c r="CR25" s="912" t="str">
        <f t="shared" si="66"/>
        <v/>
      </c>
      <c r="CS25" s="912" t="str">
        <f t="shared" si="66"/>
        <v/>
      </c>
      <c r="CT25" s="912" t="str">
        <f t="shared" si="66"/>
        <v/>
      </c>
      <c r="CU25" s="912" t="str">
        <f t="shared" si="66"/>
        <v/>
      </c>
      <c r="CV25" s="912" t="str">
        <f t="shared" si="66"/>
        <v/>
      </c>
      <c r="CW25" s="917" t="str">
        <f t="shared" si="66"/>
        <v/>
      </c>
      <c r="DA25" s="585"/>
      <c r="DB25" s="587"/>
      <c r="DC25" s="1288"/>
      <c r="DD25" s="1288"/>
      <c r="DE25" s="1288"/>
      <c r="DF25" s="1288"/>
      <c r="DG25" s="1288"/>
      <c r="DH25" s="1288"/>
      <c r="DI25" s="1288"/>
      <c r="DJ25" s="1288"/>
      <c r="DK25" s="1288"/>
      <c r="DL25" s="1288"/>
      <c r="DM25" s="1288"/>
      <c r="DN25" s="1288"/>
      <c r="DO25" s="1288"/>
      <c r="DP25" s="1288"/>
      <c r="DQ25" s="1288"/>
      <c r="DR25" s="1288"/>
      <c r="DS25" s="1289"/>
    </row>
    <row r="26" spans="2:123" ht="13.5" thickBot="1" x14ac:dyDescent="0.25">
      <c r="B26" s="905" t="s">
        <v>452</v>
      </c>
      <c r="C26" s="907">
        <f>'Create EDOX for Pre-ESDUView'!D4</f>
        <v>0</v>
      </c>
      <c r="D26" s="899" t="s">
        <v>501</v>
      </c>
      <c r="E26" s="906">
        <f>C26*PI()/180</f>
        <v>0</v>
      </c>
      <c r="F26" s="900" t="s">
        <v>502</v>
      </c>
      <c r="I26" s="1265"/>
      <c r="J26" s="1266"/>
      <c r="K26" s="1266"/>
      <c r="L26" s="1266"/>
      <c r="M26" s="1266"/>
      <c r="N26" s="1266"/>
      <c r="O26" s="1266"/>
      <c r="P26" s="1266"/>
      <c r="Q26" s="1267"/>
      <c r="S26" s="620" t="s">
        <v>459</v>
      </c>
      <c r="T26" s="816" t="str">
        <f t="shared" ref="T26:BC26" si="67">IFERROR($C$27+ATAN2(COS(T24/$C$25)-SIN($E$26)*SIN(T25*PI()/180),SIN((T$4+5)*PI()/180)*SIN(T22/$C$25)*COS($E$26))*180/PI(),"")</f>
        <v/>
      </c>
      <c r="U26" s="616" t="str">
        <f t="shared" si="67"/>
        <v/>
      </c>
      <c r="V26" s="616" t="str">
        <f t="shared" si="67"/>
        <v/>
      </c>
      <c r="W26" s="616" t="str">
        <f t="shared" si="67"/>
        <v/>
      </c>
      <c r="X26" s="616" t="str">
        <f t="shared" si="67"/>
        <v/>
      </c>
      <c r="Y26" s="616" t="str">
        <f t="shared" si="67"/>
        <v/>
      </c>
      <c r="Z26" s="616" t="str">
        <f t="shared" si="67"/>
        <v/>
      </c>
      <c r="AA26" s="616" t="str">
        <f t="shared" si="67"/>
        <v/>
      </c>
      <c r="AB26" s="616" t="str">
        <f t="shared" si="67"/>
        <v/>
      </c>
      <c r="AC26" s="616" t="str">
        <f t="shared" si="67"/>
        <v/>
      </c>
      <c r="AD26" s="616" t="str">
        <f t="shared" si="67"/>
        <v/>
      </c>
      <c r="AE26" s="616" t="str">
        <f t="shared" si="67"/>
        <v/>
      </c>
      <c r="AF26" s="616" t="str">
        <f t="shared" si="67"/>
        <v/>
      </c>
      <c r="AG26" s="616" t="str">
        <f t="shared" si="67"/>
        <v/>
      </c>
      <c r="AH26" s="616" t="str">
        <f t="shared" si="67"/>
        <v/>
      </c>
      <c r="AI26" s="616" t="str">
        <f t="shared" si="67"/>
        <v/>
      </c>
      <c r="AJ26" s="616" t="str">
        <f t="shared" si="67"/>
        <v/>
      </c>
      <c r="AK26" s="616" t="str">
        <f t="shared" si="67"/>
        <v/>
      </c>
      <c r="AL26" s="616" t="str">
        <f t="shared" si="67"/>
        <v/>
      </c>
      <c r="AM26" s="616" t="str">
        <f t="shared" si="67"/>
        <v/>
      </c>
      <c r="AN26" s="616" t="str">
        <f t="shared" si="67"/>
        <v/>
      </c>
      <c r="AO26" s="616" t="str">
        <f t="shared" si="67"/>
        <v/>
      </c>
      <c r="AP26" s="616" t="str">
        <f t="shared" si="67"/>
        <v/>
      </c>
      <c r="AQ26" s="616" t="str">
        <f t="shared" si="67"/>
        <v/>
      </c>
      <c r="AR26" s="616" t="str">
        <f t="shared" si="67"/>
        <v/>
      </c>
      <c r="AS26" s="616" t="str">
        <f t="shared" si="67"/>
        <v/>
      </c>
      <c r="AT26" s="616" t="str">
        <f t="shared" si="67"/>
        <v/>
      </c>
      <c r="AU26" s="616" t="str">
        <f t="shared" si="67"/>
        <v/>
      </c>
      <c r="AV26" s="616" t="str">
        <f t="shared" si="67"/>
        <v/>
      </c>
      <c r="AW26" s="616" t="str">
        <f t="shared" si="67"/>
        <v/>
      </c>
      <c r="AX26" s="616" t="str">
        <f t="shared" si="67"/>
        <v/>
      </c>
      <c r="AY26" s="616" t="str">
        <f t="shared" si="67"/>
        <v/>
      </c>
      <c r="AZ26" s="616" t="str">
        <f t="shared" si="67"/>
        <v/>
      </c>
      <c r="BA26" s="616" t="str">
        <f t="shared" si="67"/>
        <v/>
      </c>
      <c r="BB26" s="616" t="str">
        <f t="shared" si="67"/>
        <v/>
      </c>
      <c r="BC26" s="617" t="str">
        <f t="shared" si="67"/>
        <v/>
      </c>
      <c r="CB26" s="875">
        <f>RWDI_FACTORS!J125</f>
        <v>220</v>
      </c>
      <c r="CC26" s="916">
        <f t="shared" ref="CC26:CW26" si="68">IF(CC$4=$AO$6,$AO$4,"")</f>
        <v>220</v>
      </c>
      <c r="CD26" s="912" t="str">
        <f t="shared" si="68"/>
        <v/>
      </c>
      <c r="CE26" s="912" t="str">
        <f t="shared" si="68"/>
        <v/>
      </c>
      <c r="CF26" s="912" t="str">
        <f t="shared" si="68"/>
        <v/>
      </c>
      <c r="CG26" s="912" t="str">
        <f t="shared" si="68"/>
        <v/>
      </c>
      <c r="CH26" s="912" t="str">
        <f t="shared" si="68"/>
        <v/>
      </c>
      <c r="CI26" s="912" t="str">
        <f t="shared" si="68"/>
        <v/>
      </c>
      <c r="CJ26" s="912" t="str">
        <f t="shared" si="68"/>
        <v/>
      </c>
      <c r="CK26" s="912" t="str">
        <f t="shared" si="68"/>
        <v/>
      </c>
      <c r="CL26" s="912" t="str">
        <f t="shared" si="68"/>
        <v/>
      </c>
      <c r="CM26" s="912" t="str">
        <f t="shared" si="68"/>
        <v/>
      </c>
      <c r="CN26" s="912" t="str">
        <f t="shared" si="68"/>
        <v/>
      </c>
      <c r="CO26" s="912" t="str">
        <f t="shared" si="68"/>
        <v/>
      </c>
      <c r="CP26" s="912" t="str">
        <f t="shared" si="68"/>
        <v/>
      </c>
      <c r="CQ26" s="912" t="str">
        <f t="shared" si="68"/>
        <v/>
      </c>
      <c r="CR26" s="912" t="str">
        <f t="shared" si="68"/>
        <v/>
      </c>
      <c r="CS26" s="912" t="str">
        <f t="shared" si="68"/>
        <v/>
      </c>
      <c r="CT26" s="912" t="str">
        <f t="shared" si="68"/>
        <v/>
      </c>
      <c r="CU26" s="912" t="str">
        <f t="shared" si="68"/>
        <v/>
      </c>
      <c r="CV26" s="912" t="str">
        <f t="shared" si="68"/>
        <v/>
      </c>
      <c r="CW26" s="917" t="str">
        <f t="shared" si="68"/>
        <v/>
      </c>
      <c r="DA26" s="585"/>
      <c r="DB26" s="587"/>
      <c r="DC26" s="1288"/>
      <c r="DD26" s="1288"/>
      <c r="DE26" s="1288"/>
      <c r="DF26" s="1288"/>
      <c r="DG26" s="1288"/>
      <c r="DH26" s="1288"/>
      <c r="DI26" s="1288"/>
      <c r="DJ26" s="1288"/>
      <c r="DK26" s="1288"/>
      <c r="DL26" s="1288"/>
      <c r="DM26" s="1288"/>
      <c r="DN26" s="1288"/>
      <c r="DO26" s="1288"/>
      <c r="DP26" s="1288"/>
      <c r="DQ26" s="1288"/>
      <c r="DR26" s="1288"/>
      <c r="DS26" s="1289"/>
    </row>
    <row r="27" spans="2:123" x14ac:dyDescent="0.2">
      <c r="B27" s="905" t="s">
        <v>453</v>
      </c>
      <c r="C27" s="907">
        <f>'Create EDOX for Pre-ESDUView'!D5</f>
        <v>0</v>
      </c>
      <c r="D27" s="899" t="s">
        <v>501</v>
      </c>
      <c r="E27" s="906">
        <f>C27*PI()/180</f>
        <v>0</v>
      </c>
      <c r="F27" s="900" t="s">
        <v>502</v>
      </c>
      <c r="I27" s="1265"/>
      <c r="J27" s="1266"/>
      <c r="K27" s="1266"/>
      <c r="L27" s="1266"/>
      <c r="M27" s="1266"/>
      <c r="N27" s="1266"/>
      <c r="O27" s="1266"/>
      <c r="P27" s="1266"/>
      <c r="Q27" s="1267"/>
      <c r="S27" s="718" t="s">
        <v>448</v>
      </c>
      <c r="T27" s="817" t="str">
        <f t="shared" ref="T27:BC27" si="69">IFERROR(VLOOKUP($S27,$U$46:$AP$51,6+T$6,FALSE),"")</f>
        <v/>
      </c>
      <c r="U27" s="621" t="str">
        <f t="shared" si="69"/>
        <v/>
      </c>
      <c r="V27" s="621" t="str">
        <f t="shared" si="69"/>
        <v/>
      </c>
      <c r="W27" s="621" t="str">
        <f t="shared" si="69"/>
        <v/>
      </c>
      <c r="X27" s="621" t="str">
        <f t="shared" si="69"/>
        <v/>
      </c>
      <c r="Y27" s="621" t="str">
        <f t="shared" si="69"/>
        <v/>
      </c>
      <c r="Z27" s="621" t="str">
        <f t="shared" si="69"/>
        <v/>
      </c>
      <c r="AA27" s="621" t="str">
        <f t="shared" si="69"/>
        <v/>
      </c>
      <c r="AB27" s="621" t="str">
        <f t="shared" si="69"/>
        <v/>
      </c>
      <c r="AC27" s="621" t="str">
        <f t="shared" si="69"/>
        <v/>
      </c>
      <c r="AD27" s="621" t="str">
        <f t="shared" si="69"/>
        <v/>
      </c>
      <c r="AE27" s="621" t="str">
        <f t="shared" si="69"/>
        <v/>
      </c>
      <c r="AF27" s="621" t="str">
        <f t="shared" si="69"/>
        <v/>
      </c>
      <c r="AG27" s="621" t="str">
        <f t="shared" si="69"/>
        <v/>
      </c>
      <c r="AH27" s="621" t="str">
        <f t="shared" si="69"/>
        <v/>
      </c>
      <c r="AI27" s="621" t="str">
        <f t="shared" si="69"/>
        <v/>
      </c>
      <c r="AJ27" s="621" t="str">
        <f t="shared" si="69"/>
        <v/>
      </c>
      <c r="AK27" s="621" t="str">
        <f t="shared" si="69"/>
        <v/>
      </c>
      <c r="AL27" s="621" t="str">
        <f t="shared" si="69"/>
        <v/>
      </c>
      <c r="AM27" s="621" t="str">
        <f t="shared" si="69"/>
        <v/>
      </c>
      <c r="AN27" s="621" t="str">
        <f t="shared" si="69"/>
        <v/>
      </c>
      <c r="AO27" s="621" t="str">
        <f t="shared" si="69"/>
        <v/>
      </c>
      <c r="AP27" s="621" t="str">
        <f t="shared" si="69"/>
        <v/>
      </c>
      <c r="AQ27" s="621" t="str">
        <f t="shared" si="69"/>
        <v/>
      </c>
      <c r="AR27" s="621" t="str">
        <f t="shared" si="69"/>
        <v/>
      </c>
      <c r="AS27" s="621" t="str">
        <f t="shared" si="69"/>
        <v/>
      </c>
      <c r="AT27" s="621" t="str">
        <f t="shared" si="69"/>
        <v/>
      </c>
      <c r="AU27" s="621" t="str">
        <f t="shared" si="69"/>
        <v/>
      </c>
      <c r="AV27" s="621" t="str">
        <f t="shared" si="69"/>
        <v/>
      </c>
      <c r="AW27" s="621" t="str">
        <f t="shared" si="69"/>
        <v/>
      </c>
      <c r="AX27" s="621" t="str">
        <f t="shared" si="69"/>
        <v/>
      </c>
      <c r="AY27" s="621" t="str">
        <f t="shared" si="69"/>
        <v/>
      </c>
      <c r="AZ27" s="621" t="str">
        <f t="shared" si="69"/>
        <v/>
      </c>
      <c r="BA27" s="621" t="str">
        <f t="shared" si="69"/>
        <v/>
      </c>
      <c r="BB27" s="621" t="str">
        <f t="shared" si="69"/>
        <v/>
      </c>
      <c r="BC27" s="622" t="str">
        <f t="shared" si="69"/>
        <v/>
      </c>
      <c r="CB27" s="875">
        <f>RWDI_FACTORS!J126</f>
        <v>230</v>
      </c>
      <c r="CC27" s="916">
        <f t="shared" ref="CC27:CW27" si="70">IF(CC$4=$AP$6,$AP$4,"")</f>
        <v>230</v>
      </c>
      <c r="CD27" s="912" t="str">
        <f t="shared" si="70"/>
        <v/>
      </c>
      <c r="CE27" s="912" t="str">
        <f t="shared" si="70"/>
        <v/>
      </c>
      <c r="CF27" s="912" t="str">
        <f t="shared" si="70"/>
        <v/>
      </c>
      <c r="CG27" s="912" t="str">
        <f t="shared" si="70"/>
        <v/>
      </c>
      <c r="CH27" s="912" t="str">
        <f t="shared" si="70"/>
        <v/>
      </c>
      <c r="CI27" s="912" t="str">
        <f t="shared" si="70"/>
        <v/>
      </c>
      <c r="CJ27" s="912" t="str">
        <f t="shared" si="70"/>
        <v/>
      </c>
      <c r="CK27" s="912" t="str">
        <f t="shared" si="70"/>
        <v/>
      </c>
      <c r="CL27" s="912" t="str">
        <f t="shared" si="70"/>
        <v/>
      </c>
      <c r="CM27" s="912" t="str">
        <f t="shared" si="70"/>
        <v/>
      </c>
      <c r="CN27" s="912" t="str">
        <f t="shared" si="70"/>
        <v/>
      </c>
      <c r="CO27" s="912" t="str">
        <f t="shared" si="70"/>
        <v/>
      </c>
      <c r="CP27" s="912" t="str">
        <f t="shared" si="70"/>
        <v/>
      </c>
      <c r="CQ27" s="912" t="str">
        <f t="shared" si="70"/>
        <v/>
      </c>
      <c r="CR27" s="912" t="str">
        <f t="shared" si="70"/>
        <v/>
      </c>
      <c r="CS27" s="912" t="str">
        <f t="shared" si="70"/>
        <v/>
      </c>
      <c r="CT27" s="912" t="str">
        <f t="shared" si="70"/>
        <v/>
      </c>
      <c r="CU27" s="912" t="str">
        <f t="shared" si="70"/>
        <v/>
      </c>
      <c r="CV27" s="912" t="str">
        <f t="shared" si="70"/>
        <v/>
      </c>
      <c r="CW27" s="917" t="str">
        <f t="shared" si="70"/>
        <v/>
      </c>
      <c r="DA27" s="585"/>
      <c r="DB27" s="587"/>
      <c r="DC27" s="1288"/>
      <c r="DD27" s="1288"/>
      <c r="DE27" s="1288"/>
      <c r="DF27" s="1288"/>
      <c r="DG27" s="1288"/>
      <c r="DH27" s="1288"/>
      <c r="DI27" s="1288"/>
      <c r="DJ27" s="1288"/>
      <c r="DK27" s="1288"/>
      <c r="DL27" s="1288"/>
      <c r="DM27" s="1288"/>
      <c r="DN27" s="1288"/>
      <c r="DO27" s="1288"/>
      <c r="DP27" s="1288"/>
      <c r="DQ27" s="1288"/>
      <c r="DR27" s="1288"/>
      <c r="DS27" s="1289"/>
    </row>
    <row r="28" spans="2:123" ht="13.5" thickBot="1" x14ac:dyDescent="0.25">
      <c r="B28" s="908"/>
      <c r="C28" s="909"/>
      <c r="D28" s="883"/>
      <c r="E28" s="909"/>
      <c r="F28" s="884"/>
      <c r="I28" s="1265"/>
      <c r="J28" s="1266"/>
      <c r="K28" s="1266"/>
      <c r="L28" s="1266"/>
      <c r="M28" s="1266"/>
      <c r="N28" s="1266"/>
      <c r="O28" s="1266"/>
      <c r="P28" s="1266"/>
      <c r="Q28" s="1267"/>
      <c r="S28" s="623" t="s">
        <v>456</v>
      </c>
      <c r="T28" s="818" t="str">
        <f t="shared" ref="T28:BC28" si="71">IFERROR(ASIN(SIN($E$26)*COS(T27/$C$25)+COS($E$26)*SIN(T27/$C$25)*COS((T$4-5)*PI()/180))*180/PI(),"")</f>
        <v/>
      </c>
      <c r="U28" s="624" t="str">
        <f t="shared" si="71"/>
        <v/>
      </c>
      <c r="V28" s="624" t="str">
        <f t="shared" si="71"/>
        <v/>
      </c>
      <c r="W28" s="624" t="str">
        <f t="shared" si="71"/>
        <v/>
      </c>
      <c r="X28" s="624" t="str">
        <f t="shared" si="71"/>
        <v/>
      </c>
      <c r="Y28" s="624" t="str">
        <f t="shared" si="71"/>
        <v/>
      </c>
      <c r="Z28" s="624" t="str">
        <f t="shared" si="71"/>
        <v/>
      </c>
      <c r="AA28" s="624" t="str">
        <f t="shared" si="71"/>
        <v/>
      </c>
      <c r="AB28" s="624" t="str">
        <f t="shared" si="71"/>
        <v/>
      </c>
      <c r="AC28" s="624" t="str">
        <f t="shared" si="71"/>
        <v/>
      </c>
      <c r="AD28" s="624" t="str">
        <f t="shared" si="71"/>
        <v/>
      </c>
      <c r="AE28" s="624" t="str">
        <f t="shared" si="71"/>
        <v/>
      </c>
      <c r="AF28" s="624" t="str">
        <f t="shared" si="71"/>
        <v/>
      </c>
      <c r="AG28" s="624" t="str">
        <f t="shared" si="71"/>
        <v/>
      </c>
      <c r="AH28" s="624" t="str">
        <f t="shared" si="71"/>
        <v/>
      </c>
      <c r="AI28" s="624" t="str">
        <f t="shared" si="71"/>
        <v/>
      </c>
      <c r="AJ28" s="624" t="str">
        <f t="shared" si="71"/>
        <v/>
      </c>
      <c r="AK28" s="624" t="str">
        <f t="shared" si="71"/>
        <v/>
      </c>
      <c r="AL28" s="624" t="str">
        <f t="shared" si="71"/>
        <v/>
      </c>
      <c r="AM28" s="624" t="str">
        <f t="shared" si="71"/>
        <v/>
      </c>
      <c r="AN28" s="624" t="str">
        <f t="shared" si="71"/>
        <v/>
      </c>
      <c r="AO28" s="624" t="str">
        <f t="shared" si="71"/>
        <v/>
      </c>
      <c r="AP28" s="624" t="str">
        <f t="shared" si="71"/>
        <v/>
      </c>
      <c r="AQ28" s="624" t="str">
        <f t="shared" si="71"/>
        <v/>
      </c>
      <c r="AR28" s="624" t="str">
        <f t="shared" si="71"/>
        <v/>
      </c>
      <c r="AS28" s="624" t="str">
        <f t="shared" si="71"/>
        <v/>
      </c>
      <c r="AT28" s="624" t="str">
        <f t="shared" si="71"/>
        <v/>
      </c>
      <c r="AU28" s="624" t="str">
        <f t="shared" si="71"/>
        <v/>
      </c>
      <c r="AV28" s="624" t="str">
        <f t="shared" si="71"/>
        <v/>
      </c>
      <c r="AW28" s="624" t="str">
        <f t="shared" si="71"/>
        <v/>
      </c>
      <c r="AX28" s="624" t="str">
        <f t="shared" si="71"/>
        <v/>
      </c>
      <c r="AY28" s="624" t="str">
        <f t="shared" si="71"/>
        <v/>
      </c>
      <c r="AZ28" s="624" t="str">
        <f t="shared" si="71"/>
        <v/>
      </c>
      <c r="BA28" s="624" t="str">
        <f t="shared" si="71"/>
        <v/>
      </c>
      <c r="BB28" s="624" t="str">
        <f t="shared" si="71"/>
        <v/>
      </c>
      <c r="BC28" s="625" t="str">
        <f t="shared" si="71"/>
        <v/>
      </c>
      <c r="CB28" s="875">
        <f>RWDI_FACTORS!J127</f>
        <v>240</v>
      </c>
      <c r="CC28" s="916">
        <f t="shared" ref="CC28:CW28" si="72">IF(CC$4=$AQ$6,$AQ$4,"")</f>
        <v>240</v>
      </c>
      <c r="CD28" s="912" t="str">
        <f t="shared" si="72"/>
        <v/>
      </c>
      <c r="CE28" s="912" t="str">
        <f t="shared" si="72"/>
        <v/>
      </c>
      <c r="CF28" s="912" t="str">
        <f t="shared" si="72"/>
        <v/>
      </c>
      <c r="CG28" s="912" t="str">
        <f t="shared" si="72"/>
        <v/>
      </c>
      <c r="CH28" s="912" t="str">
        <f t="shared" si="72"/>
        <v/>
      </c>
      <c r="CI28" s="912" t="str">
        <f t="shared" si="72"/>
        <v/>
      </c>
      <c r="CJ28" s="912" t="str">
        <f t="shared" si="72"/>
        <v/>
      </c>
      <c r="CK28" s="912" t="str">
        <f t="shared" si="72"/>
        <v/>
      </c>
      <c r="CL28" s="912" t="str">
        <f t="shared" si="72"/>
        <v/>
      </c>
      <c r="CM28" s="912" t="str">
        <f t="shared" si="72"/>
        <v/>
      </c>
      <c r="CN28" s="912" t="str">
        <f t="shared" si="72"/>
        <v/>
      </c>
      <c r="CO28" s="912" t="str">
        <f t="shared" si="72"/>
        <v/>
      </c>
      <c r="CP28" s="912" t="str">
        <f t="shared" si="72"/>
        <v/>
      </c>
      <c r="CQ28" s="912" t="str">
        <f t="shared" si="72"/>
        <v/>
      </c>
      <c r="CR28" s="912" t="str">
        <f t="shared" si="72"/>
        <v/>
      </c>
      <c r="CS28" s="912" t="str">
        <f t="shared" si="72"/>
        <v/>
      </c>
      <c r="CT28" s="912" t="str">
        <f t="shared" si="72"/>
        <v/>
      </c>
      <c r="CU28" s="912" t="str">
        <f t="shared" si="72"/>
        <v/>
      </c>
      <c r="CV28" s="912" t="str">
        <f t="shared" si="72"/>
        <v/>
      </c>
      <c r="CW28" s="917" t="str">
        <f t="shared" si="72"/>
        <v/>
      </c>
      <c r="DA28" s="585"/>
      <c r="DB28" s="587"/>
      <c r="DC28" s="1288"/>
      <c r="DD28" s="1288"/>
      <c r="DE28" s="1288"/>
      <c r="DF28" s="1288"/>
      <c r="DG28" s="1288"/>
      <c r="DH28" s="1288"/>
      <c r="DI28" s="1288"/>
      <c r="DJ28" s="1288"/>
      <c r="DK28" s="1288"/>
      <c r="DL28" s="1288"/>
      <c r="DM28" s="1288"/>
      <c r="DN28" s="1288"/>
      <c r="DO28" s="1288"/>
      <c r="DP28" s="1288"/>
      <c r="DQ28" s="1288"/>
      <c r="DR28" s="1288"/>
      <c r="DS28" s="1289"/>
    </row>
    <row r="29" spans="2:123" ht="13.5" thickBot="1" x14ac:dyDescent="0.25">
      <c r="B29" s="568"/>
      <c r="G29" s="626"/>
      <c r="H29" s="626"/>
      <c r="I29" s="1265"/>
      <c r="J29" s="1266"/>
      <c r="K29" s="1266"/>
      <c r="L29" s="1266"/>
      <c r="M29" s="1266"/>
      <c r="N29" s="1266"/>
      <c r="O29" s="1266"/>
      <c r="P29" s="1266"/>
      <c r="Q29" s="1267"/>
      <c r="S29" s="623" t="s">
        <v>457</v>
      </c>
      <c r="T29" s="818" t="str">
        <f t="shared" ref="T29:BC29" si="73">IFERROR($C$27+ATAN2(COS(T27/$C$25)-SIN($E$26)*SIN(T28*PI()/180),SIN((T$4-5)*PI()/180)*SIN(T27/$C$25)*COS($E$26))*180/PI(),"")</f>
        <v/>
      </c>
      <c r="U29" s="624" t="str">
        <f t="shared" si="73"/>
        <v/>
      </c>
      <c r="V29" s="624" t="str">
        <f t="shared" si="73"/>
        <v/>
      </c>
      <c r="W29" s="624" t="str">
        <f t="shared" si="73"/>
        <v/>
      </c>
      <c r="X29" s="624" t="str">
        <f t="shared" si="73"/>
        <v/>
      </c>
      <c r="Y29" s="624" t="str">
        <f t="shared" si="73"/>
        <v/>
      </c>
      <c r="Z29" s="624" t="str">
        <f t="shared" si="73"/>
        <v/>
      </c>
      <c r="AA29" s="624" t="str">
        <f t="shared" si="73"/>
        <v/>
      </c>
      <c r="AB29" s="624" t="str">
        <f t="shared" si="73"/>
        <v/>
      </c>
      <c r="AC29" s="624" t="str">
        <f t="shared" si="73"/>
        <v/>
      </c>
      <c r="AD29" s="624" t="str">
        <f t="shared" si="73"/>
        <v/>
      </c>
      <c r="AE29" s="624" t="str">
        <f t="shared" si="73"/>
        <v/>
      </c>
      <c r="AF29" s="624" t="str">
        <f t="shared" si="73"/>
        <v/>
      </c>
      <c r="AG29" s="624" t="str">
        <f t="shared" si="73"/>
        <v/>
      </c>
      <c r="AH29" s="624" t="str">
        <f t="shared" si="73"/>
        <v/>
      </c>
      <c r="AI29" s="624" t="str">
        <f t="shared" si="73"/>
        <v/>
      </c>
      <c r="AJ29" s="624" t="str">
        <f t="shared" si="73"/>
        <v/>
      </c>
      <c r="AK29" s="624" t="str">
        <f t="shared" si="73"/>
        <v/>
      </c>
      <c r="AL29" s="624" t="str">
        <f t="shared" si="73"/>
        <v/>
      </c>
      <c r="AM29" s="624" t="str">
        <f t="shared" si="73"/>
        <v/>
      </c>
      <c r="AN29" s="624" t="str">
        <f t="shared" si="73"/>
        <v/>
      </c>
      <c r="AO29" s="624" t="str">
        <f t="shared" si="73"/>
        <v/>
      </c>
      <c r="AP29" s="624" t="str">
        <f t="shared" si="73"/>
        <v/>
      </c>
      <c r="AQ29" s="624" t="str">
        <f t="shared" si="73"/>
        <v/>
      </c>
      <c r="AR29" s="624" t="str">
        <f t="shared" si="73"/>
        <v/>
      </c>
      <c r="AS29" s="624" t="str">
        <f t="shared" si="73"/>
        <v/>
      </c>
      <c r="AT29" s="624" t="str">
        <f t="shared" si="73"/>
        <v/>
      </c>
      <c r="AU29" s="624" t="str">
        <f t="shared" si="73"/>
        <v/>
      </c>
      <c r="AV29" s="624" t="str">
        <f t="shared" si="73"/>
        <v/>
      </c>
      <c r="AW29" s="624" t="str">
        <f t="shared" si="73"/>
        <v/>
      </c>
      <c r="AX29" s="624" t="str">
        <f t="shared" si="73"/>
        <v/>
      </c>
      <c r="AY29" s="624" t="str">
        <f t="shared" si="73"/>
        <v/>
      </c>
      <c r="AZ29" s="624" t="str">
        <f t="shared" si="73"/>
        <v/>
      </c>
      <c r="BA29" s="624" t="str">
        <f t="shared" si="73"/>
        <v/>
      </c>
      <c r="BB29" s="624" t="str">
        <f t="shared" si="73"/>
        <v/>
      </c>
      <c r="BC29" s="625" t="str">
        <f t="shared" si="73"/>
        <v/>
      </c>
      <c r="CB29" s="875">
        <f>RWDI_FACTORS!J128</f>
        <v>250</v>
      </c>
      <c r="CC29" s="916">
        <f t="shared" ref="CC29:CW29" si="74">IF(CC$4=$AR$6,$AR$4,"")</f>
        <v>250</v>
      </c>
      <c r="CD29" s="912" t="str">
        <f t="shared" si="74"/>
        <v/>
      </c>
      <c r="CE29" s="912" t="str">
        <f t="shared" si="74"/>
        <v/>
      </c>
      <c r="CF29" s="912" t="str">
        <f t="shared" si="74"/>
        <v/>
      </c>
      <c r="CG29" s="912" t="str">
        <f t="shared" si="74"/>
        <v/>
      </c>
      <c r="CH29" s="912" t="str">
        <f t="shared" si="74"/>
        <v/>
      </c>
      <c r="CI29" s="912" t="str">
        <f t="shared" si="74"/>
        <v/>
      </c>
      <c r="CJ29" s="912" t="str">
        <f t="shared" si="74"/>
        <v/>
      </c>
      <c r="CK29" s="912" t="str">
        <f t="shared" si="74"/>
        <v/>
      </c>
      <c r="CL29" s="912" t="str">
        <f t="shared" si="74"/>
        <v/>
      </c>
      <c r="CM29" s="912" t="str">
        <f t="shared" si="74"/>
        <v/>
      </c>
      <c r="CN29" s="912" t="str">
        <f t="shared" si="74"/>
        <v/>
      </c>
      <c r="CO29" s="912" t="str">
        <f t="shared" si="74"/>
        <v/>
      </c>
      <c r="CP29" s="912" t="str">
        <f t="shared" si="74"/>
        <v/>
      </c>
      <c r="CQ29" s="912" t="str">
        <f t="shared" si="74"/>
        <v/>
      </c>
      <c r="CR29" s="912" t="str">
        <f t="shared" si="74"/>
        <v/>
      </c>
      <c r="CS29" s="912" t="str">
        <f t="shared" si="74"/>
        <v/>
      </c>
      <c r="CT29" s="912" t="str">
        <f t="shared" si="74"/>
        <v/>
      </c>
      <c r="CU29" s="912" t="str">
        <f t="shared" si="74"/>
        <v/>
      </c>
      <c r="CV29" s="912" t="str">
        <f t="shared" si="74"/>
        <v/>
      </c>
      <c r="CW29" s="917" t="str">
        <f t="shared" si="74"/>
        <v/>
      </c>
      <c r="DA29" s="585"/>
      <c r="DB29" s="587"/>
      <c r="DC29" s="1288"/>
      <c r="DD29" s="1288"/>
      <c r="DE29" s="1288"/>
      <c r="DF29" s="1288"/>
      <c r="DG29" s="1288"/>
      <c r="DH29" s="1288"/>
      <c r="DI29" s="1288"/>
      <c r="DJ29" s="1288"/>
      <c r="DK29" s="1288"/>
      <c r="DL29" s="1288"/>
      <c r="DM29" s="1288"/>
      <c r="DN29" s="1288"/>
      <c r="DO29" s="1288"/>
      <c r="DP29" s="1288"/>
      <c r="DQ29" s="1288"/>
      <c r="DR29" s="1288"/>
      <c r="DS29" s="1289"/>
    </row>
    <row r="30" spans="2:123" ht="13.5" thickBot="1" x14ac:dyDescent="0.25">
      <c r="B30" s="885" t="s">
        <v>509</v>
      </c>
      <c r="C30" s="886"/>
      <c r="D30" s="886"/>
      <c r="E30" s="886"/>
      <c r="F30" s="887"/>
      <c r="G30" s="626"/>
      <c r="H30" s="626"/>
      <c r="I30" s="1265"/>
      <c r="J30" s="1266"/>
      <c r="K30" s="1266"/>
      <c r="L30" s="1266"/>
      <c r="M30" s="1266"/>
      <c r="N30" s="1266"/>
      <c r="O30" s="1266"/>
      <c r="P30" s="1266"/>
      <c r="Q30" s="1267"/>
      <c r="S30" s="623" t="s">
        <v>458</v>
      </c>
      <c r="T30" s="818" t="str">
        <f t="shared" ref="T30:BC30" si="75">IFERROR(ASIN(SIN($E$26)*COS(T27/$C$25)+COS($E$26)*SIN(T27/$C$25)*COS((T$4+5)*PI()/180))*180/PI(),"")</f>
        <v/>
      </c>
      <c r="U30" s="624" t="str">
        <f t="shared" si="75"/>
        <v/>
      </c>
      <c r="V30" s="624" t="str">
        <f t="shared" si="75"/>
        <v/>
      </c>
      <c r="W30" s="624" t="str">
        <f t="shared" si="75"/>
        <v/>
      </c>
      <c r="X30" s="624" t="str">
        <f t="shared" si="75"/>
        <v/>
      </c>
      <c r="Y30" s="624" t="str">
        <f t="shared" si="75"/>
        <v/>
      </c>
      <c r="Z30" s="624" t="str">
        <f t="shared" si="75"/>
        <v/>
      </c>
      <c r="AA30" s="624" t="str">
        <f t="shared" si="75"/>
        <v/>
      </c>
      <c r="AB30" s="624" t="str">
        <f t="shared" si="75"/>
        <v/>
      </c>
      <c r="AC30" s="624" t="str">
        <f t="shared" si="75"/>
        <v/>
      </c>
      <c r="AD30" s="624" t="str">
        <f t="shared" si="75"/>
        <v/>
      </c>
      <c r="AE30" s="624" t="str">
        <f t="shared" si="75"/>
        <v/>
      </c>
      <c r="AF30" s="624" t="str">
        <f t="shared" si="75"/>
        <v/>
      </c>
      <c r="AG30" s="624" t="str">
        <f t="shared" si="75"/>
        <v/>
      </c>
      <c r="AH30" s="624" t="str">
        <f t="shared" si="75"/>
        <v/>
      </c>
      <c r="AI30" s="624" t="str">
        <f t="shared" si="75"/>
        <v/>
      </c>
      <c r="AJ30" s="624" t="str">
        <f t="shared" si="75"/>
        <v/>
      </c>
      <c r="AK30" s="624" t="str">
        <f t="shared" si="75"/>
        <v/>
      </c>
      <c r="AL30" s="624" t="str">
        <f t="shared" si="75"/>
        <v/>
      </c>
      <c r="AM30" s="624" t="str">
        <f t="shared" si="75"/>
        <v/>
      </c>
      <c r="AN30" s="624" t="str">
        <f t="shared" si="75"/>
        <v/>
      </c>
      <c r="AO30" s="624" t="str">
        <f t="shared" si="75"/>
        <v/>
      </c>
      <c r="AP30" s="624" t="str">
        <f t="shared" si="75"/>
        <v/>
      </c>
      <c r="AQ30" s="624" t="str">
        <f t="shared" si="75"/>
        <v/>
      </c>
      <c r="AR30" s="624" t="str">
        <f t="shared" si="75"/>
        <v/>
      </c>
      <c r="AS30" s="624" t="str">
        <f t="shared" si="75"/>
        <v/>
      </c>
      <c r="AT30" s="624" t="str">
        <f t="shared" si="75"/>
        <v/>
      </c>
      <c r="AU30" s="624" t="str">
        <f t="shared" si="75"/>
        <v/>
      </c>
      <c r="AV30" s="624" t="str">
        <f t="shared" si="75"/>
        <v/>
      </c>
      <c r="AW30" s="624" t="str">
        <f t="shared" si="75"/>
        <v/>
      </c>
      <c r="AX30" s="624" t="str">
        <f t="shared" si="75"/>
        <v/>
      </c>
      <c r="AY30" s="624" t="str">
        <f t="shared" si="75"/>
        <v/>
      </c>
      <c r="AZ30" s="624" t="str">
        <f t="shared" si="75"/>
        <v/>
      </c>
      <c r="BA30" s="624" t="str">
        <f t="shared" si="75"/>
        <v/>
      </c>
      <c r="BB30" s="624" t="str">
        <f t="shared" si="75"/>
        <v/>
      </c>
      <c r="BC30" s="625" t="str">
        <f t="shared" si="75"/>
        <v/>
      </c>
      <c r="CB30" s="875">
        <f>RWDI_FACTORS!J129</f>
        <v>260</v>
      </c>
      <c r="CC30" s="916">
        <f t="shared" ref="CC30:CW30" si="76">IF(CC$4=$AS$6,$AS$4,"")</f>
        <v>260</v>
      </c>
      <c r="CD30" s="912" t="str">
        <f t="shared" si="76"/>
        <v/>
      </c>
      <c r="CE30" s="912" t="str">
        <f t="shared" si="76"/>
        <v/>
      </c>
      <c r="CF30" s="912" t="str">
        <f t="shared" si="76"/>
        <v/>
      </c>
      <c r="CG30" s="912" t="str">
        <f t="shared" si="76"/>
        <v/>
      </c>
      <c r="CH30" s="912" t="str">
        <f t="shared" si="76"/>
        <v/>
      </c>
      <c r="CI30" s="912" t="str">
        <f t="shared" si="76"/>
        <v/>
      </c>
      <c r="CJ30" s="912" t="str">
        <f t="shared" si="76"/>
        <v/>
      </c>
      <c r="CK30" s="912" t="str">
        <f t="shared" si="76"/>
        <v/>
      </c>
      <c r="CL30" s="912" t="str">
        <f t="shared" si="76"/>
        <v/>
      </c>
      <c r="CM30" s="912" t="str">
        <f t="shared" si="76"/>
        <v/>
      </c>
      <c r="CN30" s="912" t="str">
        <f t="shared" si="76"/>
        <v/>
      </c>
      <c r="CO30" s="912" t="str">
        <f t="shared" si="76"/>
        <v/>
      </c>
      <c r="CP30" s="912" t="str">
        <f t="shared" si="76"/>
        <v/>
      </c>
      <c r="CQ30" s="912" t="str">
        <f t="shared" si="76"/>
        <v/>
      </c>
      <c r="CR30" s="912" t="str">
        <f t="shared" si="76"/>
        <v/>
      </c>
      <c r="CS30" s="912" t="str">
        <f t="shared" si="76"/>
        <v/>
      </c>
      <c r="CT30" s="912" t="str">
        <f t="shared" si="76"/>
        <v/>
      </c>
      <c r="CU30" s="912" t="str">
        <f t="shared" si="76"/>
        <v/>
      </c>
      <c r="CV30" s="912" t="str">
        <f t="shared" si="76"/>
        <v/>
      </c>
      <c r="CW30" s="917" t="str">
        <f t="shared" si="76"/>
        <v/>
      </c>
      <c r="DA30" s="585"/>
      <c r="DB30" s="587"/>
      <c r="DC30" s="1288"/>
      <c r="DD30" s="1288"/>
      <c r="DE30" s="1288"/>
      <c r="DF30" s="1288"/>
      <c r="DG30" s="1288"/>
      <c r="DH30" s="1288"/>
      <c r="DI30" s="1288"/>
      <c r="DJ30" s="1288"/>
      <c r="DK30" s="1288"/>
      <c r="DL30" s="1288"/>
      <c r="DM30" s="1288"/>
      <c r="DN30" s="1288"/>
      <c r="DO30" s="1288"/>
      <c r="DP30" s="1288"/>
      <c r="DQ30" s="1288"/>
      <c r="DR30" s="1288"/>
      <c r="DS30" s="1289"/>
    </row>
    <row r="31" spans="2:123" ht="13.5" thickBot="1" x14ac:dyDescent="0.25">
      <c r="B31" s="885" t="str">
        <f>'Create EDOX for Pre-ESDUView'!D9</f>
        <v>I:\########\Eng\03base\test_setup\profiles</v>
      </c>
      <c r="C31" s="886"/>
      <c r="D31" s="886"/>
      <c r="E31" s="886"/>
      <c r="F31" s="887"/>
      <c r="G31" s="626"/>
      <c r="H31" s="626"/>
      <c r="I31" s="1265"/>
      <c r="J31" s="1266"/>
      <c r="K31" s="1266"/>
      <c r="L31" s="1266"/>
      <c r="M31" s="1266"/>
      <c r="N31" s="1266"/>
      <c r="O31" s="1266"/>
      <c r="P31" s="1266"/>
      <c r="Q31" s="1267"/>
      <c r="S31" s="627" t="s">
        <v>459</v>
      </c>
      <c r="T31" s="818" t="str">
        <f t="shared" ref="T31:BC31" si="77">IFERROR($C$27+ATAN2(COS(T29/$C$25)-SIN($E$26)*SIN(T30*PI()/180),SIN((T$4+5)*PI()/180)*SIN(T27/$C$25)*COS($E$26))*180/PI(),"")</f>
        <v/>
      </c>
      <c r="U31" s="624" t="str">
        <f t="shared" si="77"/>
        <v/>
      </c>
      <c r="V31" s="624" t="str">
        <f t="shared" si="77"/>
        <v/>
      </c>
      <c r="W31" s="624" t="str">
        <f t="shared" si="77"/>
        <v/>
      </c>
      <c r="X31" s="624" t="str">
        <f t="shared" si="77"/>
        <v/>
      </c>
      <c r="Y31" s="624" t="str">
        <f t="shared" si="77"/>
        <v/>
      </c>
      <c r="Z31" s="624" t="str">
        <f t="shared" si="77"/>
        <v/>
      </c>
      <c r="AA31" s="624" t="str">
        <f t="shared" si="77"/>
        <v/>
      </c>
      <c r="AB31" s="624" t="str">
        <f t="shared" si="77"/>
        <v/>
      </c>
      <c r="AC31" s="624" t="str">
        <f t="shared" si="77"/>
        <v/>
      </c>
      <c r="AD31" s="624" t="str">
        <f t="shared" si="77"/>
        <v/>
      </c>
      <c r="AE31" s="624" t="str">
        <f t="shared" si="77"/>
        <v/>
      </c>
      <c r="AF31" s="624" t="str">
        <f t="shared" si="77"/>
        <v/>
      </c>
      <c r="AG31" s="624" t="str">
        <f t="shared" si="77"/>
        <v/>
      </c>
      <c r="AH31" s="624" t="str">
        <f t="shared" si="77"/>
        <v/>
      </c>
      <c r="AI31" s="624" t="str">
        <f t="shared" si="77"/>
        <v/>
      </c>
      <c r="AJ31" s="624" t="str">
        <f t="shared" si="77"/>
        <v/>
      </c>
      <c r="AK31" s="624" t="str">
        <f t="shared" si="77"/>
        <v/>
      </c>
      <c r="AL31" s="624" t="str">
        <f t="shared" si="77"/>
        <v/>
      </c>
      <c r="AM31" s="624" t="str">
        <f t="shared" si="77"/>
        <v/>
      </c>
      <c r="AN31" s="624" t="str">
        <f t="shared" si="77"/>
        <v/>
      </c>
      <c r="AO31" s="624" t="str">
        <f t="shared" si="77"/>
        <v/>
      </c>
      <c r="AP31" s="624" t="str">
        <f t="shared" si="77"/>
        <v/>
      </c>
      <c r="AQ31" s="624" t="str">
        <f t="shared" si="77"/>
        <v/>
      </c>
      <c r="AR31" s="624" t="str">
        <f t="shared" si="77"/>
        <v/>
      </c>
      <c r="AS31" s="624" t="str">
        <f t="shared" si="77"/>
        <v/>
      </c>
      <c r="AT31" s="624" t="str">
        <f t="shared" si="77"/>
        <v/>
      </c>
      <c r="AU31" s="624" t="str">
        <f t="shared" si="77"/>
        <v/>
      </c>
      <c r="AV31" s="624" t="str">
        <f t="shared" si="77"/>
        <v/>
      </c>
      <c r="AW31" s="624" t="str">
        <f t="shared" si="77"/>
        <v/>
      </c>
      <c r="AX31" s="624" t="str">
        <f t="shared" si="77"/>
        <v/>
      </c>
      <c r="AY31" s="624" t="str">
        <f t="shared" si="77"/>
        <v/>
      </c>
      <c r="AZ31" s="624" t="str">
        <f t="shared" si="77"/>
        <v/>
      </c>
      <c r="BA31" s="624" t="str">
        <f t="shared" si="77"/>
        <v/>
      </c>
      <c r="BB31" s="624" t="str">
        <f t="shared" si="77"/>
        <v/>
      </c>
      <c r="BC31" s="625" t="str">
        <f t="shared" si="77"/>
        <v/>
      </c>
      <c r="CB31" s="875">
        <f>RWDI_FACTORS!J130</f>
        <v>270</v>
      </c>
      <c r="CC31" s="916">
        <f t="shared" ref="CC31:CW31" si="78">IF(CC$4=$AT$6,$AT$4,"")</f>
        <v>270</v>
      </c>
      <c r="CD31" s="912" t="str">
        <f t="shared" si="78"/>
        <v/>
      </c>
      <c r="CE31" s="912" t="str">
        <f t="shared" si="78"/>
        <v/>
      </c>
      <c r="CF31" s="912" t="str">
        <f t="shared" si="78"/>
        <v/>
      </c>
      <c r="CG31" s="912" t="str">
        <f t="shared" si="78"/>
        <v/>
      </c>
      <c r="CH31" s="912" t="str">
        <f t="shared" si="78"/>
        <v/>
      </c>
      <c r="CI31" s="912" t="str">
        <f t="shared" si="78"/>
        <v/>
      </c>
      <c r="CJ31" s="912" t="str">
        <f t="shared" si="78"/>
        <v/>
      </c>
      <c r="CK31" s="912" t="str">
        <f t="shared" si="78"/>
        <v/>
      </c>
      <c r="CL31" s="912" t="str">
        <f t="shared" si="78"/>
        <v/>
      </c>
      <c r="CM31" s="912" t="str">
        <f t="shared" si="78"/>
        <v/>
      </c>
      <c r="CN31" s="912" t="str">
        <f t="shared" si="78"/>
        <v/>
      </c>
      <c r="CO31" s="912" t="str">
        <f t="shared" si="78"/>
        <v/>
      </c>
      <c r="CP31" s="912" t="str">
        <f t="shared" si="78"/>
        <v/>
      </c>
      <c r="CQ31" s="912" t="str">
        <f t="shared" si="78"/>
        <v/>
      </c>
      <c r="CR31" s="912" t="str">
        <f t="shared" si="78"/>
        <v/>
      </c>
      <c r="CS31" s="912" t="str">
        <f t="shared" si="78"/>
        <v/>
      </c>
      <c r="CT31" s="912" t="str">
        <f t="shared" si="78"/>
        <v/>
      </c>
      <c r="CU31" s="912" t="str">
        <f t="shared" si="78"/>
        <v/>
      </c>
      <c r="CV31" s="912" t="str">
        <f t="shared" si="78"/>
        <v/>
      </c>
      <c r="CW31" s="917" t="str">
        <f t="shared" si="78"/>
        <v/>
      </c>
      <c r="DA31" s="585"/>
      <c r="DB31" s="587"/>
      <c r="DC31" s="1288"/>
      <c r="DD31" s="1288"/>
      <c r="DE31" s="1288"/>
      <c r="DF31" s="1288"/>
      <c r="DG31" s="1288"/>
      <c r="DH31" s="1288"/>
      <c r="DI31" s="1288"/>
      <c r="DJ31" s="1288"/>
      <c r="DK31" s="1288"/>
      <c r="DL31" s="1288"/>
      <c r="DM31" s="1288"/>
      <c r="DN31" s="1288"/>
      <c r="DO31" s="1288"/>
      <c r="DP31" s="1288"/>
      <c r="DQ31" s="1288"/>
      <c r="DR31" s="1288"/>
      <c r="DS31" s="1289"/>
    </row>
    <row r="32" spans="2:123" ht="13.5" thickBot="1" x14ac:dyDescent="0.25">
      <c r="B32" s="885" t="str">
        <f>LEFT(RIGHT(D47,LEN(D47)-1),LEN(D47)-2)</f>
        <v>Name</v>
      </c>
      <c r="C32" s="886"/>
      <c r="D32" s="886"/>
      <c r="E32" s="886"/>
      <c r="F32" s="887"/>
      <c r="G32" s="628"/>
      <c r="I32" s="1265"/>
      <c r="J32" s="1266"/>
      <c r="K32" s="1266"/>
      <c r="L32" s="1266"/>
      <c r="M32" s="1266"/>
      <c r="N32" s="1266"/>
      <c r="O32" s="1266"/>
      <c r="P32" s="1266"/>
      <c r="Q32" s="1267"/>
      <c r="S32" s="719" t="s">
        <v>449</v>
      </c>
      <c r="T32" s="819" t="str">
        <f t="shared" ref="T32:BC32" si="79">IFERROR(VLOOKUP($S32,$U$46:$AP$51,6+T$6,FALSE),"")</f>
        <v/>
      </c>
      <c r="U32" s="753" t="str">
        <f t="shared" si="79"/>
        <v/>
      </c>
      <c r="V32" s="753" t="str">
        <f t="shared" si="79"/>
        <v/>
      </c>
      <c r="W32" s="753" t="str">
        <f t="shared" si="79"/>
        <v/>
      </c>
      <c r="X32" s="753" t="str">
        <f t="shared" si="79"/>
        <v/>
      </c>
      <c r="Y32" s="753" t="str">
        <f t="shared" si="79"/>
        <v/>
      </c>
      <c r="Z32" s="753" t="str">
        <f t="shared" si="79"/>
        <v/>
      </c>
      <c r="AA32" s="753" t="str">
        <f t="shared" si="79"/>
        <v/>
      </c>
      <c r="AB32" s="753" t="str">
        <f t="shared" si="79"/>
        <v/>
      </c>
      <c r="AC32" s="753" t="str">
        <f t="shared" si="79"/>
        <v/>
      </c>
      <c r="AD32" s="753" t="str">
        <f t="shared" si="79"/>
        <v/>
      </c>
      <c r="AE32" s="753" t="str">
        <f t="shared" si="79"/>
        <v/>
      </c>
      <c r="AF32" s="753" t="str">
        <f t="shared" si="79"/>
        <v/>
      </c>
      <c r="AG32" s="753" t="str">
        <f t="shared" si="79"/>
        <v/>
      </c>
      <c r="AH32" s="753" t="str">
        <f t="shared" si="79"/>
        <v/>
      </c>
      <c r="AI32" s="753" t="str">
        <f t="shared" si="79"/>
        <v/>
      </c>
      <c r="AJ32" s="753" t="str">
        <f t="shared" si="79"/>
        <v/>
      </c>
      <c r="AK32" s="753" t="str">
        <f t="shared" si="79"/>
        <v/>
      </c>
      <c r="AL32" s="753" t="str">
        <f t="shared" si="79"/>
        <v/>
      </c>
      <c r="AM32" s="753" t="str">
        <f t="shared" si="79"/>
        <v/>
      </c>
      <c r="AN32" s="753" t="str">
        <f t="shared" si="79"/>
        <v/>
      </c>
      <c r="AO32" s="753" t="str">
        <f t="shared" si="79"/>
        <v/>
      </c>
      <c r="AP32" s="753" t="str">
        <f t="shared" si="79"/>
        <v/>
      </c>
      <c r="AQ32" s="753" t="str">
        <f t="shared" si="79"/>
        <v/>
      </c>
      <c r="AR32" s="753" t="str">
        <f t="shared" si="79"/>
        <v/>
      </c>
      <c r="AS32" s="753" t="str">
        <f t="shared" si="79"/>
        <v/>
      </c>
      <c r="AT32" s="753" t="str">
        <f t="shared" si="79"/>
        <v/>
      </c>
      <c r="AU32" s="753" t="str">
        <f t="shared" si="79"/>
        <v/>
      </c>
      <c r="AV32" s="753" t="str">
        <f t="shared" si="79"/>
        <v/>
      </c>
      <c r="AW32" s="753" t="str">
        <f t="shared" si="79"/>
        <v/>
      </c>
      <c r="AX32" s="753" t="str">
        <f t="shared" si="79"/>
        <v/>
      </c>
      <c r="AY32" s="753" t="str">
        <f t="shared" si="79"/>
        <v/>
      </c>
      <c r="AZ32" s="753" t="str">
        <f t="shared" si="79"/>
        <v/>
      </c>
      <c r="BA32" s="753" t="str">
        <f t="shared" si="79"/>
        <v/>
      </c>
      <c r="BB32" s="753" t="str">
        <f t="shared" si="79"/>
        <v/>
      </c>
      <c r="BC32" s="820" t="str">
        <f t="shared" si="79"/>
        <v/>
      </c>
      <c r="BE32" s="872"/>
      <c r="BF32" s="606"/>
      <c r="BG32" s="606"/>
      <c r="BH32" s="606"/>
      <c r="BI32" s="606"/>
      <c r="BJ32" s="606"/>
      <c r="BK32" s="606"/>
      <c r="BL32" s="606"/>
      <c r="BM32" s="606"/>
      <c r="BN32" s="606"/>
      <c r="BO32" s="606"/>
      <c r="BP32" s="606"/>
      <c r="BQ32" s="606"/>
      <c r="BR32" s="606"/>
      <c r="BS32" s="606"/>
      <c r="BT32" s="606"/>
      <c r="CB32" s="875">
        <f>RWDI_FACTORS!J131</f>
        <v>280</v>
      </c>
      <c r="CC32" s="916">
        <f t="shared" ref="CC32:CW32" si="80">IF(CC$4=$AU$6,$AU$4,"")</f>
        <v>280</v>
      </c>
      <c r="CD32" s="912" t="str">
        <f t="shared" si="80"/>
        <v/>
      </c>
      <c r="CE32" s="912" t="str">
        <f t="shared" si="80"/>
        <v/>
      </c>
      <c r="CF32" s="912" t="str">
        <f t="shared" si="80"/>
        <v/>
      </c>
      <c r="CG32" s="912" t="str">
        <f t="shared" si="80"/>
        <v/>
      </c>
      <c r="CH32" s="912" t="str">
        <f t="shared" si="80"/>
        <v/>
      </c>
      <c r="CI32" s="912" t="str">
        <f t="shared" si="80"/>
        <v/>
      </c>
      <c r="CJ32" s="912" t="str">
        <f t="shared" si="80"/>
        <v/>
      </c>
      <c r="CK32" s="912" t="str">
        <f t="shared" si="80"/>
        <v/>
      </c>
      <c r="CL32" s="912" t="str">
        <f t="shared" si="80"/>
        <v/>
      </c>
      <c r="CM32" s="912" t="str">
        <f t="shared" si="80"/>
        <v/>
      </c>
      <c r="CN32" s="912" t="str">
        <f t="shared" si="80"/>
        <v/>
      </c>
      <c r="CO32" s="912" t="str">
        <f t="shared" si="80"/>
        <v/>
      </c>
      <c r="CP32" s="912" t="str">
        <f t="shared" si="80"/>
        <v/>
      </c>
      <c r="CQ32" s="912" t="str">
        <f t="shared" si="80"/>
        <v/>
      </c>
      <c r="CR32" s="912" t="str">
        <f t="shared" si="80"/>
        <v/>
      </c>
      <c r="CS32" s="912" t="str">
        <f t="shared" si="80"/>
        <v/>
      </c>
      <c r="CT32" s="912" t="str">
        <f t="shared" si="80"/>
        <v/>
      </c>
      <c r="CU32" s="912" t="str">
        <f t="shared" si="80"/>
        <v/>
      </c>
      <c r="CV32" s="912" t="str">
        <f t="shared" si="80"/>
        <v/>
      </c>
      <c r="CW32" s="917" t="str">
        <f t="shared" si="80"/>
        <v/>
      </c>
      <c r="DA32" s="585"/>
      <c r="DB32" s="587"/>
      <c r="DC32" s="1288"/>
      <c r="DD32" s="1288"/>
      <c r="DE32" s="1288"/>
      <c r="DF32" s="1288"/>
      <c r="DG32" s="1288"/>
      <c r="DH32" s="1288"/>
      <c r="DI32" s="1288"/>
      <c r="DJ32" s="1288"/>
      <c r="DK32" s="1288"/>
      <c r="DL32" s="1288"/>
      <c r="DM32" s="1288"/>
      <c r="DN32" s="1288"/>
      <c r="DO32" s="1288"/>
      <c r="DP32" s="1288"/>
      <c r="DQ32" s="1288"/>
      <c r="DR32" s="1288"/>
      <c r="DS32" s="1289"/>
    </row>
    <row r="33" spans="2:123" x14ac:dyDescent="0.2">
      <c r="I33" s="1265"/>
      <c r="J33" s="1266"/>
      <c r="K33" s="1266"/>
      <c r="L33" s="1266"/>
      <c r="M33" s="1266"/>
      <c r="N33" s="1266"/>
      <c r="O33" s="1266"/>
      <c r="P33" s="1266"/>
      <c r="Q33" s="1267"/>
      <c r="S33" s="629" t="s">
        <v>456</v>
      </c>
      <c r="T33" s="821" t="str">
        <f t="shared" ref="T33:BC33" si="81">IFERROR(ASIN(SIN($E$26)*COS(T32/$C$25)+COS($E$26)*SIN(T32/$C$25)*COS((T$4-5)*PI()/180))*180/PI(),"")</f>
        <v/>
      </c>
      <c r="U33" s="630" t="str">
        <f t="shared" si="81"/>
        <v/>
      </c>
      <c r="V33" s="630" t="str">
        <f t="shared" si="81"/>
        <v/>
      </c>
      <c r="W33" s="630" t="str">
        <f t="shared" si="81"/>
        <v/>
      </c>
      <c r="X33" s="630" t="str">
        <f t="shared" si="81"/>
        <v/>
      </c>
      <c r="Y33" s="630" t="str">
        <f t="shared" si="81"/>
        <v/>
      </c>
      <c r="Z33" s="630" t="str">
        <f t="shared" si="81"/>
        <v/>
      </c>
      <c r="AA33" s="630" t="str">
        <f t="shared" si="81"/>
        <v/>
      </c>
      <c r="AB33" s="630" t="str">
        <f t="shared" si="81"/>
        <v/>
      </c>
      <c r="AC33" s="630" t="str">
        <f t="shared" si="81"/>
        <v/>
      </c>
      <c r="AD33" s="630" t="str">
        <f t="shared" si="81"/>
        <v/>
      </c>
      <c r="AE33" s="630" t="str">
        <f t="shared" si="81"/>
        <v/>
      </c>
      <c r="AF33" s="630" t="str">
        <f t="shared" si="81"/>
        <v/>
      </c>
      <c r="AG33" s="630" t="str">
        <f t="shared" si="81"/>
        <v/>
      </c>
      <c r="AH33" s="630" t="str">
        <f t="shared" si="81"/>
        <v/>
      </c>
      <c r="AI33" s="630" t="str">
        <f t="shared" si="81"/>
        <v/>
      </c>
      <c r="AJ33" s="630" t="str">
        <f t="shared" si="81"/>
        <v/>
      </c>
      <c r="AK33" s="630" t="str">
        <f t="shared" si="81"/>
        <v/>
      </c>
      <c r="AL33" s="630" t="str">
        <f t="shared" si="81"/>
        <v/>
      </c>
      <c r="AM33" s="630" t="str">
        <f t="shared" si="81"/>
        <v/>
      </c>
      <c r="AN33" s="630" t="str">
        <f t="shared" si="81"/>
        <v/>
      </c>
      <c r="AO33" s="630" t="str">
        <f t="shared" si="81"/>
        <v/>
      </c>
      <c r="AP33" s="630" t="str">
        <f t="shared" si="81"/>
        <v/>
      </c>
      <c r="AQ33" s="630" t="str">
        <f t="shared" si="81"/>
        <v/>
      </c>
      <c r="AR33" s="630" t="str">
        <f t="shared" si="81"/>
        <v/>
      </c>
      <c r="AS33" s="630" t="str">
        <f t="shared" si="81"/>
        <v/>
      </c>
      <c r="AT33" s="630" t="str">
        <f t="shared" si="81"/>
        <v/>
      </c>
      <c r="AU33" s="630" t="str">
        <f t="shared" si="81"/>
        <v/>
      </c>
      <c r="AV33" s="630" t="str">
        <f t="shared" si="81"/>
        <v/>
      </c>
      <c r="AW33" s="630" t="str">
        <f t="shared" si="81"/>
        <v/>
      </c>
      <c r="AX33" s="630" t="str">
        <f t="shared" si="81"/>
        <v/>
      </c>
      <c r="AY33" s="630" t="str">
        <f t="shared" si="81"/>
        <v/>
      </c>
      <c r="AZ33" s="630" t="str">
        <f t="shared" si="81"/>
        <v/>
      </c>
      <c r="BA33" s="630" t="str">
        <f t="shared" si="81"/>
        <v/>
      </c>
      <c r="BB33" s="630" t="str">
        <f t="shared" si="81"/>
        <v/>
      </c>
      <c r="BC33" s="631" t="str">
        <f t="shared" si="81"/>
        <v/>
      </c>
      <c r="BE33" s="606"/>
      <c r="BF33" s="606"/>
      <c r="BG33" s="606"/>
      <c r="BH33" s="606"/>
      <c r="BI33" s="606"/>
      <c r="BJ33" s="606"/>
      <c r="BK33" s="606"/>
      <c r="BL33" s="606"/>
      <c r="BM33" s="606"/>
      <c r="BN33" s="606"/>
      <c r="BO33" s="606"/>
      <c r="BP33" s="606"/>
      <c r="BQ33" s="606"/>
      <c r="BR33" s="606"/>
      <c r="BS33" s="606"/>
      <c r="BT33" s="606"/>
      <c r="CB33" s="875">
        <f>RWDI_FACTORS!J132</f>
        <v>290</v>
      </c>
      <c r="CC33" s="916">
        <f t="shared" ref="CC33:CW33" si="82">IF(CC$4=$AV$6,$AV$4,"")</f>
        <v>290</v>
      </c>
      <c r="CD33" s="912" t="str">
        <f t="shared" si="82"/>
        <v/>
      </c>
      <c r="CE33" s="912" t="str">
        <f t="shared" si="82"/>
        <v/>
      </c>
      <c r="CF33" s="912" t="str">
        <f t="shared" si="82"/>
        <v/>
      </c>
      <c r="CG33" s="912" t="str">
        <f t="shared" si="82"/>
        <v/>
      </c>
      <c r="CH33" s="912" t="str">
        <f t="shared" si="82"/>
        <v/>
      </c>
      <c r="CI33" s="912" t="str">
        <f t="shared" si="82"/>
        <v/>
      </c>
      <c r="CJ33" s="912" t="str">
        <f t="shared" si="82"/>
        <v/>
      </c>
      <c r="CK33" s="912" t="str">
        <f t="shared" si="82"/>
        <v/>
      </c>
      <c r="CL33" s="912" t="str">
        <f t="shared" si="82"/>
        <v/>
      </c>
      <c r="CM33" s="912" t="str">
        <f t="shared" si="82"/>
        <v/>
      </c>
      <c r="CN33" s="912" t="str">
        <f t="shared" si="82"/>
        <v/>
      </c>
      <c r="CO33" s="912" t="str">
        <f t="shared" si="82"/>
        <v/>
      </c>
      <c r="CP33" s="912" t="str">
        <f t="shared" si="82"/>
        <v/>
      </c>
      <c r="CQ33" s="912" t="str">
        <f t="shared" si="82"/>
        <v/>
      </c>
      <c r="CR33" s="912" t="str">
        <f t="shared" si="82"/>
        <v/>
      </c>
      <c r="CS33" s="912" t="str">
        <f t="shared" si="82"/>
        <v/>
      </c>
      <c r="CT33" s="912" t="str">
        <f t="shared" si="82"/>
        <v/>
      </c>
      <c r="CU33" s="912" t="str">
        <f t="shared" si="82"/>
        <v/>
      </c>
      <c r="CV33" s="912" t="str">
        <f t="shared" si="82"/>
        <v/>
      </c>
      <c r="CW33" s="917" t="str">
        <f t="shared" si="82"/>
        <v/>
      </c>
      <c r="DA33" s="585"/>
      <c r="DB33" s="587"/>
      <c r="DC33" s="1288"/>
      <c r="DD33" s="1288"/>
      <c r="DE33" s="1288"/>
      <c r="DF33" s="1288"/>
      <c r="DG33" s="1288"/>
      <c r="DH33" s="1288"/>
      <c r="DI33" s="1288"/>
      <c r="DJ33" s="1288"/>
      <c r="DK33" s="1288"/>
      <c r="DL33" s="1288"/>
      <c r="DM33" s="1288"/>
      <c r="DN33" s="1288"/>
      <c r="DO33" s="1288"/>
      <c r="DP33" s="1288"/>
      <c r="DQ33" s="1288"/>
      <c r="DR33" s="1288"/>
      <c r="DS33" s="1289"/>
    </row>
    <row r="34" spans="2:123" x14ac:dyDescent="0.2">
      <c r="I34" s="1265"/>
      <c r="J34" s="1266"/>
      <c r="K34" s="1266"/>
      <c r="L34" s="1266"/>
      <c r="M34" s="1266"/>
      <c r="N34" s="1266"/>
      <c r="O34" s="1266"/>
      <c r="P34" s="1266"/>
      <c r="Q34" s="1267"/>
      <c r="S34" s="629" t="s">
        <v>457</v>
      </c>
      <c r="T34" s="821" t="str">
        <f t="shared" ref="T34:BC34" si="83">IFERROR($C$27+ATAN2(COS(T32/$C$25)-SIN($E$26)*SIN(T33*PI()/180),SIN((T$4-5)*PI()/180)*SIN(T32/$C$25)*COS($E$26))*180/PI(),"")</f>
        <v/>
      </c>
      <c r="U34" s="630" t="str">
        <f t="shared" si="83"/>
        <v/>
      </c>
      <c r="V34" s="630" t="str">
        <f t="shared" si="83"/>
        <v/>
      </c>
      <c r="W34" s="630" t="str">
        <f t="shared" si="83"/>
        <v/>
      </c>
      <c r="X34" s="630" t="str">
        <f t="shared" si="83"/>
        <v/>
      </c>
      <c r="Y34" s="630" t="str">
        <f t="shared" si="83"/>
        <v/>
      </c>
      <c r="Z34" s="630" t="str">
        <f t="shared" si="83"/>
        <v/>
      </c>
      <c r="AA34" s="630" t="str">
        <f t="shared" si="83"/>
        <v/>
      </c>
      <c r="AB34" s="630" t="str">
        <f t="shared" si="83"/>
        <v/>
      </c>
      <c r="AC34" s="630" t="str">
        <f t="shared" si="83"/>
        <v/>
      </c>
      <c r="AD34" s="630" t="str">
        <f t="shared" si="83"/>
        <v/>
      </c>
      <c r="AE34" s="630" t="str">
        <f t="shared" si="83"/>
        <v/>
      </c>
      <c r="AF34" s="630" t="str">
        <f t="shared" si="83"/>
        <v/>
      </c>
      <c r="AG34" s="630" t="str">
        <f t="shared" si="83"/>
        <v/>
      </c>
      <c r="AH34" s="630" t="str">
        <f t="shared" si="83"/>
        <v/>
      </c>
      <c r="AI34" s="630" t="str">
        <f t="shared" si="83"/>
        <v/>
      </c>
      <c r="AJ34" s="630" t="str">
        <f t="shared" si="83"/>
        <v/>
      </c>
      <c r="AK34" s="630" t="str">
        <f t="shared" si="83"/>
        <v/>
      </c>
      <c r="AL34" s="630" t="str">
        <f t="shared" si="83"/>
        <v/>
      </c>
      <c r="AM34" s="630" t="str">
        <f t="shared" si="83"/>
        <v/>
      </c>
      <c r="AN34" s="630" t="str">
        <f t="shared" si="83"/>
        <v/>
      </c>
      <c r="AO34" s="630" t="str">
        <f t="shared" si="83"/>
        <v/>
      </c>
      <c r="AP34" s="630" t="str">
        <f t="shared" si="83"/>
        <v/>
      </c>
      <c r="AQ34" s="630" t="str">
        <f t="shared" si="83"/>
        <v/>
      </c>
      <c r="AR34" s="630" t="str">
        <f t="shared" si="83"/>
        <v/>
      </c>
      <c r="AS34" s="630" t="str">
        <f t="shared" si="83"/>
        <v/>
      </c>
      <c r="AT34" s="630" t="str">
        <f t="shared" si="83"/>
        <v/>
      </c>
      <c r="AU34" s="630" t="str">
        <f t="shared" si="83"/>
        <v/>
      </c>
      <c r="AV34" s="630" t="str">
        <f t="shared" si="83"/>
        <v/>
      </c>
      <c r="AW34" s="630" t="str">
        <f t="shared" si="83"/>
        <v/>
      </c>
      <c r="AX34" s="630" t="str">
        <f t="shared" si="83"/>
        <v/>
      </c>
      <c r="AY34" s="630" t="str">
        <f t="shared" si="83"/>
        <v/>
      </c>
      <c r="AZ34" s="630" t="str">
        <f t="shared" si="83"/>
        <v/>
      </c>
      <c r="BA34" s="630" t="str">
        <f t="shared" si="83"/>
        <v/>
      </c>
      <c r="BB34" s="630" t="str">
        <f t="shared" si="83"/>
        <v/>
      </c>
      <c r="BC34" s="631" t="str">
        <f t="shared" si="83"/>
        <v/>
      </c>
      <c r="BE34" s="873"/>
      <c r="BF34" s="873"/>
      <c r="BG34" s="873"/>
      <c r="BH34" s="873"/>
      <c r="BI34" s="606"/>
      <c r="BJ34" s="606"/>
      <c r="BK34" s="606"/>
      <c r="BL34" s="606"/>
      <c r="BM34" s="606"/>
      <c r="BN34" s="606"/>
      <c r="BO34" s="606"/>
      <c r="BP34" s="606"/>
      <c r="BQ34" s="606"/>
      <c r="BR34" s="606"/>
      <c r="BS34" s="606"/>
      <c r="BT34" s="606"/>
      <c r="CB34" s="875">
        <f>RWDI_FACTORS!J133</f>
        <v>300</v>
      </c>
      <c r="CC34" s="916">
        <f t="shared" ref="CC34:CW34" si="84">IF(CC$4=$AW$6,$AW$4,"")</f>
        <v>300</v>
      </c>
      <c r="CD34" s="912" t="str">
        <f t="shared" si="84"/>
        <v/>
      </c>
      <c r="CE34" s="912" t="str">
        <f t="shared" si="84"/>
        <v/>
      </c>
      <c r="CF34" s="912" t="str">
        <f t="shared" si="84"/>
        <v/>
      </c>
      <c r="CG34" s="912" t="str">
        <f t="shared" si="84"/>
        <v/>
      </c>
      <c r="CH34" s="912" t="str">
        <f t="shared" si="84"/>
        <v/>
      </c>
      <c r="CI34" s="912" t="str">
        <f t="shared" si="84"/>
        <v/>
      </c>
      <c r="CJ34" s="912" t="str">
        <f t="shared" si="84"/>
        <v/>
      </c>
      <c r="CK34" s="912" t="str">
        <f t="shared" si="84"/>
        <v/>
      </c>
      <c r="CL34" s="912" t="str">
        <f t="shared" si="84"/>
        <v/>
      </c>
      <c r="CM34" s="912" t="str">
        <f t="shared" si="84"/>
        <v/>
      </c>
      <c r="CN34" s="912" t="str">
        <f t="shared" si="84"/>
        <v/>
      </c>
      <c r="CO34" s="912" t="str">
        <f t="shared" si="84"/>
        <v/>
      </c>
      <c r="CP34" s="912" t="str">
        <f t="shared" si="84"/>
        <v/>
      </c>
      <c r="CQ34" s="912" t="str">
        <f t="shared" si="84"/>
        <v/>
      </c>
      <c r="CR34" s="912" t="str">
        <f t="shared" si="84"/>
        <v/>
      </c>
      <c r="CS34" s="912" t="str">
        <f t="shared" si="84"/>
        <v/>
      </c>
      <c r="CT34" s="912" t="str">
        <f t="shared" si="84"/>
        <v/>
      </c>
      <c r="CU34" s="912" t="str">
        <f t="shared" si="84"/>
        <v/>
      </c>
      <c r="CV34" s="912" t="str">
        <f t="shared" si="84"/>
        <v/>
      </c>
      <c r="CW34" s="917" t="str">
        <f t="shared" si="84"/>
        <v/>
      </c>
      <c r="DA34" s="585"/>
      <c r="DB34" s="587"/>
      <c r="DC34" s="1288"/>
      <c r="DD34" s="1288"/>
      <c r="DE34" s="1288"/>
      <c r="DF34" s="1288"/>
      <c r="DG34" s="1288"/>
      <c r="DH34" s="1288"/>
      <c r="DI34" s="1288"/>
      <c r="DJ34" s="1288"/>
      <c r="DK34" s="1288"/>
      <c r="DL34" s="1288"/>
      <c r="DM34" s="1288"/>
      <c r="DN34" s="1288"/>
      <c r="DO34" s="1288"/>
      <c r="DP34" s="1288"/>
      <c r="DQ34" s="1288"/>
      <c r="DR34" s="1288"/>
      <c r="DS34" s="1289"/>
    </row>
    <row r="35" spans="2:123" x14ac:dyDescent="0.2">
      <c r="I35" s="1265"/>
      <c r="J35" s="1266"/>
      <c r="K35" s="1266"/>
      <c r="L35" s="1266"/>
      <c r="M35" s="1266"/>
      <c r="N35" s="1266"/>
      <c r="O35" s="1266"/>
      <c r="P35" s="1266"/>
      <c r="Q35" s="1267"/>
      <c r="S35" s="629" t="s">
        <v>458</v>
      </c>
      <c r="T35" s="821" t="str">
        <f t="shared" ref="T35:BC35" si="85">IFERROR(ASIN(SIN($E$26)*COS(T32/$C$25)+COS($E$26)*SIN(T32/$C$25)*COS((T$4+5)*PI()/180))*180/PI(),"")</f>
        <v/>
      </c>
      <c r="U35" s="630" t="str">
        <f t="shared" si="85"/>
        <v/>
      </c>
      <c r="V35" s="630" t="str">
        <f t="shared" si="85"/>
        <v/>
      </c>
      <c r="W35" s="630" t="str">
        <f t="shared" si="85"/>
        <v/>
      </c>
      <c r="X35" s="630" t="str">
        <f t="shared" si="85"/>
        <v/>
      </c>
      <c r="Y35" s="630" t="str">
        <f t="shared" si="85"/>
        <v/>
      </c>
      <c r="Z35" s="630" t="str">
        <f t="shared" si="85"/>
        <v/>
      </c>
      <c r="AA35" s="630" t="str">
        <f t="shared" si="85"/>
        <v/>
      </c>
      <c r="AB35" s="630" t="str">
        <f t="shared" si="85"/>
        <v/>
      </c>
      <c r="AC35" s="630" t="str">
        <f t="shared" si="85"/>
        <v/>
      </c>
      <c r="AD35" s="630" t="str">
        <f t="shared" si="85"/>
        <v/>
      </c>
      <c r="AE35" s="630" t="str">
        <f t="shared" si="85"/>
        <v/>
      </c>
      <c r="AF35" s="630" t="str">
        <f t="shared" si="85"/>
        <v/>
      </c>
      <c r="AG35" s="630" t="str">
        <f t="shared" si="85"/>
        <v/>
      </c>
      <c r="AH35" s="630" t="str">
        <f t="shared" si="85"/>
        <v/>
      </c>
      <c r="AI35" s="630" t="str">
        <f t="shared" si="85"/>
        <v/>
      </c>
      <c r="AJ35" s="630" t="str">
        <f t="shared" si="85"/>
        <v/>
      </c>
      <c r="AK35" s="630" t="str">
        <f t="shared" si="85"/>
        <v/>
      </c>
      <c r="AL35" s="630" t="str">
        <f t="shared" si="85"/>
        <v/>
      </c>
      <c r="AM35" s="630" t="str">
        <f t="shared" si="85"/>
        <v/>
      </c>
      <c r="AN35" s="630" t="str">
        <f t="shared" si="85"/>
        <v/>
      </c>
      <c r="AO35" s="630" t="str">
        <f t="shared" si="85"/>
        <v/>
      </c>
      <c r="AP35" s="630" t="str">
        <f t="shared" si="85"/>
        <v/>
      </c>
      <c r="AQ35" s="630" t="str">
        <f t="shared" si="85"/>
        <v/>
      </c>
      <c r="AR35" s="630" t="str">
        <f t="shared" si="85"/>
        <v/>
      </c>
      <c r="AS35" s="630" t="str">
        <f t="shared" si="85"/>
        <v/>
      </c>
      <c r="AT35" s="630" t="str">
        <f t="shared" si="85"/>
        <v/>
      </c>
      <c r="AU35" s="630" t="str">
        <f t="shared" si="85"/>
        <v/>
      </c>
      <c r="AV35" s="630" t="str">
        <f t="shared" si="85"/>
        <v/>
      </c>
      <c r="AW35" s="630" t="str">
        <f t="shared" si="85"/>
        <v/>
      </c>
      <c r="AX35" s="630" t="str">
        <f t="shared" si="85"/>
        <v/>
      </c>
      <c r="AY35" s="630" t="str">
        <f t="shared" si="85"/>
        <v/>
      </c>
      <c r="AZ35" s="630" t="str">
        <f t="shared" si="85"/>
        <v/>
      </c>
      <c r="BA35" s="630" t="str">
        <f t="shared" si="85"/>
        <v/>
      </c>
      <c r="BB35" s="630" t="str">
        <f t="shared" si="85"/>
        <v/>
      </c>
      <c r="BC35" s="631" t="str">
        <f t="shared" si="85"/>
        <v/>
      </c>
      <c r="BE35" s="606"/>
      <c r="BF35" s="606"/>
      <c r="BG35" s="606"/>
      <c r="BH35" s="606"/>
      <c r="BI35" s="606"/>
      <c r="BJ35" s="606"/>
      <c r="BK35" s="606"/>
      <c r="BL35" s="606"/>
      <c r="BM35" s="606"/>
      <c r="BN35" s="606"/>
      <c r="BO35" s="606"/>
      <c r="BP35" s="606"/>
      <c r="BQ35" s="606"/>
      <c r="BR35" s="606"/>
      <c r="BS35" s="606"/>
      <c r="BT35" s="606"/>
      <c r="CB35" s="875">
        <f>RWDI_FACTORS!J134</f>
        <v>310</v>
      </c>
      <c r="CC35" s="916">
        <f t="shared" ref="CC35:CW35" si="86">IF(CC$4=$AX$6,$AX$4,"")</f>
        <v>310</v>
      </c>
      <c r="CD35" s="912" t="str">
        <f t="shared" si="86"/>
        <v/>
      </c>
      <c r="CE35" s="912" t="str">
        <f t="shared" si="86"/>
        <v/>
      </c>
      <c r="CF35" s="912" t="str">
        <f t="shared" si="86"/>
        <v/>
      </c>
      <c r="CG35" s="912" t="str">
        <f t="shared" si="86"/>
        <v/>
      </c>
      <c r="CH35" s="912" t="str">
        <f t="shared" si="86"/>
        <v/>
      </c>
      <c r="CI35" s="912" t="str">
        <f t="shared" si="86"/>
        <v/>
      </c>
      <c r="CJ35" s="912" t="str">
        <f t="shared" si="86"/>
        <v/>
      </c>
      <c r="CK35" s="912" t="str">
        <f t="shared" si="86"/>
        <v/>
      </c>
      <c r="CL35" s="912" t="str">
        <f t="shared" si="86"/>
        <v/>
      </c>
      <c r="CM35" s="912" t="str">
        <f t="shared" si="86"/>
        <v/>
      </c>
      <c r="CN35" s="912" t="str">
        <f t="shared" si="86"/>
        <v/>
      </c>
      <c r="CO35" s="912" t="str">
        <f t="shared" si="86"/>
        <v/>
      </c>
      <c r="CP35" s="912" t="str">
        <f t="shared" si="86"/>
        <v/>
      </c>
      <c r="CQ35" s="912" t="str">
        <f t="shared" si="86"/>
        <v/>
      </c>
      <c r="CR35" s="912" t="str">
        <f t="shared" si="86"/>
        <v/>
      </c>
      <c r="CS35" s="912" t="str">
        <f t="shared" si="86"/>
        <v/>
      </c>
      <c r="CT35" s="912" t="str">
        <f t="shared" si="86"/>
        <v/>
      </c>
      <c r="CU35" s="912" t="str">
        <f t="shared" si="86"/>
        <v/>
      </c>
      <c r="CV35" s="912" t="str">
        <f t="shared" si="86"/>
        <v/>
      </c>
      <c r="CW35" s="917" t="str">
        <f t="shared" si="86"/>
        <v/>
      </c>
      <c r="DA35" s="585"/>
      <c r="DB35" s="587"/>
      <c r="DC35" s="1288"/>
      <c r="DD35" s="1288"/>
      <c r="DE35" s="1288"/>
      <c r="DF35" s="1288"/>
      <c r="DG35" s="1288"/>
      <c r="DH35" s="1288"/>
      <c r="DI35" s="1288"/>
      <c r="DJ35" s="1288"/>
      <c r="DK35" s="1288"/>
      <c r="DL35" s="1288"/>
      <c r="DM35" s="1288"/>
      <c r="DN35" s="1288"/>
      <c r="DO35" s="1288"/>
      <c r="DP35" s="1288"/>
      <c r="DQ35" s="1288"/>
      <c r="DR35" s="1288"/>
      <c r="DS35" s="1289"/>
    </row>
    <row r="36" spans="2:123" ht="13.5" thickBot="1" x14ac:dyDescent="0.25">
      <c r="I36" s="1265"/>
      <c r="J36" s="1266"/>
      <c r="K36" s="1266"/>
      <c r="L36" s="1266"/>
      <c r="M36" s="1266"/>
      <c r="N36" s="1266"/>
      <c r="O36" s="1266"/>
      <c r="P36" s="1266"/>
      <c r="Q36" s="1267"/>
      <c r="S36" s="632" t="s">
        <v>459</v>
      </c>
      <c r="T36" s="852" t="str">
        <f t="shared" ref="T36:BC36" si="87">IFERROR($C$27+ATAN2(COS(T34/$C$25)-SIN($E$26)*SIN(T35*PI()/180),SIN((T$4+5)*PI()/180)*SIN(T32/$C$25)*COS($E$26))*180/PI(),"")</f>
        <v/>
      </c>
      <c r="U36" s="725" t="str">
        <f t="shared" si="87"/>
        <v/>
      </c>
      <c r="V36" s="725" t="str">
        <f t="shared" si="87"/>
        <v/>
      </c>
      <c r="W36" s="725" t="str">
        <f t="shared" si="87"/>
        <v/>
      </c>
      <c r="X36" s="725" t="str">
        <f t="shared" si="87"/>
        <v/>
      </c>
      <c r="Y36" s="725" t="str">
        <f t="shared" si="87"/>
        <v/>
      </c>
      <c r="Z36" s="725" t="str">
        <f t="shared" si="87"/>
        <v/>
      </c>
      <c r="AA36" s="725" t="str">
        <f t="shared" si="87"/>
        <v/>
      </c>
      <c r="AB36" s="725" t="str">
        <f t="shared" si="87"/>
        <v/>
      </c>
      <c r="AC36" s="725" t="str">
        <f t="shared" si="87"/>
        <v/>
      </c>
      <c r="AD36" s="725" t="str">
        <f t="shared" si="87"/>
        <v/>
      </c>
      <c r="AE36" s="725" t="str">
        <f t="shared" si="87"/>
        <v/>
      </c>
      <c r="AF36" s="725" t="str">
        <f t="shared" si="87"/>
        <v/>
      </c>
      <c r="AG36" s="725" t="str">
        <f t="shared" si="87"/>
        <v/>
      </c>
      <c r="AH36" s="725" t="str">
        <f t="shared" si="87"/>
        <v/>
      </c>
      <c r="AI36" s="725" t="str">
        <f t="shared" si="87"/>
        <v/>
      </c>
      <c r="AJ36" s="725" t="str">
        <f t="shared" si="87"/>
        <v/>
      </c>
      <c r="AK36" s="725" t="str">
        <f t="shared" si="87"/>
        <v/>
      </c>
      <c r="AL36" s="725" t="str">
        <f t="shared" si="87"/>
        <v/>
      </c>
      <c r="AM36" s="725" t="str">
        <f t="shared" si="87"/>
        <v/>
      </c>
      <c r="AN36" s="725" t="str">
        <f t="shared" si="87"/>
        <v/>
      </c>
      <c r="AO36" s="725" t="str">
        <f t="shared" si="87"/>
        <v/>
      </c>
      <c r="AP36" s="725" t="str">
        <f t="shared" si="87"/>
        <v/>
      </c>
      <c r="AQ36" s="725" t="str">
        <f t="shared" si="87"/>
        <v/>
      </c>
      <c r="AR36" s="725" t="str">
        <f t="shared" si="87"/>
        <v/>
      </c>
      <c r="AS36" s="725" t="str">
        <f t="shared" si="87"/>
        <v/>
      </c>
      <c r="AT36" s="725" t="str">
        <f t="shared" si="87"/>
        <v/>
      </c>
      <c r="AU36" s="725" t="str">
        <f t="shared" si="87"/>
        <v/>
      </c>
      <c r="AV36" s="725" t="str">
        <f t="shared" si="87"/>
        <v/>
      </c>
      <c r="AW36" s="725" t="str">
        <f t="shared" si="87"/>
        <v/>
      </c>
      <c r="AX36" s="725" t="str">
        <f t="shared" si="87"/>
        <v/>
      </c>
      <c r="AY36" s="725" t="str">
        <f t="shared" si="87"/>
        <v/>
      </c>
      <c r="AZ36" s="725" t="str">
        <f t="shared" si="87"/>
        <v/>
      </c>
      <c r="BA36" s="725" t="str">
        <f t="shared" si="87"/>
        <v/>
      </c>
      <c r="BB36" s="725" t="str">
        <f t="shared" si="87"/>
        <v/>
      </c>
      <c r="BC36" s="726" t="str">
        <f t="shared" si="87"/>
        <v/>
      </c>
      <c r="BE36" s="606"/>
      <c r="BF36" s="606"/>
      <c r="BG36" s="606"/>
      <c r="BH36" s="606"/>
      <c r="BI36" s="606"/>
      <c r="BJ36" s="606"/>
      <c r="BK36" s="606"/>
      <c r="BL36" s="606"/>
      <c r="BM36" s="606"/>
      <c r="BN36" s="606"/>
      <c r="BO36" s="606"/>
      <c r="BP36" s="606"/>
      <c r="BQ36" s="606"/>
      <c r="BR36" s="606"/>
      <c r="BS36" s="606"/>
      <c r="BT36" s="606"/>
      <c r="CB36" s="875">
        <f>RWDI_FACTORS!J135</f>
        <v>320</v>
      </c>
      <c r="CC36" s="916">
        <f t="shared" ref="CC36:CW36" si="88">IF(CC$4=$AY$6,$AY$4,"")</f>
        <v>320</v>
      </c>
      <c r="CD36" s="912" t="str">
        <f t="shared" si="88"/>
        <v/>
      </c>
      <c r="CE36" s="912" t="str">
        <f t="shared" si="88"/>
        <v/>
      </c>
      <c r="CF36" s="912" t="str">
        <f t="shared" si="88"/>
        <v/>
      </c>
      <c r="CG36" s="912" t="str">
        <f t="shared" si="88"/>
        <v/>
      </c>
      <c r="CH36" s="912" t="str">
        <f t="shared" si="88"/>
        <v/>
      </c>
      <c r="CI36" s="912" t="str">
        <f t="shared" si="88"/>
        <v/>
      </c>
      <c r="CJ36" s="912" t="str">
        <f t="shared" si="88"/>
        <v/>
      </c>
      <c r="CK36" s="912" t="str">
        <f t="shared" si="88"/>
        <v/>
      </c>
      <c r="CL36" s="912" t="str">
        <f t="shared" si="88"/>
        <v/>
      </c>
      <c r="CM36" s="912" t="str">
        <f t="shared" si="88"/>
        <v/>
      </c>
      <c r="CN36" s="912" t="str">
        <f t="shared" si="88"/>
        <v/>
      </c>
      <c r="CO36" s="912" t="str">
        <f t="shared" si="88"/>
        <v/>
      </c>
      <c r="CP36" s="912" t="str">
        <f t="shared" si="88"/>
        <v/>
      </c>
      <c r="CQ36" s="912" t="str">
        <f t="shared" si="88"/>
        <v/>
      </c>
      <c r="CR36" s="912" t="str">
        <f t="shared" si="88"/>
        <v/>
      </c>
      <c r="CS36" s="912" t="str">
        <f t="shared" si="88"/>
        <v/>
      </c>
      <c r="CT36" s="912" t="str">
        <f t="shared" si="88"/>
        <v/>
      </c>
      <c r="CU36" s="912" t="str">
        <f t="shared" si="88"/>
        <v/>
      </c>
      <c r="CV36" s="912" t="str">
        <f t="shared" si="88"/>
        <v/>
      </c>
      <c r="CW36" s="917" t="str">
        <f t="shared" si="88"/>
        <v/>
      </c>
      <c r="DA36" s="585"/>
      <c r="DB36" s="587"/>
      <c r="DC36" s="1288"/>
      <c r="DD36" s="1288"/>
      <c r="DE36" s="1288"/>
      <c r="DF36" s="1288"/>
      <c r="DG36" s="1288"/>
      <c r="DH36" s="1288"/>
      <c r="DI36" s="1288"/>
      <c r="DJ36" s="1288"/>
      <c r="DK36" s="1288"/>
      <c r="DL36" s="1288"/>
      <c r="DM36" s="1288"/>
      <c r="DN36" s="1288"/>
      <c r="DO36" s="1288"/>
      <c r="DP36" s="1288"/>
      <c r="DQ36" s="1288"/>
      <c r="DR36" s="1288"/>
      <c r="DS36" s="1289"/>
    </row>
    <row r="37" spans="2:123" x14ac:dyDescent="0.2">
      <c r="B37" s="579"/>
      <c r="I37" s="1265"/>
      <c r="J37" s="1266"/>
      <c r="K37" s="1266"/>
      <c r="L37" s="1266"/>
      <c r="M37" s="1266"/>
      <c r="N37" s="1266"/>
      <c r="O37" s="1266"/>
      <c r="P37" s="1266"/>
      <c r="Q37" s="1267"/>
      <c r="S37" s="720" t="s">
        <v>461</v>
      </c>
      <c r="T37" s="822">
        <f t="shared" ref="T37:BC37" si="89">$R$47*1000</f>
        <v>100000</v>
      </c>
      <c r="U37" s="633">
        <f t="shared" si="89"/>
        <v>100000</v>
      </c>
      <c r="V37" s="633">
        <f t="shared" si="89"/>
        <v>100000</v>
      </c>
      <c r="W37" s="633">
        <f t="shared" si="89"/>
        <v>100000</v>
      </c>
      <c r="X37" s="633">
        <f t="shared" si="89"/>
        <v>100000</v>
      </c>
      <c r="Y37" s="633">
        <f t="shared" si="89"/>
        <v>100000</v>
      </c>
      <c r="Z37" s="633">
        <f t="shared" si="89"/>
        <v>100000</v>
      </c>
      <c r="AA37" s="633">
        <f t="shared" si="89"/>
        <v>100000</v>
      </c>
      <c r="AB37" s="633">
        <f t="shared" si="89"/>
        <v>100000</v>
      </c>
      <c r="AC37" s="633">
        <f t="shared" si="89"/>
        <v>100000</v>
      </c>
      <c r="AD37" s="633">
        <f t="shared" si="89"/>
        <v>100000</v>
      </c>
      <c r="AE37" s="633">
        <f t="shared" si="89"/>
        <v>100000</v>
      </c>
      <c r="AF37" s="633">
        <f t="shared" si="89"/>
        <v>100000</v>
      </c>
      <c r="AG37" s="633">
        <f t="shared" si="89"/>
        <v>100000</v>
      </c>
      <c r="AH37" s="633">
        <f t="shared" si="89"/>
        <v>100000</v>
      </c>
      <c r="AI37" s="633">
        <f t="shared" si="89"/>
        <v>100000</v>
      </c>
      <c r="AJ37" s="633">
        <f t="shared" si="89"/>
        <v>100000</v>
      </c>
      <c r="AK37" s="633">
        <f t="shared" si="89"/>
        <v>100000</v>
      </c>
      <c r="AL37" s="633">
        <f t="shared" si="89"/>
        <v>100000</v>
      </c>
      <c r="AM37" s="633">
        <f t="shared" si="89"/>
        <v>100000</v>
      </c>
      <c r="AN37" s="633">
        <f t="shared" si="89"/>
        <v>100000</v>
      </c>
      <c r="AO37" s="633">
        <f t="shared" si="89"/>
        <v>100000</v>
      </c>
      <c r="AP37" s="633">
        <f t="shared" si="89"/>
        <v>100000</v>
      </c>
      <c r="AQ37" s="633">
        <f t="shared" si="89"/>
        <v>100000</v>
      </c>
      <c r="AR37" s="633">
        <f t="shared" si="89"/>
        <v>100000</v>
      </c>
      <c r="AS37" s="633">
        <f t="shared" si="89"/>
        <v>100000</v>
      </c>
      <c r="AT37" s="633">
        <f t="shared" si="89"/>
        <v>100000</v>
      </c>
      <c r="AU37" s="633">
        <f t="shared" si="89"/>
        <v>100000</v>
      </c>
      <c r="AV37" s="633">
        <f t="shared" si="89"/>
        <v>100000</v>
      </c>
      <c r="AW37" s="633">
        <f t="shared" si="89"/>
        <v>100000</v>
      </c>
      <c r="AX37" s="633">
        <f t="shared" si="89"/>
        <v>100000</v>
      </c>
      <c r="AY37" s="633">
        <f t="shared" si="89"/>
        <v>100000</v>
      </c>
      <c r="AZ37" s="633">
        <f t="shared" si="89"/>
        <v>100000</v>
      </c>
      <c r="BA37" s="633">
        <f t="shared" si="89"/>
        <v>100000</v>
      </c>
      <c r="BB37" s="633">
        <f t="shared" si="89"/>
        <v>100000</v>
      </c>
      <c r="BC37" s="634">
        <f t="shared" si="89"/>
        <v>100000</v>
      </c>
      <c r="CB37" s="875">
        <f>RWDI_FACTORS!J136</f>
        <v>330</v>
      </c>
      <c r="CC37" s="916">
        <f t="shared" ref="CC37:CW37" si="90">IF(CC$4=$AZ$6,$AZ$4,"")</f>
        <v>330</v>
      </c>
      <c r="CD37" s="912" t="str">
        <f t="shared" si="90"/>
        <v/>
      </c>
      <c r="CE37" s="912" t="str">
        <f t="shared" si="90"/>
        <v/>
      </c>
      <c r="CF37" s="912" t="str">
        <f t="shared" si="90"/>
        <v/>
      </c>
      <c r="CG37" s="912" t="str">
        <f t="shared" si="90"/>
        <v/>
      </c>
      <c r="CH37" s="912" t="str">
        <f t="shared" si="90"/>
        <v/>
      </c>
      <c r="CI37" s="912" t="str">
        <f t="shared" si="90"/>
        <v/>
      </c>
      <c r="CJ37" s="912" t="str">
        <f t="shared" si="90"/>
        <v/>
      </c>
      <c r="CK37" s="912" t="str">
        <f t="shared" si="90"/>
        <v/>
      </c>
      <c r="CL37" s="912" t="str">
        <f t="shared" si="90"/>
        <v/>
      </c>
      <c r="CM37" s="912" t="str">
        <f t="shared" si="90"/>
        <v/>
      </c>
      <c r="CN37" s="912" t="str">
        <f t="shared" si="90"/>
        <v/>
      </c>
      <c r="CO37" s="912" t="str">
        <f t="shared" si="90"/>
        <v/>
      </c>
      <c r="CP37" s="912" t="str">
        <f t="shared" si="90"/>
        <v/>
      </c>
      <c r="CQ37" s="912" t="str">
        <f t="shared" si="90"/>
        <v/>
      </c>
      <c r="CR37" s="912" t="str">
        <f t="shared" si="90"/>
        <v/>
      </c>
      <c r="CS37" s="912" t="str">
        <f t="shared" si="90"/>
        <v/>
      </c>
      <c r="CT37" s="912" t="str">
        <f t="shared" si="90"/>
        <v/>
      </c>
      <c r="CU37" s="912" t="str">
        <f t="shared" si="90"/>
        <v/>
      </c>
      <c r="CV37" s="912" t="str">
        <f t="shared" si="90"/>
        <v/>
      </c>
      <c r="CW37" s="917" t="str">
        <f t="shared" si="90"/>
        <v/>
      </c>
      <c r="DA37" s="585"/>
      <c r="DB37" s="587"/>
      <c r="DC37" s="1288"/>
      <c r="DD37" s="1288"/>
      <c r="DE37" s="1288"/>
      <c r="DF37" s="1288"/>
      <c r="DG37" s="1288"/>
      <c r="DH37" s="1288"/>
      <c r="DI37" s="1288"/>
      <c r="DJ37" s="1288"/>
      <c r="DK37" s="1288"/>
      <c r="DL37" s="1288"/>
      <c r="DM37" s="1288"/>
      <c r="DN37" s="1288"/>
      <c r="DO37" s="1288"/>
      <c r="DP37" s="1288"/>
      <c r="DQ37" s="1288"/>
      <c r="DR37" s="1288"/>
      <c r="DS37" s="1289"/>
    </row>
    <row r="38" spans="2:123" ht="13.5" thickBot="1" x14ac:dyDescent="0.25">
      <c r="I38" s="1268"/>
      <c r="J38" s="1269"/>
      <c r="K38" s="1269"/>
      <c r="L38" s="1269"/>
      <c r="M38" s="1269"/>
      <c r="N38" s="1269"/>
      <c r="O38" s="1269"/>
      <c r="P38" s="1269"/>
      <c r="Q38" s="1270"/>
      <c r="S38" s="635" t="s">
        <v>456</v>
      </c>
      <c r="T38" s="823">
        <f t="shared" ref="T38:BC38" si="91">IFERROR(ASIN(SIN($E$26)*COS(T37/$C$25)+COS($E$26)*SIN(T37/$C$25)*COS((T$4-5)*PI()/180))*180/PI(),"")</f>
        <v>0.8958991362307096</v>
      </c>
      <c r="U38" s="636">
        <f t="shared" si="91"/>
        <v>0.86867557570122089</v>
      </c>
      <c r="V38" s="636">
        <f t="shared" si="91"/>
        <v>0.81505619650702565</v>
      </c>
      <c r="W38" s="636">
        <f t="shared" si="91"/>
        <v>0.7366711796801767</v>
      </c>
      <c r="X38" s="636">
        <f t="shared" si="91"/>
        <v>0.63590334964725803</v>
      </c>
      <c r="Y38" s="636">
        <f t="shared" si="91"/>
        <v>0.51581546906446607</v>
      </c>
      <c r="Z38" s="636">
        <f t="shared" si="91"/>
        <v>0.380056914917414</v>
      </c>
      <c r="AA38" s="636">
        <f t="shared" si="91"/>
        <v>0.23275264204860271</v>
      </c>
      <c r="AB38" s="636">
        <f t="shared" si="91"/>
        <v>7.8377848583379206E-2</v>
      </c>
      <c r="AC38" s="636">
        <f t="shared" si="91"/>
        <v>-7.8377848583379317E-2</v>
      </c>
      <c r="AD38" s="636">
        <f t="shared" si="91"/>
        <v>-0.23275264204860277</v>
      </c>
      <c r="AE38" s="636">
        <f t="shared" si="91"/>
        <v>-0.38005691491741389</v>
      </c>
      <c r="AF38" s="636">
        <f t="shared" si="91"/>
        <v>-0.51581546906446574</v>
      </c>
      <c r="AG38" s="636">
        <f t="shared" si="91"/>
        <v>-0.63590334964725803</v>
      </c>
      <c r="AH38" s="636">
        <f t="shared" si="91"/>
        <v>-0.73667117968017648</v>
      </c>
      <c r="AI38" s="636">
        <f t="shared" si="91"/>
        <v>-0.81505619650702565</v>
      </c>
      <c r="AJ38" s="636">
        <f t="shared" si="91"/>
        <v>-0.86867557570122078</v>
      </c>
      <c r="AK38" s="636">
        <f t="shared" si="91"/>
        <v>-0.8958991362307096</v>
      </c>
      <c r="AL38" s="636">
        <f t="shared" si="91"/>
        <v>-0.8958991362307096</v>
      </c>
      <c r="AM38" s="636">
        <f t="shared" si="91"/>
        <v>-0.868675575701221</v>
      </c>
      <c r="AN38" s="636">
        <f t="shared" si="91"/>
        <v>-0.81505619650702565</v>
      </c>
      <c r="AO38" s="636">
        <f t="shared" si="91"/>
        <v>-0.73667117968017692</v>
      </c>
      <c r="AP38" s="636">
        <f t="shared" si="91"/>
        <v>-0.63590334964725825</v>
      </c>
      <c r="AQ38" s="636">
        <f t="shared" si="91"/>
        <v>-0.51581546906446629</v>
      </c>
      <c r="AR38" s="636">
        <f t="shared" si="91"/>
        <v>-0.38005691491741445</v>
      </c>
      <c r="AS38" s="636">
        <f t="shared" si="91"/>
        <v>-0.23275264204860255</v>
      </c>
      <c r="AT38" s="636">
        <f t="shared" si="91"/>
        <v>-7.8377848583379331E-2</v>
      </c>
      <c r="AU38" s="636">
        <f t="shared" si="91"/>
        <v>7.8377848583378984E-2</v>
      </c>
      <c r="AV38" s="636">
        <f t="shared" si="91"/>
        <v>0.23275264204860305</v>
      </c>
      <c r="AW38" s="636">
        <f t="shared" si="91"/>
        <v>0.38005691491741422</v>
      </c>
      <c r="AX38" s="636">
        <f t="shared" si="91"/>
        <v>0.51581546906446596</v>
      </c>
      <c r="AY38" s="636">
        <f t="shared" si="91"/>
        <v>0.63590334964725781</v>
      </c>
      <c r="AZ38" s="636">
        <f t="shared" si="91"/>
        <v>0.73667117968017648</v>
      </c>
      <c r="BA38" s="636">
        <f t="shared" si="91"/>
        <v>0.81505619650702543</v>
      </c>
      <c r="BB38" s="636">
        <f t="shared" si="91"/>
        <v>0.86867557570122089</v>
      </c>
      <c r="BC38" s="637">
        <f t="shared" si="91"/>
        <v>0.8958991362307096</v>
      </c>
      <c r="CB38" s="875">
        <f>RWDI_FACTORS!J137</f>
        <v>340</v>
      </c>
      <c r="CC38" s="916">
        <f t="shared" ref="CC38:CW38" si="92">IF(CC$4=$BA$6,$BA$4,"")</f>
        <v>340</v>
      </c>
      <c r="CD38" s="912" t="str">
        <f t="shared" si="92"/>
        <v/>
      </c>
      <c r="CE38" s="912" t="str">
        <f t="shared" si="92"/>
        <v/>
      </c>
      <c r="CF38" s="912" t="str">
        <f t="shared" si="92"/>
        <v/>
      </c>
      <c r="CG38" s="912" t="str">
        <f t="shared" si="92"/>
        <v/>
      </c>
      <c r="CH38" s="912" t="str">
        <f t="shared" si="92"/>
        <v/>
      </c>
      <c r="CI38" s="912" t="str">
        <f t="shared" si="92"/>
        <v/>
      </c>
      <c r="CJ38" s="912" t="str">
        <f t="shared" si="92"/>
        <v/>
      </c>
      <c r="CK38" s="912" t="str">
        <f t="shared" si="92"/>
        <v/>
      </c>
      <c r="CL38" s="912" t="str">
        <f t="shared" si="92"/>
        <v/>
      </c>
      <c r="CM38" s="912" t="str">
        <f t="shared" si="92"/>
        <v/>
      </c>
      <c r="CN38" s="912" t="str">
        <f t="shared" si="92"/>
        <v/>
      </c>
      <c r="CO38" s="912" t="str">
        <f t="shared" si="92"/>
        <v/>
      </c>
      <c r="CP38" s="912" t="str">
        <f t="shared" si="92"/>
        <v/>
      </c>
      <c r="CQ38" s="912" t="str">
        <f t="shared" si="92"/>
        <v/>
      </c>
      <c r="CR38" s="912" t="str">
        <f t="shared" si="92"/>
        <v/>
      </c>
      <c r="CS38" s="912" t="str">
        <f t="shared" si="92"/>
        <v/>
      </c>
      <c r="CT38" s="912" t="str">
        <f t="shared" si="92"/>
        <v/>
      </c>
      <c r="CU38" s="912" t="str">
        <f t="shared" si="92"/>
        <v/>
      </c>
      <c r="CV38" s="912" t="str">
        <f t="shared" si="92"/>
        <v/>
      </c>
      <c r="CW38" s="917" t="str">
        <f t="shared" si="92"/>
        <v/>
      </c>
      <c r="DA38" s="585"/>
      <c r="DB38" s="587"/>
      <c r="DC38" s="1288"/>
      <c r="DD38" s="1288"/>
      <c r="DE38" s="1288"/>
      <c r="DF38" s="1288"/>
      <c r="DG38" s="1288"/>
      <c r="DH38" s="1288"/>
      <c r="DI38" s="1288"/>
      <c r="DJ38" s="1288"/>
      <c r="DK38" s="1288"/>
      <c r="DL38" s="1288"/>
      <c r="DM38" s="1288"/>
      <c r="DN38" s="1288"/>
      <c r="DO38" s="1288"/>
      <c r="DP38" s="1288"/>
      <c r="DQ38" s="1288"/>
      <c r="DR38" s="1288"/>
      <c r="DS38" s="1289"/>
    </row>
    <row r="39" spans="2:123" x14ac:dyDescent="0.2">
      <c r="I39" s="577" t="s">
        <v>589</v>
      </c>
      <c r="S39" s="635" t="s">
        <v>457</v>
      </c>
      <c r="T39" s="823">
        <f t="shared" ref="T39:BC39" si="93">IFERROR($C$27+ATAN2(COS(T37/$C$25)-SIN($E$26)*SIN(T38*PI()/180),SIN((T$4-5)*PI()/180)*SIN(T37/$C$25)*COS($E$26))*180/PI(),"")</f>
        <v>7.8387431127548243E-2</v>
      </c>
      <c r="U39" s="636">
        <f t="shared" si="93"/>
        <v>0.23277939542298065</v>
      </c>
      <c r="V39" s="636">
        <f t="shared" si="93"/>
        <v>0.3800953733407848</v>
      </c>
      <c r="W39" s="636">
        <f t="shared" si="93"/>
        <v>0.51585810817244437</v>
      </c>
      <c r="X39" s="636">
        <f t="shared" si="93"/>
        <v>0.63594251826108461</v>
      </c>
      <c r="Y39" s="636">
        <f t="shared" si="93"/>
        <v>0.7367010352760629</v>
      </c>
      <c r="Z39" s="636">
        <f t="shared" si="93"/>
        <v>0.81507412925437384</v>
      </c>
      <c r="AA39" s="636">
        <f t="shared" si="93"/>
        <v>0.86868274386391409</v>
      </c>
      <c r="AB39" s="636">
        <f t="shared" si="93"/>
        <v>0.89589997454384118</v>
      </c>
      <c r="AC39" s="636">
        <f t="shared" si="93"/>
        <v>0.89589997454384118</v>
      </c>
      <c r="AD39" s="636">
        <f t="shared" si="93"/>
        <v>0.86868274386391409</v>
      </c>
      <c r="AE39" s="636">
        <f t="shared" si="93"/>
        <v>0.81507412925437406</v>
      </c>
      <c r="AF39" s="636">
        <f t="shared" si="93"/>
        <v>0.73670103527606312</v>
      </c>
      <c r="AG39" s="636">
        <f t="shared" si="93"/>
        <v>0.63594251826108461</v>
      </c>
      <c r="AH39" s="636">
        <f t="shared" si="93"/>
        <v>0.51585810817244471</v>
      </c>
      <c r="AI39" s="636">
        <f t="shared" si="93"/>
        <v>0.38009537334078486</v>
      </c>
      <c r="AJ39" s="636">
        <f t="shared" si="93"/>
        <v>0.2327793954229809</v>
      </c>
      <c r="AK39" s="636">
        <f t="shared" si="93"/>
        <v>7.838743112754866E-2</v>
      </c>
      <c r="AL39" s="636">
        <f t="shared" si="93"/>
        <v>-7.8387431127548049E-2</v>
      </c>
      <c r="AM39" s="636">
        <f t="shared" si="93"/>
        <v>-0.23277939542298029</v>
      </c>
      <c r="AN39" s="636">
        <f t="shared" si="93"/>
        <v>-0.38009537334078464</v>
      </c>
      <c r="AO39" s="636">
        <f t="shared" si="93"/>
        <v>-0.51585810817244415</v>
      </c>
      <c r="AP39" s="636">
        <f t="shared" si="93"/>
        <v>-0.63594251826108461</v>
      </c>
      <c r="AQ39" s="636">
        <f t="shared" si="93"/>
        <v>-0.73670103527606268</v>
      </c>
      <c r="AR39" s="636">
        <f t="shared" si="93"/>
        <v>-0.81507412925437372</v>
      </c>
      <c r="AS39" s="636">
        <f t="shared" si="93"/>
        <v>-0.86868274386391409</v>
      </c>
      <c r="AT39" s="636">
        <f t="shared" si="93"/>
        <v>-0.89589997454384118</v>
      </c>
      <c r="AU39" s="636">
        <f t="shared" si="93"/>
        <v>-0.89589997454384118</v>
      </c>
      <c r="AV39" s="636">
        <f t="shared" si="93"/>
        <v>-0.86868274386391398</v>
      </c>
      <c r="AW39" s="636">
        <f t="shared" si="93"/>
        <v>-0.81507412925437384</v>
      </c>
      <c r="AX39" s="636">
        <f t="shared" si="93"/>
        <v>-0.7367010352760629</v>
      </c>
      <c r="AY39" s="636">
        <f t="shared" si="93"/>
        <v>-0.63594251826108472</v>
      </c>
      <c r="AZ39" s="636">
        <f t="shared" si="93"/>
        <v>-0.51585810817244482</v>
      </c>
      <c r="BA39" s="636">
        <f t="shared" si="93"/>
        <v>-0.3800953733407853</v>
      </c>
      <c r="BB39" s="636">
        <f t="shared" si="93"/>
        <v>-0.23277939542298062</v>
      </c>
      <c r="BC39" s="637">
        <f t="shared" si="93"/>
        <v>-7.8387431127548382E-2</v>
      </c>
      <c r="CB39" s="875">
        <f>RWDI_FACTORS!J138</f>
        <v>350</v>
      </c>
      <c r="CC39" s="916">
        <f t="shared" ref="CC39:CW39" si="94">IF(CC$4=$BB$6,$BB$4,"")</f>
        <v>350</v>
      </c>
      <c r="CD39" s="912" t="str">
        <f t="shared" si="94"/>
        <v/>
      </c>
      <c r="CE39" s="912" t="str">
        <f t="shared" si="94"/>
        <v/>
      </c>
      <c r="CF39" s="912" t="str">
        <f t="shared" si="94"/>
        <v/>
      </c>
      <c r="CG39" s="912" t="str">
        <f t="shared" si="94"/>
        <v/>
      </c>
      <c r="CH39" s="912" t="str">
        <f t="shared" si="94"/>
        <v/>
      </c>
      <c r="CI39" s="912" t="str">
        <f t="shared" si="94"/>
        <v/>
      </c>
      <c r="CJ39" s="912" t="str">
        <f t="shared" si="94"/>
        <v/>
      </c>
      <c r="CK39" s="912" t="str">
        <f t="shared" si="94"/>
        <v/>
      </c>
      <c r="CL39" s="912" t="str">
        <f t="shared" si="94"/>
        <v/>
      </c>
      <c r="CM39" s="912" t="str">
        <f t="shared" si="94"/>
        <v/>
      </c>
      <c r="CN39" s="912" t="str">
        <f t="shared" si="94"/>
        <v/>
      </c>
      <c r="CO39" s="912" t="str">
        <f t="shared" si="94"/>
        <v/>
      </c>
      <c r="CP39" s="912" t="str">
        <f t="shared" si="94"/>
        <v/>
      </c>
      <c r="CQ39" s="912" t="str">
        <f t="shared" si="94"/>
        <v/>
      </c>
      <c r="CR39" s="912" t="str">
        <f t="shared" si="94"/>
        <v/>
      </c>
      <c r="CS39" s="912" t="str">
        <f t="shared" si="94"/>
        <v/>
      </c>
      <c r="CT39" s="912" t="str">
        <f t="shared" si="94"/>
        <v/>
      </c>
      <c r="CU39" s="912" t="str">
        <f t="shared" si="94"/>
        <v/>
      </c>
      <c r="CV39" s="912" t="str">
        <f t="shared" si="94"/>
        <v/>
      </c>
      <c r="CW39" s="917" t="str">
        <f t="shared" si="94"/>
        <v/>
      </c>
      <c r="DA39" s="585"/>
      <c r="DB39" s="587"/>
      <c r="DC39" s="1288"/>
      <c r="DD39" s="1288"/>
      <c r="DE39" s="1288"/>
      <c r="DF39" s="1288"/>
      <c r="DG39" s="1288"/>
      <c r="DH39" s="1288"/>
      <c r="DI39" s="1288"/>
      <c r="DJ39" s="1288"/>
      <c r="DK39" s="1288"/>
      <c r="DL39" s="1288"/>
      <c r="DM39" s="1288"/>
      <c r="DN39" s="1288"/>
      <c r="DO39" s="1288"/>
      <c r="DP39" s="1288"/>
      <c r="DQ39" s="1288"/>
      <c r="DR39" s="1288"/>
      <c r="DS39" s="1289"/>
    </row>
    <row r="40" spans="2:123" ht="13.5" thickBot="1" x14ac:dyDescent="0.25">
      <c r="S40" s="635" t="s">
        <v>458</v>
      </c>
      <c r="T40" s="823">
        <f t="shared" ref="T40:BC40" si="95">IFERROR(ASIN(SIN($E$26)*COS(T37/$C$25)+COS($E$26)*SIN(T37/$C$25)*COS((T$4+5)*PI()/180))*180/PI(),"")</f>
        <v>0.86867557570122089</v>
      </c>
      <c r="U40" s="636">
        <f t="shared" si="95"/>
        <v>0.81505619650702565</v>
      </c>
      <c r="V40" s="636">
        <f t="shared" si="95"/>
        <v>0.7366711796801767</v>
      </c>
      <c r="W40" s="636">
        <f t="shared" si="95"/>
        <v>0.63590334964725803</v>
      </c>
      <c r="X40" s="636">
        <f t="shared" si="95"/>
        <v>0.51581546906446607</v>
      </c>
      <c r="Y40" s="636">
        <f t="shared" si="95"/>
        <v>0.380056914917414</v>
      </c>
      <c r="Z40" s="636">
        <f t="shared" si="95"/>
        <v>0.23275264204860271</v>
      </c>
      <c r="AA40" s="636">
        <f t="shared" si="95"/>
        <v>7.8377848583379206E-2</v>
      </c>
      <c r="AB40" s="636">
        <f t="shared" si="95"/>
        <v>-7.8377848583379317E-2</v>
      </c>
      <c r="AC40" s="636">
        <f t="shared" si="95"/>
        <v>-0.23275264204860277</v>
      </c>
      <c r="AD40" s="636">
        <f t="shared" si="95"/>
        <v>-0.38005691491741389</v>
      </c>
      <c r="AE40" s="636">
        <f t="shared" si="95"/>
        <v>-0.51581546906446574</v>
      </c>
      <c r="AF40" s="636">
        <f t="shared" si="95"/>
        <v>-0.63590334964725803</v>
      </c>
      <c r="AG40" s="636">
        <f t="shared" si="95"/>
        <v>-0.73667117968017648</v>
      </c>
      <c r="AH40" s="636">
        <f t="shared" si="95"/>
        <v>-0.81505619650702565</v>
      </c>
      <c r="AI40" s="636">
        <f t="shared" si="95"/>
        <v>-0.86867557570122078</v>
      </c>
      <c r="AJ40" s="636">
        <f t="shared" si="95"/>
        <v>-0.8958991362307096</v>
      </c>
      <c r="AK40" s="636">
        <f t="shared" si="95"/>
        <v>-0.8958991362307096</v>
      </c>
      <c r="AL40" s="636">
        <f t="shared" si="95"/>
        <v>-0.868675575701221</v>
      </c>
      <c r="AM40" s="636">
        <f t="shared" si="95"/>
        <v>-0.81505619650702565</v>
      </c>
      <c r="AN40" s="636">
        <f t="shared" si="95"/>
        <v>-0.73667117968017692</v>
      </c>
      <c r="AO40" s="636">
        <f t="shared" si="95"/>
        <v>-0.63590334964725825</v>
      </c>
      <c r="AP40" s="636">
        <f t="shared" si="95"/>
        <v>-0.51581546906446629</v>
      </c>
      <c r="AQ40" s="636">
        <f t="shared" si="95"/>
        <v>-0.38005691491741445</v>
      </c>
      <c r="AR40" s="636">
        <f t="shared" si="95"/>
        <v>-0.23275264204860255</v>
      </c>
      <c r="AS40" s="636">
        <f t="shared" si="95"/>
        <v>-7.8377848583379331E-2</v>
      </c>
      <c r="AT40" s="636">
        <f t="shared" si="95"/>
        <v>7.8377848583378984E-2</v>
      </c>
      <c r="AU40" s="636">
        <f t="shared" si="95"/>
        <v>0.23275264204860305</v>
      </c>
      <c r="AV40" s="636">
        <f t="shared" si="95"/>
        <v>0.38005691491741422</v>
      </c>
      <c r="AW40" s="636">
        <f t="shared" si="95"/>
        <v>0.51581546906446596</v>
      </c>
      <c r="AX40" s="636">
        <f t="shared" si="95"/>
        <v>0.63590334964725781</v>
      </c>
      <c r="AY40" s="636">
        <f t="shared" si="95"/>
        <v>0.73667117968017648</v>
      </c>
      <c r="AZ40" s="636">
        <f t="shared" si="95"/>
        <v>0.81505619650702543</v>
      </c>
      <c r="BA40" s="636">
        <f t="shared" si="95"/>
        <v>0.86867557570122089</v>
      </c>
      <c r="BB40" s="636">
        <f t="shared" si="95"/>
        <v>0.8958991362307096</v>
      </c>
      <c r="BC40" s="637">
        <f t="shared" si="95"/>
        <v>0.89589913623070938</v>
      </c>
      <c r="CB40" s="875">
        <f>RWDI_FACTORS!J139</f>
        <v>360</v>
      </c>
      <c r="CC40" s="918">
        <f t="shared" ref="CC40:CW40" si="96">IF(CC$4=$BC$6,$BC$4,"")</f>
        <v>360</v>
      </c>
      <c r="CD40" s="919" t="str">
        <f t="shared" si="96"/>
        <v/>
      </c>
      <c r="CE40" s="919" t="str">
        <f t="shared" si="96"/>
        <v/>
      </c>
      <c r="CF40" s="919" t="str">
        <f t="shared" si="96"/>
        <v/>
      </c>
      <c r="CG40" s="919" t="str">
        <f t="shared" si="96"/>
        <v/>
      </c>
      <c r="CH40" s="919" t="str">
        <f t="shared" si="96"/>
        <v/>
      </c>
      <c r="CI40" s="919" t="str">
        <f t="shared" si="96"/>
        <v/>
      </c>
      <c r="CJ40" s="919" t="str">
        <f t="shared" si="96"/>
        <v/>
      </c>
      <c r="CK40" s="919" t="str">
        <f t="shared" si="96"/>
        <v/>
      </c>
      <c r="CL40" s="919" t="str">
        <f t="shared" si="96"/>
        <v/>
      </c>
      <c r="CM40" s="919" t="str">
        <f t="shared" si="96"/>
        <v/>
      </c>
      <c r="CN40" s="919" t="str">
        <f t="shared" si="96"/>
        <v/>
      </c>
      <c r="CO40" s="919" t="str">
        <f t="shared" si="96"/>
        <v/>
      </c>
      <c r="CP40" s="919" t="str">
        <f t="shared" si="96"/>
        <v/>
      </c>
      <c r="CQ40" s="919" t="str">
        <f t="shared" si="96"/>
        <v/>
      </c>
      <c r="CR40" s="919" t="str">
        <f t="shared" si="96"/>
        <v/>
      </c>
      <c r="CS40" s="919" t="str">
        <f t="shared" si="96"/>
        <v/>
      </c>
      <c r="CT40" s="919" t="str">
        <f t="shared" si="96"/>
        <v/>
      </c>
      <c r="CU40" s="919" t="str">
        <f t="shared" si="96"/>
        <v/>
      </c>
      <c r="CV40" s="919" t="str">
        <f t="shared" si="96"/>
        <v/>
      </c>
      <c r="CW40" s="920" t="str">
        <f t="shared" si="96"/>
        <v/>
      </c>
      <c r="DA40" s="585"/>
      <c r="DB40" s="587"/>
      <c r="DC40" s="1288"/>
      <c r="DD40" s="1288"/>
      <c r="DE40" s="1288"/>
      <c r="DF40" s="1288"/>
      <c r="DG40" s="1288"/>
      <c r="DH40" s="1288"/>
      <c r="DI40" s="1288"/>
      <c r="DJ40" s="1288"/>
      <c r="DK40" s="1288"/>
      <c r="DL40" s="1288"/>
      <c r="DM40" s="1288"/>
      <c r="DN40" s="1288"/>
      <c r="DO40" s="1288"/>
      <c r="DP40" s="1288"/>
      <c r="DQ40" s="1288"/>
      <c r="DR40" s="1288"/>
      <c r="DS40" s="1289"/>
    </row>
    <row r="41" spans="2:123" ht="13.5" thickBot="1" x14ac:dyDescent="0.25">
      <c r="S41" s="638" t="s">
        <v>459</v>
      </c>
      <c r="T41" s="824">
        <f t="shared" ref="T41:BC41" si="97">IFERROR($C$27+ATAN2(COS(T39/$C$25)-SIN($E$26)*SIN(T40*PI()/180),SIN((T$4+5)*PI()/180)*SIN(T37/$C$25)*COS($E$26))*180/PI(),"")</f>
        <v>0.2327507215976371</v>
      </c>
      <c r="U41" s="639">
        <f t="shared" si="97"/>
        <v>0.38004855395397791</v>
      </c>
      <c r="V41" s="639">
        <f t="shared" si="97"/>
        <v>0.5157945673732075</v>
      </c>
      <c r="W41" s="639">
        <f t="shared" si="97"/>
        <v>0.63586418826989588</v>
      </c>
      <c r="X41" s="639">
        <f t="shared" si="97"/>
        <v>0.7366102972558326</v>
      </c>
      <c r="Y41" s="639">
        <f t="shared" si="97"/>
        <v>0.81497374065309858</v>
      </c>
      <c r="Z41" s="639">
        <f t="shared" si="97"/>
        <v>0.86857575451882618</v>
      </c>
      <c r="AA41" s="639">
        <f t="shared" si="97"/>
        <v>0.8957896341261582</v>
      </c>
      <c r="AB41" s="639">
        <f t="shared" si="97"/>
        <v>0.89578963412615886</v>
      </c>
      <c r="AC41" s="639">
        <f t="shared" si="97"/>
        <v>0.86857575451882763</v>
      </c>
      <c r="AD41" s="639">
        <f t="shared" si="97"/>
        <v>0.81497374065310069</v>
      </c>
      <c r="AE41" s="639">
        <f t="shared" si="97"/>
        <v>0.73661029725583527</v>
      </c>
      <c r="AF41" s="639">
        <f t="shared" si="97"/>
        <v>0.6358641882698981</v>
      </c>
      <c r="AG41" s="639">
        <f t="shared" si="97"/>
        <v>0.5157945673732095</v>
      </c>
      <c r="AH41" s="639">
        <f t="shared" si="97"/>
        <v>0.38004855395397896</v>
      </c>
      <c r="AI41" s="639">
        <f t="shared" si="97"/>
        <v>0.23275072159763774</v>
      </c>
      <c r="AJ41" s="639">
        <f t="shared" si="97"/>
        <v>7.837777524958732E-2</v>
      </c>
      <c r="AK41" s="639">
        <f t="shared" si="97"/>
        <v>-7.8377775249586654E-2</v>
      </c>
      <c r="AL41" s="639">
        <f t="shared" si="97"/>
        <v>-0.23275072159763674</v>
      </c>
      <c r="AM41" s="639">
        <f t="shared" si="97"/>
        <v>-0.3800485539539778</v>
      </c>
      <c r="AN41" s="639">
        <f t="shared" si="97"/>
        <v>-0.51579456737320728</v>
      </c>
      <c r="AO41" s="639">
        <f t="shared" si="97"/>
        <v>-0.63586418826989588</v>
      </c>
      <c r="AP41" s="639">
        <f t="shared" si="97"/>
        <v>-0.73661029725583238</v>
      </c>
      <c r="AQ41" s="639">
        <f t="shared" si="97"/>
        <v>-0.81497374065309847</v>
      </c>
      <c r="AR41" s="639">
        <f t="shared" si="97"/>
        <v>-0.86857575451882618</v>
      </c>
      <c r="AS41" s="639">
        <f t="shared" si="97"/>
        <v>-0.8957896341261582</v>
      </c>
      <c r="AT41" s="639">
        <f t="shared" si="97"/>
        <v>-0.89578963412615886</v>
      </c>
      <c r="AU41" s="639">
        <f t="shared" si="97"/>
        <v>-0.8685757545188274</v>
      </c>
      <c r="AV41" s="639">
        <f t="shared" si="97"/>
        <v>-0.81497374065310069</v>
      </c>
      <c r="AW41" s="639">
        <f t="shared" si="97"/>
        <v>-0.73661029725583493</v>
      </c>
      <c r="AX41" s="639">
        <f t="shared" si="97"/>
        <v>-0.63586418826989821</v>
      </c>
      <c r="AY41" s="639">
        <f t="shared" si="97"/>
        <v>-0.51579456737320961</v>
      </c>
      <c r="AZ41" s="639">
        <f t="shared" si="97"/>
        <v>-0.38004855395397946</v>
      </c>
      <c r="BA41" s="639">
        <f t="shared" si="97"/>
        <v>-0.23275072159763743</v>
      </c>
      <c r="BB41" s="639">
        <f t="shared" si="97"/>
        <v>-7.8377775249587042E-2</v>
      </c>
      <c r="BC41" s="640">
        <f t="shared" si="97"/>
        <v>7.8377775249587334E-2</v>
      </c>
      <c r="CB41" s="1293" t="s">
        <v>489</v>
      </c>
      <c r="CC41" s="1294"/>
      <c r="CD41" s="1294"/>
      <c r="CE41" s="1294"/>
      <c r="CF41" s="1294"/>
      <c r="CG41" s="1294"/>
      <c r="CH41" s="1294"/>
      <c r="CI41" s="1294"/>
      <c r="CJ41" s="1294"/>
      <c r="CK41" s="1294"/>
      <c r="CL41" s="1294"/>
      <c r="CM41" s="1294"/>
      <c r="CN41" s="1294"/>
      <c r="CO41" s="1294"/>
      <c r="CP41" s="1294"/>
      <c r="CQ41" s="1294"/>
      <c r="CR41" s="1294"/>
      <c r="CS41" s="1294"/>
      <c r="CT41" s="1294"/>
      <c r="CU41" s="1294"/>
      <c r="CV41" s="1294"/>
      <c r="CW41" s="1295"/>
      <c r="DA41" s="585"/>
      <c r="DB41" s="587"/>
      <c r="DC41" s="1288"/>
      <c r="DD41" s="1288"/>
      <c r="DE41" s="1288"/>
      <c r="DF41" s="1288"/>
      <c r="DG41" s="1288"/>
      <c r="DH41" s="1288"/>
      <c r="DI41" s="1288"/>
      <c r="DJ41" s="1288"/>
      <c r="DK41" s="1288"/>
      <c r="DL41" s="1288"/>
      <c r="DM41" s="1288"/>
      <c r="DN41" s="1288"/>
      <c r="DO41" s="1288"/>
      <c r="DP41" s="1288"/>
      <c r="DQ41" s="1288"/>
      <c r="DR41" s="1288"/>
      <c r="DS41" s="1289"/>
    </row>
    <row r="42" spans="2:123" ht="13.5" thickBot="1" x14ac:dyDescent="0.25">
      <c r="B42" s="577" t="s">
        <v>566</v>
      </c>
      <c r="S42" s="641" t="s">
        <v>508</v>
      </c>
      <c r="CB42" s="921">
        <f>CB5</f>
        <v>10</v>
      </c>
      <c r="CC42" s="923" t="str">
        <f t="shared" ref="CC42:CG42" si="98">IF(CC5="","[",CONCATENATE("[",CC5))</f>
        <v>[10</v>
      </c>
      <c r="CD42" s="924" t="str">
        <f t="shared" si="98"/>
        <v>[</v>
      </c>
      <c r="CE42" s="924" t="str">
        <f t="shared" si="98"/>
        <v>[</v>
      </c>
      <c r="CF42" s="924" t="str">
        <f t="shared" si="98"/>
        <v>[</v>
      </c>
      <c r="CG42" s="924" t="str">
        <f t="shared" si="98"/>
        <v>[</v>
      </c>
      <c r="CH42" s="924" t="str">
        <f t="shared" ref="CH42:CW42" si="99">IF(CH5="","[",CONCATENATE("[",CH5))</f>
        <v>[</v>
      </c>
      <c r="CI42" s="924" t="str">
        <f t="shared" si="99"/>
        <v>[</v>
      </c>
      <c r="CJ42" s="924" t="str">
        <f t="shared" si="99"/>
        <v>[</v>
      </c>
      <c r="CK42" s="924" t="str">
        <f t="shared" si="99"/>
        <v>[</v>
      </c>
      <c r="CL42" s="924" t="str">
        <f t="shared" si="99"/>
        <v>[</v>
      </c>
      <c r="CM42" s="924" t="str">
        <f t="shared" si="99"/>
        <v>[</v>
      </c>
      <c r="CN42" s="924" t="str">
        <f t="shared" si="99"/>
        <v>[</v>
      </c>
      <c r="CO42" s="924" t="str">
        <f t="shared" si="99"/>
        <v>[</v>
      </c>
      <c r="CP42" s="924" t="str">
        <f t="shared" si="99"/>
        <v>[</v>
      </c>
      <c r="CQ42" s="924" t="str">
        <f t="shared" si="99"/>
        <v>[</v>
      </c>
      <c r="CR42" s="924" t="str">
        <f t="shared" si="99"/>
        <v>[</v>
      </c>
      <c r="CS42" s="924" t="str">
        <f t="shared" si="99"/>
        <v>[</v>
      </c>
      <c r="CT42" s="924" t="str">
        <f t="shared" si="99"/>
        <v>[</v>
      </c>
      <c r="CU42" s="924" t="str">
        <f t="shared" si="99"/>
        <v>[</v>
      </c>
      <c r="CV42" s="924" t="str">
        <f t="shared" si="99"/>
        <v>[</v>
      </c>
      <c r="CW42" s="925" t="str">
        <f t="shared" si="99"/>
        <v>[</v>
      </c>
      <c r="DA42" s="585"/>
      <c r="DB42" s="587"/>
      <c r="DC42" s="1288"/>
      <c r="DD42" s="1288"/>
      <c r="DE42" s="1288"/>
      <c r="DF42" s="1288"/>
      <c r="DG42" s="1288"/>
      <c r="DH42" s="1288"/>
      <c r="DI42" s="1288"/>
      <c r="DJ42" s="1288"/>
      <c r="DK42" s="1288"/>
      <c r="DL42" s="1288"/>
      <c r="DM42" s="1288"/>
      <c r="DN42" s="1288"/>
      <c r="DO42" s="1288"/>
      <c r="DP42" s="1288"/>
      <c r="DQ42" s="1288"/>
      <c r="DR42" s="1288"/>
      <c r="DS42" s="1289"/>
    </row>
    <row r="43" spans="2:123" ht="13.5" thickBot="1" x14ac:dyDescent="0.25">
      <c r="BY43" s="1245" t="s">
        <v>562</v>
      </c>
      <c r="BZ43" s="1245"/>
      <c r="CA43" s="1246"/>
      <c r="CB43" s="921">
        <f t="shared" ref="CB43:CB77" si="100">CB6</f>
        <v>20</v>
      </c>
      <c r="CC43" s="926" t="str">
        <f>IF(CC6="",CC42,IF(CC42="[",CONCATENATE(CC42,CC6),CONCATENATE(CC42,",",CC6)))</f>
        <v>[10,20</v>
      </c>
      <c r="CD43" s="922" t="str">
        <f t="shared" ref="CD43:CW43" si="101">IF(CD6="",CD42,IF(CD42="[",CONCATENATE(CD42,CD6),CONCATENATE(CD42,",",CD6)))</f>
        <v>[</v>
      </c>
      <c r="CE43" s="922" t="str">
        <f t="shared" si="101"/>
        <v>[</v>
      </c>
      <c r="CF43" s="922" t="str">
        <f t="shared" si="101"/>
        <v>[</v>
      </c>
      <c r="CG43" s="922" t="str">
        <f t="shared" si="101"/>
        <v>[</v>
      </c>
      <c r="CH43" s="922" t="str">
        <f t="shared" si="101"/>
        <v>[</v>
      </c>
      <c r="CI43" s="922" t="str">
        <f t="shared" si="101"/>
        <v>[</v>
      </c>
      <c r="CJ43" s="922" t="str">
        <f t="shared" si="101"/>
        <v>[</v>
      </c>
      <c r="CK43" s="922" t="str">
        <f t="shared" si="101"/>
        <v>[</v>
      </c>
      <c r="CL43" s="922" t="str">
        <f t="shared" si="101"/>
        <v>[</v>
      </c>
      <c r="CM43" s="922" t="str">
        <f t="shared" si="101"/>
        <v>[</v>
      </c>
      <c r="CN43" s="922" t="str">
        <f t="shared" si="101"/>
        <v>[</v>
      </c>
      <c r="CO43" s="922" t="str">
        <f t="shared" si="101"/>
        <v>[</v>
      </c>
      <c r="CP43" s="922" t="str">
        <f t="shared" si="101"/>
        <v>[</v>
      </c>
      <c r="CQ43" s="922" t="str">
        <f t="shared" si="101"/>
        <v>[</v>
      </c>
      <c r="CR43" s="922" t="str">
        <f t="shared" si="101"/>
        <v>[</v>
      </c>
      <c r="CS43" s="922" t="str">
        <f t="shared" si="101"/>
        <v>[</v>
      </c>
      <c r="CT43" s="922" t="str">
        <f t="shared" si="101"/>
        <v>[</v>
      </c>
      <c r="CU43" s="922" t="str">
        <f t="shared" si="101"/>
        <v>[</v>
      </c>
      <c r="CV43" s="922" t="str">
        <f t="shared" si="101"/>
        <v>[</v>
      </c>
      <c r="CW43" s="927" t="str">
        <f t="shared" si="101"/>
        <v>[</v>
      </c>
      <c r="DA43" s="585"/>
      <c r="DB43" s="587"/>
      <c r="DC43" s="1288"/>
      <c r="DD43" s="1288"/>
      <c r="DE43" s="1288"/>
      <c r="DF43" s="1288"/>
      <c r="DG43" s="1288"/>
      <c r="DH43" s="1288"/>
      <c r="DI43" s="1288"/>
      <c r="DJ43" s="1288"/>
      <c r="DK43" s="1288"/>
      <c r="DL43" s="1288"/>
      <c r="DM43" s="1288"/>
      <c r="DN43" s="1288"/>
      <c r="DO43" s="1288"/>
      <c r="DP43" s="1288"/>
      <c r="DQ43" s="1288"/>
      <c r="DR43" s="1288"/>
      <c r="DS43" s="1289"/>
    </row>
    <row r="44" spans="2:123" ht="13.5" thickBot="1" x14ac:dyDescent="0.25">
      <c r="CA44" s="577" t="s">
        <v>563</v>
      </c>
      <c r="CB44" s="921">
        <f t="shared" si="100"/>
        <v>30</v>
      </c>
      <c r="CC44" s="926" t="str">
        <f t="shared" ref="CC44:CC76" si="102">IF(CC7="",CC43,IF(CC43="[",CONCATENATE(CC43,CC7),CONCATENATE(CC43,",",CC7)))</f>
        <v>[10,20,30</v>
      </c>
      <c r="CD44" s="922" t="str">
        <f t="shared" ref="CD44:CD76" si="103">IF(CD7="",CD43,IF(CD43="[",CONCATENATE(CD43,CD7),CONCATENATE(CD43,",",CD7)))</f>
        <v>[</v>
      </c>
      <c r="CE44" s="922" t="str">
        <f t="shared" ref="CE44:CE76" si="104">IF(CE7="",CE43,IF(CE43="[",CONCATENATE(CE43,CE7),CONCATENATE(CE43,",",CE7)))</f>
        <v>[</v>
      </c>
      <c r="CF44" s="922" t="str">
        <f t="shared" ref="CF44:CF76" si="105">IF(CF7="",CF43,IF(CF43="[",CONCATENATE(CF43,CF7),CONCATENATE(CF43,",",CF7)))</f>
        <v>[</v>
      </c>
      <c r="CG44" s="922" t="str">
        <f t="shared" ref="CG44:CG76" si="106">IF(CG7="",CG43,IF(CG43="[",CONCATENATE(CG43,CG7),CONCATENATE(CG43,",",CG7)))</f>
        <v>[</v>
      </c>
      <c r="CH44" s="922" t="str">
        <f t="shared" ref="CH44:CH76" si="107">IF(CH7="",CH43,IF(CH43="[",CONCATENATE(CH43,CH7),CONCATENATE(CH43,",",CH7)))</f>
        <v>[</v>
      </c>
      <c r="CI44" s="922" t="str">
        <f t="shared" ref="CI44:CI76" si="108">IF(CI7="",CI43,IF(CI43="[",CONCATENATE(CI43,CI7),CONCATENATE(CI43,",",CI7)))</f>
        <v>[</v>
      </c>
      <c r="CJ44" s="922" t="str">
        <f t="shared" ref="CJ44:CJ76" si="109">IF(CJ7="",CJ43,IF(CJ43="[",CONCATENATE(CJ43,CJ7),CONCATENATE(CJ43,",",CJ7)))</f>
        <v>[</v>
      </c>
      <c r="CK44" s="922" t="str">
        <f t="shared" ref="CK44:CK76" si="110">IF(CK7="",CK43,IF(CK43="[",CONCATENATE(CK43,CK7),CONCATENATE(CK43,",",CK7)))</f>
        <v>[</v>
      </c>
      <c r="CL44" s="922" t="str">
        <f t="shared" ref="CL44:CL76" si="111">IF(CL7="",CL43,IF(CL43="[",CONCATENATE(CL43,CL7),CONCATENATE(CL43,",",CL7)))</f>
        <v>[</v>
      </c>
      <c r="CM44" s="922" t="str">
        <f t="shared" ref="CM44:CM76" si="112">IF(CM7="",CM43,IF(CM43="[",CONCATENATE(CM43,CM7),CONCATENATE(CM43,",",CM7)))</f>
        <v>[</v>
      </c>
      <c r="CN44" s="922" t="str">
        <f t="shared" ref="CN44:CN76" si="113">IF(CN7="",CN43,IF(CN43="[",CONCATENATE(CN43,CN7),CONCATENATE(CN43,",",CN7)))</f>
        <v>[</v>
      </c>
      <c r="CO44" s="922" t="str">
        <f t="shared" ref="CO44:CO76" si="114">IF(CO7="",CO43,IF(CO43="[",CONCATENATE(CO43,CO7),CONCATENATE(CO43,",",CO7)))</f>
        <v>[</v>
      </c>
      <c r="CP44" s="922" t="str">
        <f t="shared" ref="CP44:CP76" si="115">IF(CP7="",CP43,IF(CP43="[",CONCATENATE(CP43,CP7),CONCATENATE(CP43,",",CP7)))</f>
        <v>[</v>
      </c>
      <c r="CQ44" s="922" t="str">
        <f t="shared" ref="CQ44:CQ76" si="116">IF(CQ7="",CQ43,IF(CQ43="[",CONCATENATE(CQ43,CQ7),CONCATENATE(CQ43,",",CQ7)))</f>
        <v>[</v>
      </c>
      <c r="CR44" s="922" t="str">
        <f t="shared" ref="CR44:CR76" si="117">IF(CR7="",CR43,IF(CR43="[",CONCATENATE(CR43,CR7),CONCATENATE(CR43,",",CR7)))</f>
        <v>[</v>
      </c>
      <c r="CS44" s="922" t="str">
        <f t="shared" ref="CS44:CS76" si="118">IF(CS7="",CS43,IF(CS43="[",CONCATENATE(CS43,CS7),CONCATENATE(CS43,",",CS7)))</f>
        <v>[</v>
      </c>
      <c r="CT44" s="922" t="str">
        <f t="shared" ref="CT44:CT76" si="119">IF(CT7="",CT43,IF(CT43="[",CONCATENATE(CT43,CT7),CONCATENATE(CT43,",",CT7)))</f>
        <v>[</v>
      </c>
      <c r="CU44" s="922" t="str">
        <f t="shared" ref="CU44:CU76" si="120">IF(CU7="",CU43,IF(CU43="[",CONCATENATE(CU43,CU7),CONCATENATE(CU43,",",CU7)))</f>
        <v>[</v>
      </c>
      <c r="CV44" s="922" t="str">
        <f t="shared" ref="CV44:CV76" si="121">IF(CV7="",CV43,IF(CV43="[",CONCATENATE(CV43,CV7),CONCATENATE(CV43,",",CV7)))</f>
        <v>[</v>
      </c>
      <c r="CW44" s="927" t="str">
        <f t="shared" ref="CW44:CW76" si="122">IF(CW7="",CW43,IF(CW43="[",CONCATENATE(CW43,CW7),CONCATENATE(CW43,",",CW7)))</f>
        <v>[</v>
      </c>
      <c r="DA44" s="585"/>
      <c r="DB44" s="587"/>
      <c r="DC44" s="1288"/>
      <c r="DD44" s="1288"/>
      <c r="DE44" s="1288"/>
      <c r="DF44" s="1288"/>
      <c r="DG44" s="1288"/>
      <c r="DH44" s="1288"/>
      <c r="DI44" s="1288"/>
      <c r="DJ44" s="1288"/>
      <c r="DK44" s="1288"/>
      <c r="DL44" s="1288"/>
      <c r="DM44" s="1288"/>
      <c r="DN44" s="1288"/>
      <c r="DO44" s="1288"/>
      <c r="DP44" s="1288"/>
      <c r="DQ44" s="1288"/>
      <c r="DR44" s="1288"/>
      <c r="DS44" s="1289"/>
    </row>
    <row r="45" spans="2:123" ht="16.5" thickBot="1" x14ac:dyDescent="0.3">
      <c r="B45" s="1281" t="s">
        <v>496</v>
      </c>
      <c r="C45" s="1282"/>
      <c r="D45" s="1282"/>
      <c r="E45" s="1282"/>
      <c r="F45" s="1282"/>
      <c r="G45" s="1282"/>
      <c r="H45" s="1282"/>
      <c r="I45" s="1282"/>
      <c r="J45" s="1282"/>
      <c r="K45" s="1282"/>
      <c r="L45" s="1282"/>
      <c r="M45" s="1282"/>
      <c r="N45" s="1282"/>
      <c r="O45" s="1282"/>
      <c r="P45" s="1282"/>
      <c r="Q45" s="1282"/>
      <c r="R45" s="1283"/>
      <c r="U45" s="578" t="s">
        <v>528</v>
      </c>
      <c r="X45" s="577" t="s">
        <v>584</v>
      </c>
      <c r="AQ45" s="1274"/>
      <c r="AR45" s="1274"/>
      <c r="AS45" s="1274"/>
      <c r="AT45" s="1274"/>
      <c r="AU45" s="1274"/>
      <c r="AV45" s="1274"/>
      <c r="AW45" s="1274"/>
      <c r="AX45" s="1274"/>
      <c r="AY45" s="587"/>
      <c r="AZ45" s="587"/>
      <c r="CA45" s="577" t="s">
        <v>563</v>
      </c>
      <c r="CB45" s="921">
        <f t="shared" si="100"/>
        <v>40</v>
      </c>
      <c r="CC45" s="926" t="str">
        <f t="shared" si="102"/>
        <v>[10,20,30,40</v>
      </c>
      <c r="CD45" s="922" t="str">
        <f t="shared" si="103"/>
        <v>[</v>
      </c>
      <c r="CE45" s="922" t="str">
        <f t="shared" si="104"/>
        <v>[</v>
      </c>
      <c r="CF45" s="922" t="str">
        <f t="shared" si="105"/>
        <v>[</v>
      </c>
      <c r="CG45" s="922" t="str">
        <f t="shared" si="106"/>
        <v>[</v>
      </c>
      <c r="CH45" s="922" t="str">
        <f t="shared" si="107"/>
        <v>[</v>
      </c>
      <c r="CI45" s="922" t="str">
        <f t="shared" si="108"/>
        <v>[</v>
      </c>
      <c r="CJ45" s="922" t="str">
        <f t="shared" si="109"/>
        <v>[</v>
      </c>
      <c r="CK45" s="922" t="str">
        <f t="shared" si="110"/>
        <v>[</v>
      </c>
      <c r="CL45" s="922" t="str">
        <f t="shared" si="111"/>
        <v>[</v>
      </c>
      <c r="CM45" s="922" t="str">
        <f t="shared" si="112"/>
        <v>[</v>
      </c>
      <c r="CN45" s="922" t="str">
        <f t="shared" si="113"/>
        <v>[</v>
      </c>
      <c r="CO45" s="922" t="str">
        <f t="shared" si="114"/>
        <v>[</v>
      </c>
      <c r="CP45" s="922" t="str">
        <f t="shared" si="115"/>
        <v>[</v>
      </c>
      <c r="CQ45" s="922" t="str">
        <f t="shared" si="116"/>
        <v>[</v>
      </c>
      <c r="CR45" s="922" t="str">
        <f t="shared" si="117"/>
        <v>[</v>
      </c>
      <c r="CS45" s="922" t="str">
        <f t="shared" si="118"/>
        <v>[</v>
      </c>
      <c r="CT45" s="922" t="str">
        <f t="shared" si="119"/>
        <v>[</v>
      </c>
      <c r="CU45" s="922" t="str">
        <f t="shared" si="120"/>
        <v>[</v>
      </c>
      <c r="CV45" s="922" t="str">
        <f t="shared" si="121"/>
        <v>[</v>
      </c>
      <c r="CW45" s="927" t="str">
        <f t="shared" si="122"/>
        <v>[</v>
      </c>
      <c r="DA45" s="585"/>
      <c r="DB45" s="587"/>
      <c r="DC45" s="1288"/>
      <c r="DD45" s="1288"/>
      <c r="DE45" s="1288"/>
      <c r="DF45" s="1288"/>
      <c r="DG45" s="1288"/>
      <c r="DH45" s="1288"/>
      <c r="DI45" s="1288"/>
      <c r="DJ45" s="1288"/>
      <c r="DK45" s="1288"/>
      <c r="DL45" s="1288"/>
      <c r="DM45" s="1288"/>
      <c r="DN45" s="1288"/>
      <c r="DO45" s="1288"/>
      <c r="DP45" s="1288"/>
      <c r="DQ45" s="1288"/>
      <c r="DR45" s="1288"/>
      <c r="DS45" s="1289"/>
    </row>
    <row r="46" spans="2:123" ht="13.5" thickBot="1" x14ac:dyDescent="0.25">
      <c r="B46" s="897" t="s">
        <v>469</v>
      </c>
      <c r="C46" s="898" t="s">
        <v>470</v>
      </c>
      <c r="D46" s="904">
        <f>C26</f>
        <v>0</v>
      </c>
      <c r="E46" s="898" t="s">
        <v>471</v>
      </c>
      <c r="F46" s="904">
        <f>C27</f>
        <v>0</v>
      </c>
      <c r="G46" s="878"/>
      <c r="H46" s="878"/>
      <c r="I46" s="878"/>
      <c r="J46" s="878"/>
      <c r="K46" s="878"/>
      <c r="L46" s="878"/>
      <c r="M46" s="878"/>
      <c r="N46" s="878"/>
      <c r="O46" s="878"/>
      <c r="P46" s="878"/>
      <c r="Q46" s="878"/>
      <c r="R46" s="879"/>
      <c r="U46" s="713" t="s">
        <v>455</v>
      </c>
      <c r="V46" s="836" t="s">
        <v>383</v>
      </c>
      <c r="W46" s="837" t="s">
        <v>294</v>
      </c>
      <c r="X46" s="838" t="s">
        <v>261</v>
      </c>
      <c r="Y46" s="838" t="s">
        <v>262</v>
      </c>
      <c r="Z46" s="839" t="s">
        <v>263</v>
      </c>
      <c r="AA46" s="755">
        <v>1</v>
      </c>
      <c r="AB46" s="755">
        <v>2</v>
      </c>
      <c r="AC46" s="755">
        <v>3</v>
      </c>
      <c r="AD46" s="755">
        <v>4</v>
      </c>
      <c r="AE46" s="755">
        <v>5</v>
      </c>
      <c r="AF46" s="755">
        <v>6</v>
      </c>
      <c r="AG46" s="755">
        <v>7</v>
      </c>
      <c r="AH46" s="755">
        <v>8</v>
      </c>
      <c r="AI46" s="755">
        <v>9</v>
      </c>
      <c r="AJ46" s="755">
        <v>10</v>
      </c>
      <c r="AK46" s="755">
        <v>11</v>
      </c>
      <c r="AL46" s="755">
        <v>12</v>
      </c>
      <c r="AM46" s="755">
        <v>13</v>
      </c>
      <c r="AN46" s="755">
        <v>14</v>
      </c>
      <c r="AO46" s="755">
        <v>15</v>
      </c>
      <c r="AP46" s="756">
        <v>16</v>
      </c>
      <c r="AQ46" s="743"/>
      <c r="AR46" s="743"/>
      <c r="AS46" s="743"/>
      <c r="AT46" s="743"/>
      <c r="AU46" s="743"/>
      <c r="AV46" s="743"/>
      <c r="AW46" s="743"/>
      <c r="AX46" s="743"/>
      <c r="AY46" s="587"/>
      <c r="AZ46" s="587"/>
      <c r="CA46" s="577" t="s">
        <v>563</v>
      </c>
      <c r="CB46" s="921">
        <f t="shared" si="100"/>
        <v>50</v>
      </c>
      <c r="CC46" s="926" t="str">
        <f t="shared" si="102"/>
        <v>[10,20,30,40,50</v>
      </c>
      <c r="CD46" s="922" t="str">
        <f t="shared" si="103"/>
        <v>[</v>
      </c>
      <c r="CE46" s="922" t="str">
        <f t="shared" si="104"/>
        <v>[</v>
      </c>
      <c r="CF46" s="922" t="str">
        <f t="shared" si="105"/>
        <v>[</v>
      </c>
      <c r="CG46" s="922" t="str">
        <f t="shared" si="106"/>
        <v>[</v>
      </c>
      <c r="CH46" s="922" t="str">
        <f t="shared" si="107"/>
        <v>[</v>
      </c>
      <c r="CI46" s="922" t="str">
        <f t="shared" si="108"/>
        <v>[</v>
      </c>
      <c r="CJ46" s="922" t="str">
        <f t="shared" si="109"/>
        <v>[</v>
      </c>
      <c r="CK46" s="922" t="str">
        <f t="shared" si="110"/>
        <v>[</v>
      </c>
      <c r="CL46" s="922" t="str">
        <f t="shared" si="111"/>
        <v>[</v>
      </c>
      <c r="CM46" s="922" t="str">
        <f t="shared" si="112"/>
        <v>[</v>
      </c>
      <c r="CN46" s="922" t="str">
        <f t="shared" si="113"/>
        <v>[</v>
      </c>
      <c r="CO46" s="922" t="str">
        <f t="shared" si="114"/>
        <v>[</v>
      </c>
      <c r="CP46" s="922" t="str">
        <f t="shared" si="115"/>
        <v>[</v>
      </c>
      <c r="CQ46" s="922" t="str">
        <f t="shared" si="116"/>
        <v>[</v>
      </c>
      <c r="CR46" s="922" t="str">
        <f t="shared" si="117"/>
        <v>[</v>
      </c>
      <c r="CS46" s="922" t="str">
        <f t="shared" si="118"/>
        <v>[</v>
      </c>
      <c r="CT46" s="922" t="str">
        <f t="shared" si="119"/>
        <v>[</v>
      </c>
      <c r="CU46" s="922" t="str">
        <f t="shared" si="120"/>
        <v>[</v>
      </c>
      <c r="CV46" s="922" t="str">
        <f t="shared" si="121"/>
        <v>[</v>
      </c>
      <c r="CW46" s="927" t="str">
        <f t="shared" si="122"/>
        <v>[</v>
      </c>
      <c r="DA46" s="585"/>
      <c r="DB46" s="587"/>
      <c r="DC46" s="1288"/>
      <c r="DD46" s="1288"/>
      <c r="DE46" s="1288"/>
      <c r="DF46" s="1288"/>
      <c r="DG46" s="1288"/>
      <c r="DH46" s="1288"/>
      <c r="DI46" s="1288"/>
      <c r="DJ46" s="1288"/>
      <c r="DK46" s="1288"/>
      <c r="DL46" s="1288"/>
      <c r="DM46" s="1288"/>
      <c r="DN46" s="1288"/>
      <c r="DO46" s="1288"/>
      <c r="DP46" s="1288"/>
      <c r="DQ46" s="1288"/>
      <c r="DR46" s="1288"/>
      <c r="DS46" s="1289"/>
    </row>
    <row r="47" spans="2:123" ht="13.5" thickBot="1" x14ac:dyDescent="0.25">
      <c r="B47" s="876" t="s">
        <v>472</v>
      </c>
      <c r="C47" s="899" t="s">
        <v>473</v>
      </c>
      <c r="D47" s="880" t="str">
        <f>CONCATENATE(CHAR(34),'Create EDOX for Pre-ESDUView'!$D$3,CHAR(34))</f>
        <v>"Name"</v>
      </c>
      <c r="E47" s="899" t="s">
        <v>498</v>
      </c>
      <c r="F47" s="880" t="str">
        <f>'Create EDOX for Pre-ESDUView'!D2</f>
        <v>########</v>
      </c>
      <c r="G47" s="899" t="s">
        <v>474</v>
      </c>
      <c r="H47" s="880">
        <v>0</v>
      </c>
      <c r="I47" s="899" t="s">
        <v>475</v>
      </c>
      <c r="J47" s="880">
        <f>RWDI_FACTORS!I3</f>
        <v>36</v>
      </c>
      <c r="K47" s="899" t="s">
        <v>476</v>
      </c>
      <c r="L47" s="880">
        <f>'Create EDOX for Pre-ESDUView'!D8</f>
        <v>300</v>
      </c>
      <c r="M47" s="899" t="s">
        <v>477</v>
      </c>
      <c r="N47" s="899" t="s">
        <v>478</v>
      </c>
      <c r="O47" s="899" t="s">
        <v>479</v>
      </c>
      <c r="P47" s="880">
        <f>'Create EDOX for Pre-ESDUView'!D7</f>
        <v>4</v>
      </c>
      <c r="Q47" s="899" t="s">
        <v>480</v>
      </c>
      <c r="R47" s="881">
        <f>'Create EDOX for Pre-ESDUView'!D6</f>
        <v>100</v>
      </c>
      <c r="U47" s="748" t="s">
        <v>445</v>
      </c>
      <c r="V47" s="746" t="str">
        <f>IFERROR(IF('Create EDOX for Pre-ESDUView'!B14=0,"",'Create EDOX for Pre-ESDUView'!B14)+$T$7,"")</f>
        <v/>
      </c>
      <c r="W47" s="746" t="str">
        <f>IFERROR(IF('Create EDOX for Pre-ESDUView'!C14=0,"",'Create EDOX for Pre-ESDUView'!C14)+$T$7,"")</f>
        <v/>
      </c>
      <c r="X47" s="746" t="str">
        <f>IFERROR(IF('Create EDOX for Pre-ESDUView'!D14=0,"",'Create EDOX for Pre-ESDUView'!D14)+$T$7,"")</f>
        <v/>
      </c>
      <c r="Y47" s="746">
        <f>IFERROR(IF('Create EDOX for Pre-ESDUView'!E14=0,"",'Create EDOX for Pre-ESDUView'!E14)+$T$7,"")</f>
        <v>10342.9</v>
      </c>
      <c r="Z47" s="746">
        <f>IFERROR(IF('Create EDOX for Pre-ESDUView'!F14=0,"",'Create EDOX for Pre-ESDUView'!F14)+$T$7,"")</f>
        <v>5342.9</v>
      </c>
      <c r="AA47" s="746" t="str">
        <f>IFERROR(IF('Create EDOX for Pre-ESDUView'!G14=0,"",'Create EDOX for Pre-ESDUView'!G14)+$T$7,"")</f>
        <v/>
      </c>
      <c r="AB47" s="746" t="str">
        <f>IFERROR(IF('Create EDOX for Pre-ESDUView'!H14=0,"",'Create EDOX for Pre-ESDUView'!H14)+$T$7,"")</f>
        <v/>
      </c>
      <c r="AC47" s="746" t="str">
        <f>IFERROR(IF('Create EDOX for Pre-ESDUView'!I14=0,"",'Create EDOX for Pre-ESDUView'!I14)+$T$7,"")</f>
        <v/>
      </c>
      <c r="AD47" s="746" t="str">
        <f>IFERROR(IF('Create EDOX for Pre-ESDUView'!J14=0,"",'Create EDOX for Pre-ESDUView'!J14)+$T$7,"")</f>
        <v/>
      </c>
      <c r="AE47" s="746" t="str">
        <f>IFERROR(IF('Create EDOX for Pre-ESDUView'!K14=0,"",'Create EDOX for Pre-ESDUView'!K14)+$T$7,"")</f>
        <v/>
      </c>
      <c r="AF47" s="746" t="str">
        <f>IFERROR(IF('Create EDOX for Pre-ESDUView'!L14=0,"",'Create EDOX for Pre-ESDUView'!L14)+$T$7,"")</f>
        <v/>
      </c>
      <c r="AG47" s="746" t="str">
        <f>IFERROR(IF('Create EDOX for Pre-ESDUView'!M14=0,"",'Create EDOX for Pre-ESDUView'!M14)+$T$7,"")</f>
        <v/>
      </c>
      <c r="AH47" s="746" t="str">
        <f>IFERROR(IF('Create EDOX for Pre-ESDUView'!N14=0,"",'Create EDOX for Pre-ESDUView'!N14)+$T$7,"")</f>
        <v/>
      </c>
      <c r="AI47" s="746" t="str">
        <f>IFERROR(IF('Create EDOX for Pre-ESDUView'!O14=0,"",'Create EDOX for Pre-ESDUView'!O14)+$T$7,"")</f>
        <v/>
      </c>
      <c r="AJ47" s="746" t="str">
        <f>IFERROR(IF('Create EDOX for Pre-ESDUView'!P14=0,"",'Create EDOX for Pre-ESDUView'!P14)+$T$7,"")</f>
        <v/>
      </c>
      <c r="AK47" s="746" t="str">
        <f>IFERROR(IF('Create EDOX for Pre-ESDUView'!Q14=0,"",'Create EDOX for Pre-ESDUView'!Q14)+$T$7,"")</f>
        <v/>
      </c>
      <c r="AL47" s="746" t="str">
        <f>IFERROR(IF('Create EDOX for Pre-ESDUView'!R14=0,"",'Create EDOX for Pre-ESDUView'!R14)+$T$7,"")</f>
        <v/>
      </c>
      <c r="AM47" s="746" t="str">
        <f>IFERROR(IF('Create EDOX for Pre-ESDUView'!S14=0,"",'Create EDOX for Pre-ESDUView'!S14)+$T$7,"")</f>
        <v/>
      </c>
      <c r="AN47" s="746" t="str">
        <f>IFERROR(IF('Create EDOX for Pre-ESDUView'!T14=0,"",'Create EDOX for Pre-ESDUView'!T14)+$T$7,"")</f>
        <v/>
      </c>
      <c r="AO47" s="746" t="str">
        <f>IFERROR(IF('Create EDOX for Pre-ESDUView'!U14=0,"",'Create EDOX for Pre-ESDUView'!U14)+$T$7,"")</f>
        <v/>
      </c>
      <c r="AP47" s="747" t="str">
        <f>IFERROR(IF('Create EDOX for Pre-ESDUView'!V14=0,"",'Create EDOX for Pre-ESDUView'!V14)+$T$7,"")</f>
        <v/>
      </c>
      <c r="AQ47" s="745"/>
      <c r="AR47" s="745"/>
      <c r="AS47" s="745"/>
      <c r="AT47" s="745"/>
      <c r="AU47" s="744"/>
      <c r="AV47" s="744"/>
      <c r="AW47" s="744"/>
      <c r="AX47" s="744"/>
      <c r="AY47" s="587"/>
      <c r="AZ47" s="587"/>
      <c r="CA47" s="577" t="s">
        <v>564</v>
      </c>
      <c r="CB47" s="921">
        <f t="shared" si="100"/>
        <v>60</v>
      </c>
      <c r="CC47" s="926" t="str">
        <f t="shared" si="102"/>
        <v>[10,20,30,40,50,60</v>
      </c>
      <c r="CD47" s="922" t="str">
        <f t="shared" si="103"/>
        <v>[</v>
      </c>
      <c r="CE47" s="922" t="str">
        <f t="shared" si="104"/>
        <v>[</v>
      </c>
      <c r="CF47" s="922" t="str">
        <f t="shared" si="105"/>
        <v>[</v>
      </c>
      <c r="CG47" s="922" t="str">
        <f t="shared" si="106"/>
        <v>[</v>
      </c>
      <c r="CH47" s="922" t="str">
        <f t="shared" si="107"/>
        <v>[</v>
      </c>
      <c r="CI47" s="922" t="str">
        <f t="shared" si="108"/>
        <v>[</v>
      </c>
      <c r="CJ47" s="922" t="str">
        <f t="shared" si="109"/>
        <v>[</v>
      </c>
      <c r="CK47" s="922" t="str">
        <f t="shared" si="110"/>
        <v>[</v>
      </c>
      <c r="CL47" s="922" t="str">
        <f t="shared" si="111"/>
        <v>[</v>
      </c>
      <c r="CM47" s="922" t="str">
        <f t="shared" si="112"/>
        <v>[</v>
      </c>
      <c r="CN47" s="922" t="str">
        <f t="shared" si="113"/>
        <v>[</v>
      </c>
      <c r="CO47" s="922" t="str">
        <f t="shared" si="114"/>
        <v>[</v>
      </c>
      <c r="CP47" s="922" t="str">
        <f t="shared" si="115"/>
        <v>[</v>
      </c>
      <c r="CQ47" s="922" t="str">
        <f t="shared" si="116"/>
        <v>[</v>
      </c>
      <c r="CR47" s="922" t="str">
        <f t="shared" si="117"/>
        <v>[</v>
      </c>
      <c r="CS47" s="922" t="str">
        <f t="shared" si="118"/>
        <v>[</v>
      </c>
      <c r="CT47" s="922" t="str">
        <f t="shared" si="119"/>
        <v>[</v>
      </c>
      <c r="CU47" s="922" t="str">
        <f t="shared" si="120"/>
        <v>[</v>
      </c>
      <c r="CV47" s="922" t="str">
        <f t="shared" si="121"/>
        <v>[</v>
      </c>
      <c r="CW47" s="927" t="str">
        <f t="shared" si="122"/>
        <v>[</v>
      </c>
      <c r="DA47" s="585"/>
      <c r="DB47" s="587"/>
      <c r="DC47" s="1288"/>
      <c r="DD47" s="1288"/>
      <c r="DE47" s="1288"/>
      <c r="DF47" s="1288"/>
      <c r="DG47" s="1288"/>
      <c r="DH47" s="1288"/>
      <c r="DI47" s="1288"/>
      <c r="DJ47" s="1288"/>
      <c r="DK47" s="1288"/>
      <c r="DL47" s="1288"/>
      <c r="DM47" s="1288"/>
      <c r="DN47" s="1288"/>
      <c r="DO47" s="1288"/>
      <c r="DP47" s="1288"/>
      <c r="DQ47" s="1288"/>
      <c r="DR47" s="1288"/>
      <c r="DS47" s="1289"/>
    </row>
    <row r="48" spans="2:123" ht="13.5" thickBot="1" x14ac:dyDescent="0.25">
      <c r="B48" s="882"/>
      <c r="C48" s="883"/>
      <c r="D48" s="902"/>
      <c r="E48" s="902"/>
      <c r="F48" s="902"/>
      <c r="G48" s="902"/>
      <c r="H48" s="902"/>
      <c r="I48" s="902"/>
      <c r="J48" s="902"/>
      <c r="K48" s="902"/>
      <c r="L48" s="902"/>
      <c r="M48" s="902"/>
      <c r="N48" s="902"/>
      <c r="O48" s="902"/>
      <c r="P48" s="902"/>
      <c r="Q48" s="902"/>
      <c r="R48" s="903"/>
      <c r="U48" s="749" t="s">
        <v>446</v>
      </c>
      <c r="V48" s="757" t="str">
        <f>IFERROR(IF('Create EDOX for Pre-ESDUView'!B16=0,"",'Create EDOX for Pre-ESDUView'!B16)+V47,"")</f>
        <v/>
      </c>
      <c r="W48" s="757" t="str">
        <f>IFERROR(IF('Create EDOX for Pre-ESDUView'!C16=0,"",'Create EDOX for Pre-ESDUView'!C16)+W47,"")</f>
        <v/>
      </c>
      <c r="X48" s="757" t="str">
        <f>IFERROR(IF('Create EDOX for Pre-ESDUView'!D16=0,"",'Create EDOX for Pre-ESDUView'!D16)+X47,"")</f>
        <v/>
      </c>
      <c r="Y48" s="757" t="str">
        <f>IFERROR(IF('Create EDOX for Pre-ESDUView'!E16=0,"",'Create EDOX for Pre-ESDUView'!E16)+Y47,"")</f>
        <v/>
      </c>
      <c r="Z48" s="757">
        <f>IFERROR(IF('Create EDOX for Pre-ESDUView'!F16=0,"",'Create EDOX for Pre-ESDUView'!F16)+Z47,"")</f>
        <v>15342.9</v>
      </c>
      <c r="AA48" s="757" t="str">
        <f>IFERROR(IF('Create EDOX for Pre-ESDUView'!G16=0,"",'Create EDOX for Pre-ESDUView'!G16)+AA47,"")</f>
        <v/>
      </c>
      <c r="AB48" s="757" t="str">
        <f>IFERROR(IF('Create EDOX for Pre-ESDUView'!H16=0,"",'Create EDOX for Pre-ESDUView'!H16)+AB47,"")</f>
        <v/>
      </c>
      <c r="AC48" s="757" t="str">
        <f>IFERROR(IF('Create EDOX for Pre-ESDUView'!I16=0,"",'Create EDOX for Pre-ESDUView'!I16)+AC47,"")</f>
        <v/>
      </c>
      <c r="AD48" s="757" t="str">
        <f>IFERROR(IF('Create EDOX for Pre-ESDUView'!J16=0,"",'Create EDOX for Pre-ESDUView'!J16)+AD47,"")</f>
        <v/>
      </c>
      <c r="AE48" s="757" t="str">
        <f>IFERROR(IF('Create EDOX for Pre-ESDUView'!K16=0,"",'Create EDOX for Pre-ESDUView'!K16)+AE47,"")</f>
        <v/>
      </c>
      <c r="AF48" s="757" t="str">
        <f>IFERROR(IF('Create EDOX for Pre-ESDUView'!L16=0,"",'Create EDOX for Pre-ESDUView'!L16)+AF47,"")</f>
        <v/>
      </c>
      <c r="AG48" s="757" t="str">
        <f>IFERROR(IF('Create EDOX for Pre-ESDUView'!M16=0,"",'Create EDOX for Pre-ESDUView'!M16)+AG47,"")</f>
        <v/>
      </c>
      <c r="AH48" s="757" t="str">
        <f>IFERROR(IF('Create EDOX for Pre-ESDUView'!N16=0,"",'Create EDOX for Pre-ESDUView'!N16)+AH47,"")</f>
        <v/>
      </c>
      <c r="AI48" s="757" t="str">
        <f>IFERROR(IF('Create EDOX for Pre-ESDUView'!O16=0,"",'Create EDOX for Pre-ESDUView'!O16)+AI47,"")</f>
        <v/>
      </c>
      <c r="AJ48" s="757" t="str">
        <f>IFERROR(IF('Create EDOX for Pre-ESDUView'!P16=0,"",'Create EDOX for Pre-ESDUView'!P16)+AJ47,"")</f>
        <v/>
      </c>
      <c r="AK48" s="757" t="str">
        <f>IFERROR(IF('Create EDOX for Pre-ESDUView'!Q16=0,"",'Create EDOX for Pre-ESDUView'!Q16)+AK47,"")</f>
        <v/>
      </c>
      <c r="AL48" s="757" t="str">
        <f>IFERROR(IF('Create EDOX for Pre-ESDUView'!R16=0,"",'Create EDOX for Pre-ESDUView'!R16)+AL47,"")</f>
        <v/>
      </c>
      <c r="AM48" s="757" t="str">
        <f>IFERROR(IF('Create EDOX for Pre-ESDUView'!S16=0,"",'Create EDOX for Pre-ESDUView'!S16)+AM47,"")</f>
        <v/>
      </c>
      <c r="AN48" s="757" t="str">
        <f>IFERROR(IF('Create EDOX for Pre-ESDUView'!T16=0,"",'Create EDOX for Pre-ESDUView'!T16)+AN47,"")</f>
        <v/>
      </c>
      <c r="AO48" s="757" t="str">
        <f>IFERROR(IF('Create EDOX for Pre-ESDUView'!U16=0,"",'Create EDOX for Pre-ESDUView'!U16)+AO47,"")</f>
        <v/>
      </c>
      <c r="AP48" s="758" t="str">
        <f>IFERROR(IF('Create EDOX for Pre-ESDUView'!V16=0,"",'Create EDOX for Pre-ESDUView'!V16)+AP47,"")</f>
        <v/>
      </c>
      <c r="AQ48" s="586"/>
      <c r="AR48" s="586"/>
      <c r="AS48" s="586"/>
      <c r="AT48" s="586"/>
      <c r="AU48" s="587"/>
      <c r="AV48" s="587"/>
      <c r="AW48" s="587"/>
      <c r="AX48" s="587"/>
      <c r="AY48" s="587"/>
      <c r="AZ48" s="587"/>
      <c r="CB48" s="921">
        <f t="shared" si="100"/>
        <v>70</v>
      </c>
      <c r="CC48" s="926" t="str">
        <f t="shared" si="102"/>
        <v>[10,20,30,40,50,60,70</v>
      </c>
      <c r="CD48" s="922" t="str">
        <f t="shared" si="103"/>
        <v>[</v>
      </c>
      <c r="CE48" s="922" t="str">
        <f t="shared" si="104"/>
        <v>[</v>
      </c>
      <c r="CF48" s="922" t="str">
        <f t="shared" si="105"/>
        <v>[</v>
      </c>
      <c r="CG48" s="922" t="str">
        <f t="shared" si="106"/>
        <v>[</v>
      </c>
      <c r="CH48" s="922" t="str">
        <f t="shared" si="107"/>
        <v>[</v>
      </c>
      <c r="CI48" s="922" t="str">
        <f t="shared" si="108"/>
        <v>[</v>
      </c>
      <c r="CJ48" s="922" t="str">
        <f t="shared" si="109"/>
        <v>[</v>
      </c>
      <c r="CK48" s="922" t="str">
        <f t="shared" si="110"/>
        <v>[</v>
      </c>
      <c r="CL48" s="922" t="str">
        <f t="shared" si="111"/>
        <v>[</v>
      </c>
      <c r="CM48" s="922" t="str">
        <f t="shared" si="112"/>
        <v>[</v>
      </c>
      <c r="CN48" s="922" t="str">
        <f t="shared" si="113"/>
        <v>[</v>
      </c>
      <c r="CO48" s="922" t="str">
        <f t="shared" si="114"/>
        <v>[</v>
      </c>
      <c r="CP48" s="922" t="str">
        <f t="shared" si="115"/>
        <v>[</v>
      </c>
      <c r="CQ48" s="922" t="str">
        <f t="shared" si="116"/>
        <v>[</v>
      </c>
      <c r="CR48" s="922" t="str">
        <f t="shared" si="117"/>
        <v>[</v>
      </c>
      <c r="CS48" s="922" t="str">
        <f t="shared" si="118"/>
        <v>[</v>
      </c>
      <c r="CT48" s="922" t="str">
        <f t="shared" si="119"/>
        <v>[</v>
      </c>
      <c r="CU48" s="922" t="str">
        <f t="shared" si="120"/>
        <v>[</v>
      </c>
      <c r="CV48" s="922" t="str">
        <f t="shared" si="121"/>
        <v>[</v>
      </c>
      <c r="CW48" s="927" t="str">
        <f t="shared" si="122"/>
        <v>[</v>
      </c>
      <c r="DA48" s="585"/>
      <c r="DB48" s="587"/>
      <c r="DC48" s="1288"/>
      <c r="DD48" s="1288"/>
      <c r="DE48" s="1288"/>
      <c r="DF48" s="1288"/>
      <c r="DG48" s="1288"/>
      <c r="DH48" s="1288"/>
      <c r="DI48" s="1288"/>
      <c r="DJ48" s="1288"/>
      <c r="DK48" s="1288"/>
      <c r="DL48" s="1288"/>
      <c r="DM48" s="1288"/>
      <c r="DN48" s="1288"/>
      <c r="DO48" s="1288"/>
      <c r="DP48" s="1288"/>
      <c r="DQ48" s="1288"/>
      <c r="DR48" s="1288"/>
      <c r="DS48" s="1289"/>
    </row>
    <row r="49" spans="19:123" ht="13.5" thickBot="1" x14ac:dyDescent="0.25">
      <c r="U49" s="750" t="s">
        <v>447</v>
      </c>
      <c r="V49" s="759" t="str">
        <f>IFERROR(IF('Create EDOX for Pre-ESDUView'!B18=0,"",'Create EDOX for Pre-ESDUView'!B18)+V48,"")</f>
        <v/>
      </c>
      <c r="W49" s="759" t="str">
        <f>IFERROR(IF('Create EDOX for Pre-ESDUView'!C18=0,"",'Create EDOX for Pre-ESDUView'!C18)+W48,"")</f>
        <v/>
      </c>
      <c r="X49" s="759" t="str">
        <f>IFERROR(IF('Create EDOX for Pre-ESDUView'!D18=0,"",'Create EDOX for Pre-ESDUView'!D18)+X48,"")</f>
        <v/>
      </c>
      <c r="Y49" s="759" t="str">
        <f>IFERROR(IF('Create EDOX for Pre-ESDUView'!E18=0,"",'Create EDOX for Pre-ESDUView'!E18)+Y48,"")</f>
        <v/>
      </c>
      <c r="Z49" s="759" t="str">
        <f>IFERROR(IF('Create EDOX for Pre-ESDUView'!F18=0,"",'Create EDOX for Pre-ESDUView'!F18)+Z48,"")</f>
        <v/>
      </c>
      <c r="AA49" s="759" t="str">
        <f>IFERROR(IF('Create EDOX for Pre-ESDUView'!G18=0,"",'Create EDOX for Pre-ESDUView'!G18)+AA48,"")</f>
        <v/>
      </c>
      <c r="AB49" s="759" t="str">
        <f>IFERROR(IF('Create EDOX for Pre-ESDUView'!H18=0,"",'Create EDOX for Pre-ESDUView'!H18)+AB48,"")</f>
        <v/>
      </c>
      <c r="AC49" s="759" t="str">
        <f>IFERROR(IF('Create EDOX for Pre-ESDUView'!I18=0,"",'Create EDOX for Pre-ESDUView'!I18)+AC48,"")</f>
        <v/>
      </c>
      <c r="AD49" s="759" t="str">
        <f>IFERROR(IF('Create EDOX for Pre-ESDUView'!J18=0,"",'Create EDOX for Pre-ESDUView'!J18)+AD48,"")</f>
        <v/>
      </c>
      <c r="AE49" s="759" t="str">
        <f>IFERROR(IF('Create EDOX for Pre-ESDUView'!K18=0,"",'Create EDOX for Pre-ESDUView'!K18)+AE48,"")</f>
        <v/>
      </c>
      <c r="AF49" s="759" t="str">
        <f>IFERROR(IF('Create EDOX for Pre-ESDUView'!L18=0,"",'Create EDOX for Pre-ESDUView'!L18)+AF48,"")</f>
        <v/>
      </c>
      <c r="AG49" s="759" t="str">
        <f>IFERROR(IF('Create EDOX for Pre-ESDUView'!M18=0,"",'Create EDOX for Pre-ESDUView'!M18)+AG48,"")</f>
        <v/>
      </c>
      <c r="AH49" s="759" t="str">
        <f>IFERROR(IF('Create EDOX for Pre-ESDUView'!N18=0,"",'Create EDOX for Pre-ESDUView'!N18)+AH48,"")</f>
        <v/>
      </c>
      <c r="AI49" s="759" t="str">
        <f>IFERROR(IF('Create EDOX for Pre-ESDUView'!O18=0,"",'Create EDOX for Pre-ESDUView'!O18)+AI48,"")</f>
        <v/>
      </c>
      <c r="AJ49" s="759" t="str">
        <f>IFERROR(IF('Create EDOX for Pre-ESDUView'!P18=0,"",'Create EDOX for Pre-ESDUView'!P18)+AJ48,"")</f>
        <v/>
      </c>
      <c r="AK49" s="759" t="str">
        <f>IFERROR(IF('Create EDOX for Pre-ESDUView'!Q18=0,"",'Create EDOX for Pre-ESDUView'!Q18)+AK48,"")</f>
        <v/>
      </c>
      <c r="AL49" s="759" t="str">
        <f>IFERROR(IF('Create EDOX for Pre-ESDUView'!R18=0,"",'Create EDOX for Pre-ESDUView'!R18)+AL48,"")</f>
        <v/>
      </c>
      <c r="AM49" s="759" t="str">
        <f>IFERROR(IF('Create EDOX for Pre-ESDUView'!S18=0,"",'Create EDOX for Pre-ESDUView'!S18)+AM48,"")</f>
        <v/>
      </c>
      <c r="AN49" s="759" t="str">
        <f>IFERROR(IF('Create EDOX for Pre-ESDUView'!T18=0,"",'Create EDOX for Pre-ESDUView'!T18)+AN48,"")</f>
        <v/>
      </c>
      <c r="AO49" s="759" t="str">
        <f>IFERROR(IF('Create EDOX for Pre-ESDUView'!U18=0,"",'Create EDOX for Pre-ESDUView'!U18)+AO48,"")</f>
        <v/>
      </c>
      <c r="AP49" s="760" t="str">
        <f>IFERROR(IF('Create EDOX for Pre-ESDUView'!V18=0,"",'Create EDOX for Pre-ESDUView'!V18)+AP48,"")</f>
        <v/>
      </c>
      <c r="AQ49" s="586"/>
      <c r="AR49" s="586"/>
      <c r="AS49" s="586"/>
      <c r="AT49" s="586"/>
      <c r="AU49" s="587"/>
      <c r="AV49" s="587"/>
      <c r="AW49" s="587"/>
      <c r="AX49" s="587"/>
      <c r="AY49" s="587"/>
      <c r="AZ49" s="587"/>
      <c r="CB49" s="921">
        <f t="shared" si="100"/>
        <v>80</v>
      </c>
      <c r="CC49" s="926" t="str">
        <f t="shared" si="102"/>
        <v>[10,20,30,40,50,60,70,80</v>
      </c>
      <c r="CD49" s="922" t="str">
        <f t="shared" si="103"/>
        <v>[</v>
      </c>
      <c r="CE49" s="922" t="str">
        <f t="shared" si="104"/>
        <v>[</v>
      </c>
      <c r="CF49" s="922" t="str">
        <f t="shared" si="105"/>
        <v>[</v>
      </c>
      <c r="CG49" s="922" t="str">
        <f t="shared" si="106"/>
        <v>[</v>
      </c>
      <c r="CH49" s="922" t="str">
        <f t="shared" si="107"/>
        <v>[</v>
      </c>
      <c r="CI49" s="922" t="str">
        <f t="shared" si="108"/>
        <v>[</v>
      </c>
      <c r="CJ49" s="922" t="str">
        <f t="shared" si="109"/>
        <v>[</v>
      </c>
      <c r="CK49" s="922" t="str">
        <f t="shared" si="110"/>
        <v>[</v>
      </c>
      <c r="CL49" s="922" t="str">
        <f t="shared" si="111"/>
        <v>[</v>
      </c>
      <c r="CM49" s="922" t="str">
        <f t="shared" si="112"/>
        <v>[</v>
      </c>
      <c r="CN49" s="922" t="str">
        <f t="shared" si="113"/>
        <v>[</v>
      </c>
      <c r="CO49" s="922" t="str">
        <f t="shared" si="114"/>
        <v>[</v>
      </c>
      <c r="CP49" s="922" t="str">
        <f t="shared" si="115"/>
        <v>[</v>
      </c>
      <c r="CQ49" s="922" t="str">
        <f t="shared" si="116"/>
        <v>[</v>
      </c>
      <c r="CR49" s="922" t="str">
        <f t="shared" si="117"/>
        <v>[</v>
      </c>
      <c r="CS49" s="922" t="str">
        <f t="shared" si="118"/>
        <v>[</v>
      </c>
      <c r="CT49" s="922" t="str">
        <f t="shared" si="119"/>
        <v>[</v>
      </c>
      <c r="CU49" s="922" t="str">
        <f t="shared" si="120"/>
        <v>[</v>
      </c>
      <c r="CV49" s="922" t="str">
        <f t="shared" si="121"/>
        <v>[</v>
      </c>
      <c r="CW49" s="927" t="str">
        <f t="shared" si="122"/>
        <v>[</v>
      </c>
      <c r="DA49" s="585"/>
      <c r="DB49" s="587"/>
      <c r="DC49" s="1288"/>
      <c r="DD49" s="1288"/>
      <c r="DE49" s="1288"/>
      <c r="DF49" s="1288"/>
      <c r="DG49" s="1288"/>
      <c r="DH49" s="1288"/>
      <c r="DI49" s="1288"/>
      <c r="DJ49" s="1288"/>
      <c r="DK49" s="1288"/>
      <c r="DL49" s="1288"/>
      <c r="DM49" s="1288"/>
      <c r="DN49" s="1288"/>
      <c r="DO49" s="1288"/>
      <c r="DP49" s="1288"/>
      <c r="DQ49" s="1288"/>
      <c r="DR49" s="1288"/>
      <c r="DS49" s="1289"/>
    </row>
    <row r="50" spans="19:123" ht="13.5" thickBot="1" x14ac:dyDescent="0.25">
      <c r="U50" s="751" t="s">
        <v>448</v>
      </c>
      <c r="V50" s="761" t="str">
        <f>IFERROR(IF('Create EDOX for Pre-ESDUView'!B20=0,"",'Create EDOX for Pre-ESDUView'!B20)+V49,"")</f>
        <v/>
      </c>
      <c r="W50" s="761" t="str">
        <f>IFERROR(IF('Create EDOX for Pre-ESDUView'!C20=0,"",'Create EDOX for Pre-ESDUView'!C20)+W49,"")</f>
        <v/>
      </c>
      <c r="X50" s="761" t="str">
        <f>IFERROR(IF('Create EDOX for Pre-ESDUView'!D20=0,"",'Create EDOX for Pre-ESDUView'!D20)+X49,"")</f>
        <v/>
      </c>
      <c r="Y50" s="761" t="str">
        <f>IFERROR(IF('Create EDOX for Pre-ESDUView'!E20=0,"",'Create EDOX for Pre-ESDUView'!E20)+Y49,"")</f>
        <v/>
      </c>
      <c r="Z50" s="761" t="str">
        <f>IFERROR(IF('Create EDOX for Pre-ESDUView'!F20=0,"",'Create EDOX for Pre-ESDUView'!F20)+Z49,"")</f>
        <v/>
      </c>
      <c r="AA50" s="761" t="str">
        <f>IFERROR(IF('Create EDOX for Pre-ESDUView'!G20=0,"",'Create EDOX for Pre-ESDUView'!G20)+AA49,"")</f>
        <v/>
      </c>
      <c r="AB50" s="761" t="str">
        <f>IFERROR(IF('Create EDOX for Pre-ESDUView'!H20=0,"",'Create EDOX for Pre-ESDUView'!H20)+AB49,"")</f>
        <v/>
      </c>
      <c r="AC50" s="761" t="str">
        <f>IFERROR(IF('Create EDOX for Pre-ESDUView'!I20=0,"",'Create EDOX for Pre-ESDUView'!I20)+AC49,"")</f>
        <v/>
      </c>
      <c r="AD50" s="761" t="str">
        <f>IFERROR(IF('Create EDOX for Pre-ESDUView'!J20=0,"",'Create EDOX for Pre-ESDUView'!J20)+AD49,"")</f>
        <v/>
      </c>
      <c r="AE50" s="761" t="str">
        <f>IFERROR(IF('Create EDOX for Pre-ESDUView'!K20=0,"",'Create EDOX for Pre-ESDUView'!K20)+AE49,"")</f>
        <v/>
      </c>
      <c r="AF50" s="761" t="str">
        <f>IFERROR(IF('Create EDOX for Pre-ESDUView'!L20=0,"",'Create EDOX for Pre-ESDUView'!L20)+AF49,"")</f>
        <v/>
      </c>
      <c r="AG50" s="761" t="str">
        <f>IFERROR(IF('Create EDOX for Pre-ESDUView'!M20=0,"",'Create EDOX for Pre-ESDUView'!M20)+AG49,"")</f>
        <v/>
      </c>
      <c r="AH50" s="761" t="str">
        <f>IFERROR(IF('Create EDOX for Pre-ESDUView'!N20=0,"",'Create EDOX for Pre-ESDUView'!N20)+AH49,"")</f>
        <v/>
      </c>
      <c r="AI50" s="761" t="str">
        <f>IFERROR(IF('Create EDOX for Pre-ESDUView'!O20=0,"",'Create EDOX for Pre-ESDUView'!O20)+AI49,"")</f>
        <v/>
      </c>
      <c r="AJ50" s="761" t="str">
        <f>IFERROR(IF('Create EDOX for Pre-ESDUView'!P20=0,"",'Create EDOX for Pre-ESDUView'!P20)+AJ49,"")</f>
        <v/>
      </c>
      <c r="AK50" s="761" t="str">
        <f>IFERROR(IF('Create EDOX for Pre-ESDUView'!Q20=0,"",'Create EDOX for Pre-ESDUView'!Q20)+AK49,"")</f>
        <v/>
      </c>
      <c r="AL50" s="761" t="str">
        <f>IFERROR(IF('Create EDOX for Pre-ESDUView'!R20=0,"",'Create EDOX for Pre-ESDUView'!R20)+AL49,"")</f>
        <v/>
      </c>
      <c r="AM50" s="761" t="str">
        <f>IFERROR(IF('Create EDOX for Pre-ESDUView'!S20=0,"",'Create EDOX for Pre-ESDUView'!S20)+AM49,"")</f>
        <v/>
      </c>
      <c r="AN50" s="761" t="str">
        <f>IFERROR(IF('Create EDOX for Pre-ESDUView'!T20=0,"",'Create EDOX for Pre-ESDUView'!T20)+AN49,"")</f>
        <v/>
      </c>
      <c r="AO50" s="761" t="str">
        <f>IFERROR(IF('Create EDOX for Pre-ESDUView'!U20=0,"",'Create EDOX for Pre-ESDUView'!U20)+AO49,"")</f>
        <v/>
      </c>
      <c r="AP50" s="762" t="str">
        <f>IFERROR(IF('Create EDOX for Pre-ESDUView'!V20=0,"",'Create EDOX for Pre-ESDUView'!V20)+AP49,"")</f>
        <v/>
      </c>
      <c r="AQ50" s="586"/>
      <c r="AR50" s="586"/>
      <c r="AS50" s="586"/>
      <c r="AT50" s="586"/>
      <c r="AU50" s="587"/>
      <c r="AV50" s="587"/>
      <c r="AW50" s="587"/>
      <c r="AX50" s="587"/>
      <c r="AY50" s="587"/>
      <c r="AZ50" s="587"/>
      <c r="CB50" s="921">
        <f t="shared" si="100"/>
        <v>90</v>
      </c>
      <c r="CC50" s="926" t="str">
        <f t="shared" si="102"/>
        <v>[10,20,30,40,50,60,70,80,90</v>
      </c>
      <c r="CD50" s="922" t="str">
        <f t="shared" si="103"/>
        <v>[</v>
      </c>
      <c r="CE50" s="922" t="str">
        <f t="shared" si="104"/>
        <v>[</v>
      </c>
      <c r="CF50" s="922" t="str">
        <f t="shared" si="105"/>
        <v>[</v>
      </c>
      <c r="CG50" s="922" t="str">
        <f t="shared" si="106"/>
        <v>[</v>
      </c>
      <c r="CH50" s="922" t="str">
        <f t="shared" si="107"/>
        <v>[</v>
      </c>
      <c r="CI50" s="922" t="str">
        <f t="shared" si="108"/>
        <v>[</v>
      </c>
      <c r="CJ50" s="922" t="str">
        <f t="shared" si="109"/>
        <v>[</v>
      </c>
      <c r="CK50" s="922" t="str">
        <f t="shared" si="110"/>
        <v>[</v>
      </c>
      <c r="CL50" s="922" t="str">
        <f t="shared" si="111"/>
        <v>[</v>
      </c>
      <c r="CM50" s="922" t="str">
        <f t="shared" si="112"/>
        <v>[</v>
      </c>
      <c r="CN50" s="922" t="str">
        <f t="shared" si="113"/>
        <v>[</v>
      </c>
      <c r="CO50" s="922" t="str">
        <f t="shared" si="114"/>
        <v>[</v>
      </c>
      <c r="CP50" s="922" t="str">
        <f t="shared" si="115"/>
        <v>[</v>
      </c>
      <c r="CQ50" s="922" t="str">
        <f t="shared" si="116"/>
        <v>[</v>
      </c>
      <c r="CR50" s="922" t="str">
        <f t="shared" si="117"/>
        <v>[</v>
      </c>
      <c r="CS50" s="922" t="str">
        <f t="shared" si="118"/>
        <v>[</v>
      </c>
      <c r="CT50" s="922" t="str">
        <f t="shared" si="119"/>
        <v>[</v>
      </c>
      <c r="CU50" s="922" t="str">
        <f t="shared" si="120"/>
        <v>[</v>
      </c>
      <c r="CV50" s="922" t="str">
        <f t="shared" si="121"/>
        <v>[</v>
      </c>
      <c r="CW50" s="927" t="str">
        <f t="shared" si="122"/>
        <v>[</v>
      </c>
      <c r="DA50" s="585"/>
      <c r="DB50" s="587"/>
      <c r="DC50" s="1288"/>
      <c r="DD50" s="1288"/>
      <c r="DE50" s="1288"/>
      <c r="DF50" s="1288"/>
      <c r="DG50" s="1288"/>
      <c r="DH50" s="1288"/>
      <c r="DI50" s="1288"/>
      <c r="DJ50" s="1288"/>
      <c r="DK50" s="1288"/>
      <c r="DL50" s="1288"/>
      <c r="DM50" s="1288"/>
      <c r="DN50" s="1288"/>
      <c r="DO50" s="1288"/>
      <c r="DP50" s="1288"/>
      <c r="DQ50" s="1288"/>
      <c r="DR50" s="1288"/>
      <c r="DS50" s="1289"/>
    </row>
    <row r="51" spans="19:123" ht="13.5" thickBot="1" x14ac:dyDescent="0.25">
      <c r="U51" s="752" t="s">
        <v>449</v>
      </c>
      <c r="V51" s="763" t="str">
        <f>IFERROR(IF('Create EDOX for Pre-ESDUView'!B22=0,"",'Create EDOX for Pre-ESDUView'!B22)+V50,"")</f>
        <v/>
      </c>
      <c r="W51" s="763" t="str">
        <f>IFERROR(IF('Create EDOX for Pre-ESDUView'!C22=0,"",'Create EDOX for Pre-ESDUView'!C22)+W50,"")</f>
        <v/>
      </c>
      <c r="X51" s="763" t="str">
        <f>IFERROR(IF('Create EDOX for Pre-ESDUView'!D22=0,"",'Create EDOX for Pre-ESDUView'!D22)+X50,"")</f>
        <v/>
      </c>
      <c r="Y51" s="763" t="str">
        <f>IFERROR(IF('Create EDOX for Pre-ESDUView'!E22=0,"",'Create EDOX for Pre-ESDUView'!E22)+Y50,"")</f>
        <v/>
      </c>
      <c r="Z51" s="763" t="str">
        <f>IFERROR(IF('Create EDOX for Pre-ESDUView'!F22=0,"",'Create EDOX for Pre-ESDUView'!F22)+Z50,"")</f>
        <v/>
      </c>
      <c r="AA51" s="763" t="str">
        <f>IFERROR(IF('Create EDOX for Pre-ESDUView'!G22=0,"",'Create EDOX for Pre-ESDUView'!G22)+AA50,"")</f>
        <v/>
      </c>
      <c r="AB51" s="763" t="str">
        <f>IFERROR(IF('Create EDOX for Pre-ESDUView'!H22=0,"",'Create EDOX for Pre-ESDUView'!H22)+AB50,"")</f>
        <v/>
      </c>
      <c r="AC51" s="763" t="str">
        <f>IFERROR(IF('Create EDOX for Pre-ESDUView'!I22=0,"",'Create EDOX for Pre-ESDUView'!I22)+AC50,"")</f>
        <v/>
      </c>
      <c r="AD51" s="763" t="str">
        <f>IFERROR(IF('Create EDOX for Pre-ESDUView'!J22=0,"",'Create EDOX for Pre-ESDUView'!J22)+AD50,"")</f>
        <v/>
      </c>
      <c r="AE51" s="763" t="str">
        <f>IFERROR(IF('Create EDOX for Pre-ESDUView'!K22=0,"",'Create EDOX for Pre-ESDUView'!K22)+AE50,"")</f>
        <v/>
      </c>
      <c r="AF51" s="763" t="str">
        <f>IFERROR(IF('Create EDOX for Pre-ESDUView'!L22=0,"",'Create EDOX for Pre-ESDUView'!L22)+AF50,"")</f>
        <v/>
      </c>
      <c r="AG51" s="763" t="str">
        <f>IFERROR(IF('Create EDOX for Pre-ESDUView'!M22=0,"",'Create EDOX for Pre-ESDUView'!M22)+AG50,"")</f>
        <v/>
      </c>
      <c r="AH51" s="763" t="str">
        <f>IFERROR(IF('Create EDOX for Pre-ESDUView'!N22=0,"",'Create EDOX for Pre-ESDUView'!N22)+AH50,"")</f>
        <v/>
      </c>
      <c r="AI51" s="763" t="str">
        <f>IFERROR(IF('Create EDOX for Pre-ESDUView'!O22=0,"",'Create EDOX for Pre-ESDUView'!O22)+AI50,"")</f>
        <v/>
      </c>
      <c r="AJ51" s="763" t="str">
        <f>IFERROR(IF('Create EDOX for Pre-ESDUView'!P22=0,"",'Create EDOX for Pre-ESDUView'!P22)+AJ50,"")</f>
        <v/>
      </c>
      <c r="AK51" s="763" t="str">
        <f>IFERROR(IF('Create EDOX for Pre-ESDUView'!Q22=0,"",'Create EDOX for Pre-ESDUView'!Q22)+AK50,"")</f>
        <v/>
      </c>
      <c r="AL51" s="763" t="str">
        <f>IFERROR(IF('Create EDOX for Pre-ESDUView'!R22=0,"",'Create EDOX for Pre-ESDUView'!R22)+AL50,"")</f>
        <v/>
      </c>
      <c r="AM51" s="763" t="str">
        <f>IFERROR(IF('Create EDOX for Pre-ESDUView'!S22=0,"",'Create EDOX for Pre-ESDUView'!S22)+AM50,"")</f>
        <v/>
      </c>
      <c r="AN51" s="763" t="str">
        <f>IFERROR(IF('Create EDOX for Pre-ESDUView'!T22=0,"",'Create EDOX for Pre-ESDUView'!T22)+AN50,"")</f>
        <v/>
      </c>
      <c r="AO51" s="763" t="str">
        <f>IFERROR(IF('Create EDOX for Pre-ESDUView'!U22=0,"",'Create EDOX for Pre-ESDUView'!U22)+AO50,"")</f>
        <v/>
      </c>
      <c r="AP51" s="764" t="str">
        <f>IFERROR(IF('Create EDOX for Pre-ESDUView'!V22=0,"",'Create EDOX for Pre-ESDUView'!V22)+AP50,"")</f>
        <v/>
      </c>
      <c r="CB51" s="921">
        <f t="shared" si="100"/>
        <v>100</v>
      </c>
      <c r="CC51" s="926" t="str">
        <f t="shared" si="102"/>
        <v>[10,20,30,40,50,60,70,80,90,100</v>
      </c>
      <c r="CD51" s="922" t="str">
        <f t="shared" si="103"/>
        <v>[</v>
      </c>
      <c r="CE51" s="922" t="str">
        <f t="shared" si="104"/>
        <v>[</v>
      </c>
      <c r="CF51" s="922" t="str">
        <f t="shared" si="105"/>
        <v>[</v>
      </c>
      <c r="CG51" s="922" t="str">
        <f t="shared" si="106"/>
        <v>[</v>
      </c>
      <c r="CH51" s="922" t="str">
        <f t="shared" si="107"/>
        <v>[</v>
      </c>
      <c r="CI51" s="922" t="str">
        <f t="shared" si="108"/>
        <v>[</v>
      </c>
      <c r="CJ51" s="922" t="str">
        <f t="shared" si="109"/>
        <v>[</v>
      </c>
      <c r="CK51" s="922" t="str">
        <f t="shared" si="110"/>
        <v>[</v>
      </c>
      <c r="CL51" s="922" t="str">
        <f t="shared" si="111"/>
        <v>[</v>
      </c>
      <c r="CM51" s="922" t="str">
        <f t="shared" si="112"/>
        <v>[</v>
      </c>
      <c r="CN51" s="922" t="str">
        <f t="shared" si="113"/>
        <v>[</v>
      </c>
      <c r="CO51" s="922" t="str">
        <f t="shared" si="114"/>
        <v>[</v>
      </c>
      <c r="CP51" s="922" t="str">
        <f t="shared" si="115"/>
        <v>[</v>
      </c>
      <c r="CQ51" s="922" t="str">
        <f t="shared" si="116"/>
        <v>[</v>
      </c>
      <c r="CR51" s="922" t="str">
        <f t="shared" si="117"/>
        <v>[</v>
      </c>
      <c r="CS51" s="922" t="str">
        <f t="shared" si="118"/>
        <v>[</v>
      </c>
      <c r="CT51" s="922" t="str">
        <f t="shared" si="119"/>
        <v>[</v>
      </c>
      <c r="CU51" s="922" t="str">
        <f t="shared" si="120"/>
        <v>[</v>
      </c>
      <c r="CV51" s="922" t="str">
        <f t="shared" si="121"/>
        <v>[</v>
      </c>
      <c r="CW51" s="927" t="str">
        <f t="shared" si="122"/>
        <v>[</v>
      </c>
      <c r="DA51" s="585"/>
      <c r="DB51" s="587"/>
      <c r="DC51" s="1288"/>
      <c r="DD51" s="1288"/>
      <c r="DE51" s="1288"/>
      <c r="DF51" s="1288"/>
      <c r="DG51" s="1288"/>
      <c r="DH51" s="1288"/>
      <c r="DI51" s="1288"/>
      <c r="DJ51" s="1288"/>
      <c r="DK51" s="1288"/>
      <c r="DL51" s="1288"/>
      <c r="DM51" s="1288"/>
      <c r="DN51" s="1288"/>
      <c r="DO51" s="1288"/>
      <c r="DP51" s="1288"/>
      <c r="DQ51" s="1288"/>
      <c r="DR51" s="1288"/>
      <c r="DS51" s="1289"/>
    </row>
    <row r="52" spans="19:123" ht="13.5" thickBot="1" x14ac:dyDescent="0.25">
      <c r="BD52" s="577" t="str">
        <f>""</f>
        <v/>
      </c>
      <c r="CB52" s="921">
        <f t="shared" si="100"/>
        <v>110</v>
      </c>
      <c r="CC52" s="926" t="str">
        <f t="shared" si="102"/>
        <v>[10,20,30,40,50,60,70,80,90,100,110</v>
      </c>
      <c r="CD52" s="922" t="str">
        <f t="shared" si="103"/>
        <v>[</v>
      </c>
      <c r="CE52" s="922" t="str">
        <f t="shared" si="104"/>
        <v>[</v>
      </c>
      <c r="CF52" s="922" t="str">
        <f t="shared" si="105"/>
        <v>[</v>
      </c>
      <c r="CG52" s="922" t="str">
        <f t="shared" si="106"/>
        <v>[</v>
      </c>
      <c r="CH52" s="922" t="str">
        <f t="shared" si="107"/>
        <v>[</v>
      </c>
      <c r="CI52" s="922" t="str">
        <f t="shared" si="108"/>
        <v>[</v>
      </c>
      <c r="CJ52" s="922" t="str">
        <f t="shared" si="109"/>
        <v>[</v>
      </c>
      <c r="CK52" s="922" t="str">
        <f t="shared" si="110"/>
        <v>[</v>
      </c>
      <c r="CL52" s="922" t="str">
        <f t="shared" si="111"/>
        <v>[</v>
      </c>
      <c r="CM52" s="922" t="str">
        <f t="shared" si="112"/>
        <v>[</v>
      </c>
      <c r="CN52" s="922" t="str">
        <f t="shared" si="113"/>
        <v>[</v>
      </c>
      <c r="CO52" s="922" t="str">
        <f t="shared" si="114"/>
        <v>[</v>
      </c>
      <c r="CP52" s="922" t="str">
        <f t="shared" si="115"/>
        <v>[</v>
      </c>
      <c r="CQ52" s="922" t="str">
        <f t="shared" si="116"/>
        <v>[</v>
      </c>
      <c r="CR52" s="922" t="str">
        <f t="shared" si="117"/>
        <v>[</v>
      </c>
      <c r="CS52" s="922" t="str">
        <f t="shared" si="118"/>
        <v>[</v>
      </c>
      <c r="CT52" s="922" t="str">
        <f t="shared" si="119"/>
        <v>[</v>
      </c>
      <c r="CU52" s="922" t="str">
        <f t="shared" si="120"/>
        <v>[</v>
      </c>
      <c r="CV52" s="922" t="str">
        <f t="shared" si="121"/>
        <v>[</v>
      </c>
      <c r="CW52" s="927" t="str">
        <f t="shared" si="122"/>
        <v>[</v>
      </c>
      <c r="DA52" s="585"/>
      <c r="DB52" s="587"/>
      <c r="DC52" s="1288"/>
      <c r="DD52" s="1288"/>
      <c r="DE52" s="1288"/>
      <c r="DF52" s="1288"/>
      <c r="DG52" s="1288"/>
      <c r="DH52" s="1288"/>
      <c r="DI52" s="1288"/>
      <c r="DJ52" s="1288"/>
      <c r="DK52" s="1288"/>
      <c r="DL52" s="1288"/>
      <c r="DM52" s="1288"/>
      <c r="DN52" s="1288"/>
      <c r="DO52" s="1288"/>
      <c r="DP52" s="1288"/>
      <c r="DQ52" s="1288"/>
      <c r="DR52" s="1288"/>
      <c r="DS52" s="1289"/>
    </row>
    <row r="53" spans="19:123" ht="13.5" thickBot="1" x14ac:dyDescent="0.25">
      <c r="BD53" s="577" t="str">
        <f>""</f>
        <v/>
      </c>
      <c r="CB53" s="921">
        <f t="shared" si="100"/>
        <v>120</v>
      </c>
      <c r="CC53" s="926" t="str">
        <f t="shared" si="102"/>
        <v>[10,20,30,40,50,60,70,80,90,100,110,120</v>
      </c>
      <c r="CD53" s="922" t="str">
        <f t="shared" si="103"/>
        <v>[</v>
      </c>
      <c r="CE53" s="922" t="str">
        <f t="shared" si="104"/>
        <v>[</v>
      </c>
      <c r="CF53" s="922" t="str">
        <f t="shared" si="105"/>
        <v>[</v>
      </c>
      <c r="CG53" s="922" t="str">
        <f t="shared" si="106"/>
        <v>[</v>
      </c>
      <c r="CH53" s="922" t="str">
        <f t="shared" si="107"/>
        <v>[</v>
      </c>
      <c r="CI53" s="922" t="str">
        <f t="shared" si="108"/>
        <v>[</v>
      </c>
      <c r="CJ53" s="922" t="str">
        <f t="shared" si="109"/>
        <v>[</v>
      </c>
      <c r="CK53" s="922" t="str">
        <f t="shared" si="110"/>
        <v>[</v>
      </c>
      <c r="CL53" s="922" t="str">
        <f t="shared" si="111"/>
        <v>[</v>
      </c>
      <c r="CM53" s="922" t="str">
        <f t="shared" si="112"/>
        <v>[</v>
      </c>
      <c r="CN53" s="922" t="str">
        <f t="shared" si="113"/>
        <v>[</v>
      </c>
      <c r="CO53" s="922" t="str">
        <f t="shared" si="114"/>
        <v>[</v>
      </c>
      <c r="CP53" s="922" t="str">
        <f t="shared" si="115"/>
        <v>[</v>
      </c>
      <c r="CQ53" s="922" t="str">
        <f t="shared" si="116"/>
        <v>[</v>
      </c>
      <c r="CR53" s="922" t="str">
        <f t="shared" si="117"/>
        <v>[</v>
      </c>
      <c r="CS53" s="922" t="str">
        <f t="shared" si="118"/>
        <v>[</v>
      </c>
      <c r="CT53" s="922" t="str">
        <f t="shared" si="119"/>
        <v>[</v>
      </c>
      <c r="CU53" s="922" t="str">
        <f t="shared" si="120"/>
        <v>[</v>
      </c>
      <c r="CV53" s="922" t="str">
        <f t="shared" si="121"/>
        <v>[</v>
      </c>
      <c r="CW53" s="927" t="str">
        <f t="shared" si="122"/>
        <v>[</v>
      </c>
      <c r="DA53" s="585"/>
      <c r="DB53" s="587"/>
      <c r="DC53" s="1288"/>
      <c r="DD53" s="1288"/>
      <c r="DE53" s="1288"/>
      <c r="DF53" s="1288"/>
      <c r="DG53" s="1288"/>
      <c r="DH53" s="1288"/>
      <c r="DI53" s="1288"/>
      <c r="DJ53" s="1288"/>
      <c r="DK53" s="1288"/>
      <c r="DL53" s="1288"/>
      <c r="DM53" s="1288"/>
      <c r="DN53" s="1288"/>
      <c r="DO53" s="1288"/>
      <c r="DP53" s="1288"/>
      <c r="DQ53" s="1288"/>
      <c r="DR53" s="1288"/>
      <c r="DS53" s="1289"/>
    </row>
    <row r="54" spans="19:123" ht="13.5" thickBot="1" x14ac:dyDescent="0.25">
      <c r="BD54" s="577" t="str">
        <f>""</f>
        <v/>
      </c>
      <c r="CB54" s="921">
        <f t="shared" si="100"/>
        <v>130</v>
      </c>
      <c r="CC54" s="926" t="str">
        <f t="shared" si="102"/>
        <v>[10,20,30,40,50,60,70,80,90,100,110,120,130</v>
      </c>
      <c r="CD54" s="922" t="str">
        <f t="shared" si="103"/>
        <v>[</v>
      </c>
      <c r="CE54" s="922" t="str">
        <f t="shared" si="104"/>
        <v>[</v>
      </c>
      <c r="CF54" s="922" t="str">
        <f t="shared" si="105"/>
        <v>[</v>
      </c>
      <c r="CG54" s="922" t="str">
        <f t="shared" si="106"/>
        <v>[</v>
      </c>
      <c r="CH54" s="922" t="str">
        <f t="shared" si="107"/>
        <v>[</v>
      </c>
      <c r="CI54" s="922" t="str">
        <f t="shared" si="108"/>
        <v>[</v>
      </c>
      <c r="CJ54" s="922" t="str">
        <f t="shared" si="109"/>
        <v>[</v>
      </c>
      <c r="CK54" s="922" t="str">
        <f t="shared" si="110"/>
        <v>[</v>
      </c>
      <c r="CL54" s="922" t="str">
        <f t="shared" si="111"/>
        <v>[</v>
      </c>
      <c r="CM54" s="922" t="str">
        <f t="shared" si="112"/>
        <v>[</v>
      </c>
      <c r="CN54" s="922" t="str">
        <f t="shared" si="113"/>
        <v>[</v>
      </c>
      <c r="CO54" s="922" t="str">
        <f t="shared" si="114"/>
        <v>[</v>
      </c>
      <c r="CP54" s="922" t="str">
        <f t="shared" si="115"/>
        <v>[</v>
      </c>
      <c r="CQ54" s="922" t="str">
        <f t="shared" si="116"/>
        <v>[</v>
      </c>
      <c r="CR54" s="922" t="str">
        <f t="shared" si="117"/>
        <v>[</v>
      </c>
      <c r="CS54" s="922" t="str">
        <f t="shared" si="118"/>
        <v>[</v>
      </c>
      <c r="CT54" s="922" t="str">
        <f t="shared" si="119"/>
        <v>[</v>
      </c>
      <c r="CU54" s="922" t="str">
        <f t="shared" si="120"/>
        <v>[</v>
      </c>
      <c r="CV54" s="922" t="str">
        <f t="shared" si="121"/>
        <v>[</v>
      </c>
      <c r="CW54" s="927" t="str">
        <f t="shared" si="122"/>
        <v>[</v>
      </c>
      <c r="DA54" s="585"/>
      <c r="DB54" s="587"/>
      <c r="DC54" s="1288"/>
      <c r="DD54" s="1288"/>
      <c r="DE54" s="1288"/>
      <c r="DF54" s="1288"/>
      <c r="DG54" s="1288"/>
      <c r="DH54" s="1288"/>
      <c r="DI54" s="1288"/>
      <c r="DJ54" s="1288"/>
      <c r="DK54" s="1288"/>
      <c r="DL54" s="1288"/>
      <c r="DM54" s="1288"/>
      <c r="DN54" s="1288"/>
      <c r="DO54" s="1288"/>
      <c r="DP54" s="1288"/>
      <c r="DQ54" s="1288"/>
      <c r="DR54" s="1288"/>
      <c r="DS54" s="1289"/>
    </row>
    <row r="55" spans="19:123" ht="13.5" thickBot="1" x14ac:dyDescent="0.25">
      <c r="BD55" s="577" t="str">
        <f>""</f>
        <v/>
      </c>
      <c r="CB55" s="921">
        <f t="shared" si="100"/>
        <v>140</v>
      </c>
      <c r="CC55" s="926" t="str">
        <f t="shared" si="102"/>
        <v>[10,20,30,40,50,60,70,80,90,100,110,120,130,140</v>
      </c>
      <c r="CD55" s="922" t="str">
        <f t="shared" si="103"/>
        <v>[</v>
      </c>
      <c r="CE55" s="922" t="str">
        <f t="shared" si="104"/>
        <v>[</v>
      </c>
      <c r="CF55" s="922" t="str">
        <f t="shared" si="105"/>
        <v>[</v>
      </c>
      <c r="CG55" s="922" t="str">
        <f t="shared" si="106"/>
        <v>[</v>
      </c>
      <c r="CH55" s="922" t="str">
        <f t="shared" si="107"/>
        <v>[</v>
      </c>
      <c r="CI55" s="922" t="str">
        <f t="shared" si="108"/>
        <v>[</v>
      </c>
      <c r="CJ55" s="922" t="str">
        <f t="shared" si="109"/>
        <v>[</v>
      </c>
      <c r="CK55" s="922" t="str">
        <f t="shared" si="110"/>
        <v>[</v>
      </c>
      <c r="CL55" s="922" t="str">
        <f t="shared" si="111"/>
        <v>[</v>
      </c>
      <c r="CM55" s="922" t="str">
        <f t="shared" si="112"/>
        <v>[</v>
      </c>
      <c r="CN55" s="922" t="str">
        <f t="shared" si="113"/>
        <v>[</v>
      </c>
      <c r="CO55" s="922" t="str">
        <f t="shared" si="114"/>
        <v>[</v>
      </c>
      <c r="CP55" s="922" t="str">
        <f t="shared" si="115"/>
        <v>[</v>
      </c>
      <c r="CQ55" s="922" t="str">
        <f t="shared" si="116"/>
        <v>[</v>
      </c>
      <c r="CR55" s="922" t="str">
        <f t="shared" si="117"/>
        <v>[</v>
      </c>
      <c r="CS55" s="922" t="str">
        <f t="shared" si="118"/>
        <v>[</v>
      </c>
      <c r="CT55" s="922" t="str">
        <f t="shared" si="119"/>
        <v>[</v>
      </c>
      <c r="CU55" s="922" t="str">
        <f t="shared" si="120"/>
        <v>[</v>
      </c>
      <c r="CV55" s="922" t="str">
        <f t="shared" si="121"/>
        <v>[</v>
      </c>
      <c r="CW55" s="927" t="str">
        <f t="shared" si="122"/>
        <v>[</v>
      </c>
      <c r="DA55" s="585"/>
      <c r="DB55" s="587"/>
      <c r="DC55" s="1288"/>
      <c r="DD55" s="1288"/>
      <c r="DE55" s="1288"/>
      <c r="DF55" s="1288"/>
      <c r="DG55" s="1288"/>
      <c r="DH55" s="1288"/>
      <c r="DI55" s="1288"/>
      <c r="DJ55" s="1288"/>
      <c r="DK55" s="1288"/>
      <c r="DL55" s="1288"/>
      <c r="DM55" s="1288"/>
      <c r="DN55" s="1288"/>
      <c r="DO55" s="1288"/>
      <c r="DP55" s="1288"/>
      <c r="DQ55" s="1288"/>
      <c r="DR55" s="1288"/>
      <c r="DS55" s="1289"/>
    </row>
    <row r="56" spans="19:123" ht="13.5" thickBot="1" x14ac:dyDescent="0.25">
      <c r="BD56" s="577" t="str">
        <f>""</f>
        <v/>
      </c>
      <c r="CB56" s="921">
        <f t="shared" si="100"/>
        <v>150</v>
      </c>
      <c r="CC56" s="926" t="str">
        <f t="shared" si="102"/>
        <v>[10,20,30,40,50,60,70,80,90,100,110,120,130,140,150</v>
      </c>
      <c r="CD56" s="922" t="str">
        <f t="shared" si="103"/>
        <v>[</v>
      </c>
      <c r="CE56" s="922" t="str">
        <f t="shared" si="104"/>
        <v>[</v>
      </c>
      <c r="CF56" s="922" t="str">
        <f t="shared" si="105"/>
        <v>[</v>
      </c>
      <c r="CG56" s="922" t="str">
        <f t="shared" si="106"/>
        <v>[</v>
      </c>
      <c r="CH56" s="922" t="str">
        <f t="shared" si="107"/>
        <v>[</v>
      </c>
      <c r="CI56" s="922" t="str">
        <f t="shared" si="108"/>
        <v>[</v>
      </c>
      <c r="CJ56" s="922" t="str">
        <f t="shared" si="109"/>
        <v>[</v>
      </c>
      <c r="CK56" s="922" t="str">
        <f t="shared" si="110"/>
        <v>[</v>
      </c>
      <c r="CL56" s="922" t="str">
        <f t="shared" si="111"/>
        <v>[</v>
      </c>
      <c r="CM56" s="922" t="str">
        <f t="shared" si="112"/>
        <v>[</v>
      </c>
      <c r="CN56" s="922" t="str">
        <f t="shared" si="113"/>
        <v>[</v>
      </c>
      <c r="CO56" s="922" t="str">
        <f t="shared" si="114"/>
        <v>[</v>
      </c>
      <c r="CP56" s="922" t="str">
        <f t="shared" si="115"/>
        <v>[</v>
      </c>
      <c r="CQ56" s="922" t="str">
        <f t="shared" si="116"/>
        <v>[</v>
      </c>
      <c r="CR56" s="922" t="str">
        <f t="shared" si="117"/>
        <v>[</v>
      </c>
      <c r="CS56" s="922" t="str">
        <f t="shared" si="118"/>
        <v>[</v>
      </c>
      <c r="CT56" s="922" t="str">
        <f t="shared" si="119"/>
        <v>[</v>
      </c>
      <c r="CU56" s="922" t="str">
        <f t="shared" si="120"/>
        <v>[</v>
      </c>
      <c r="CV56" s="922" t="str">
        <f t="shared" si="121"/>
        <v>[</v>
      </c>
      <c r="CW56" s="927" t="str">
        <f t="shared" si="122"/>
        <v>[</v>
      </c>
      <c r="DA56" s="585"/>
      <c r="DB56" s="587"/>
      <c r="DC56" s="1288"/>
      <c r="DD56" s="1288"/>
      <c r="DE56" s="1288"/>
      <c r="DF56" s="1288"/>
      <c r="DG56" s="1288"/>
      <c r="DH56" s="1288"/>
      <c r="DI56" s="1288"/>
      <c r="DJ56" s="1288"/>
      <c r="DK56" s="1288"/>
      <c r="DL56" s="1288"/>
      <c r="DM56" s="1288"/>
      <c r="DN56" s="1288"/>
      <c r="DO56" s="1288"/>
      <c r="DP56" s="1288"/>
      <c r="DQ56" s="1288"/>
      <c r="DR56" s="1288"/>
      <c r="DS56" s="1289"/>
    </row>
    <row r="57" spans="19:123" ht="13.5" thickBot="1" x14ac:dyDescent="0.25">
      <c r="BD57" s="577" t="str">
        <f>""</f>
        <v/>
      </c>
      <c r="CB57" s="921">
        <f t="shared" si="100"/>
        <v>160</v>
      </c>
      <c r="CC57" s="926" t="str">
        <f t="shared" si="102"/>
        <v>[10,20,30,40,50,60,70,80,90,100,110,120,130,140,150,160</v>
      </c>
      <c r="CD57" s="922" t="str">
        <f t="shared" si="103"/>
        <v>[</v>
      </c>
      <c r="CE57" s="922" t="str">
        <f t="shared" si="104"/>
        <v>[</v>
      </c>
      <c r="CF57" s="922" t="str">
        <f t="shared" si="105"/>
        <v>[</v>
      </c>
      <c r="CG57" s="922" t="str">
        <f t="shared" si="106"/>
        <v>[</v>
      </c>
      <c r="CH57" s="922" t="str">
        <f t="shared" si="107"/>
        <v>[</v>
      </c>
      <c r="CI57" s="922" t="str">
        <f t="shared" si="108"/>
        <v>[</v>
      </c>
      <c r="CJ57" s="922" t="str">
        <f t="shared" si="109"/>
        <v>[</v>
      </c>
      <c r="CK57" s="922" t="str">
        <f t="shared" si="110"/>
        <v>[</v>
      </c>
      <c r="CL57" s="922" t="str">
        <f t="shared" si="111"/>
        <v>[</v>
      </c>
      <c r="CM57" s="922" t="str">
        <f t="shared" si="112"/>
        <v>[</v>
      </c>
      <c r="CN57" s="922" t="str">
        <f t="shared" si="113"/>
        <v>[</v>
      </c>
      <c r="CO57" s="922" t="str">
        <f t="shared" si="114"/>
        <v>[</v>
      </c>
      <c r="CP57" s="922" t="str">
        <f t="shared" si="115"/>
        <v>[</v>
      </c>
      <c r="CQ57" s="922" t="str">
        <f t="shared" si="116"/>
        <v>[</v>
      </c>
      <c r="CR57" s="922" t="str">
        <f t="shared" si="117"/>
        <v>[</v>
      </c>
      <c r="CS57" s="922" t="str">
        <f t="shared" si="118"/>
        <v>[</v>
      </c>
      <c r="CT57" s="922" t="str">
        <f t="shared" si="119"/>
        <v>[</v>
      </c>
      <c r="CU57" s="922" t="str">
        <f t="shared" si="120"/>
        <v>[</v>
      </c>
      <c r="CV57" s="922" t="str">
        <f t="shared" si="121"/>
        <v>[</v>
      </c>
      <c r="CW57" s="927" t="str">
        <f t="shared" si="122"/>
        <v>[</v>
      </c>
      <c r="DA57" s="585"/>
      <c r="DB57" s="587"/>
      <c r="DC57" s="1288"/>
      <c r="DD57" s="1288"/>
      <c r="DE57" s="1288"/>
      <c r="DF57" s="1288"/>
      <c r="DG57" s="1288"/>
      <c r="DH57" s="1288"/>
      <c r="DI57" s="1288"/>
      <c r="DJ57" s="1288"/>
      <c r="DK57" s="1288"/>
      <c r="DL57" s="1288"/>
      <c r="DM57" s="1288"/>
      <c r="DN57" s="1288"/>
      <c r="DO57" s="1288"/>
      <c r="DP57" s="1288"/>
      <c r="DQ57" s="1288"/>
      <c r="DR57" s="1288"/>
      <c r="DS57" s="1289"/>
    </row>
    <row r="58" spans="19:123" ht="13.5" thickBot="1" x14ac:dyDescent="0.25">
      <c r="BD58" s="577" t="str">
        <f>""</f>
        <v/>
      </c>
      <c r="BG58" s="577" t="s">
        <v>590</v>
      </c>
      <c r="CB58" s="921">
        <f t="shared" si="100"/>
        <v>170</v>
      </c>
      <c r="CC58" s="926" t="str">
        <f t="shared" si="102"/>
        <v>[10,20,30,40,50,60,70,80,90,100,110,120,130,140,150,160,170</v>
      </c>
      <c r="CD58" s="922" t="str">
        <f t="shared" si="103"/>
        <v>[</v>
      </c>
      <c r="CE58" s="922" t="str">
        <f t="shared" si="104"/>
        <v>[</v>
      </c>
      <c r="CF58" s="922" t="str">
        <f t="shared" si="105"/>
        <v>[</v>
      </c>
      <c r="CG58" s="922" t="str">
        <f t="shared" si="106"/>
        <v>[</v>
      </c>
      <c r="CH58" s="922" t="str">
        <f t="shared" si="107"/>
        <v>[</v>
      </c>
      <c r="CI58" s="922" t="str">
        <f t="shared" si="108"/>
        <v>[</v>
      </c>
      <c r="CJ58" s="922" t="str">
        <f t="shared" si="109"/>
        <v>[</v>
      </c>
      <c r="CK58" s="922" t="str">
        <f t="shared" si="110"/>
        <v>[</v>
      </c>
      <c r="CL58" s="922" t="str">
        <f t="shared" si="111"/>
        <v>[</v>
      </c>
      <c r="CM58" s="922" t="str">
        <f t="shared" si="112"/>
        <v>[</v>
      </c>
      <c r="CN58" s="922" t="str">
        <f t="shared" si="113"/>
        <v>[</v>
      </c>
      <c r="CO58" s="922" t="str">
        <f t="shared" si="114"/>
        <v>[</v>
      </c>
      <c r="CP58" s="922" t="str">
        <f t="shared" si="115"/>
        <v>[</v>
      </c>
      <c r="CQ58" s="922" t="str">
        <f t="shared" si="116"/>
        <v>[</v>
      </c>
      <c r="CR58" s="922" t="str">
        <f t="shared" si="117"/>
        <v>[</v>
      </c>
      <c r="CS58" s="922" t="str">
        <f t="shared" si="118"/>
        <v>[</v>
      </c>
      <c r="CT58" s="922" t="str">
        <f t="shared" si="119"/>
        <v>[</v>
      </c>
      <c r="CU58" s="922" t="str">
        <f t="shared" si="120"/>
        <v>[</v>
      </c>
      <c r="CV58" s="922" t="str">
        <f t="shared" si="121"/>
        <v>[</v>
      </c>
      <c r="CW58" s="927" t="str">
        <f t="shared" si="122"/>
        <v>[</v>
      </c>
      <c r="DA58" s="585"/>
      <c r="DB58" s="587"/>
      <c r="DC58" s="1288"/>
      <c r="DD58" s="1288"/>
      <c r="DE58" s="1288"/>
      <c r="DF58" s="1288"/>
      <c r="DG58" s="1288"/>
      <c r="DH58" s="1288"/>
      <c r="DI58" s="1288"/>
      <c r="DJ58" s="1288"/>
      <c r="DK58" s="1288"/>
      <c r="DL58" s="1288"/>
      <c r="DM58" s="1288"/>
      <c r="DN58" s="1288"/>
      <c r="DO58" s="1288"/>
      <c r="DP58" s="1288"/>
      <c r="DQ58" s="1288"/>
      <c r="DR58" s="1288"/>
      <c r="DS58" s="1289"/>
    </row>
    <row r="59" spans="19:123" ht="13.5" thickBot="1" x14ac:dyDescent="0.25">
      <c r="BD59" s="577" t="str">
        <f>""</f>
        <v/>
      </c>
      <c r="BG59" s="577" t="s">
        <v>527</v>
      </c>
      <c r="CB59" s="921">
        <f t="shared" si="100"/>
        <v>180</v>
      </c>
      <c r="CC59" s="926" t="str">
        <f t="shared" si="102"/>
        <v>[10,20,30,40,50,60,70,80,90,100,110,120,130,140,150,160,170,180</v>
      </c>
      <c r="CD59" s="922" t="str">
        <f t="shared" si="103"/>
        <v>[</v>
      </c>
      <c r="CE59" s="922" t="str">
        <f t="shared" si="104"/>
        <v>[</v>
      </c>
      <c r="CF59" s="922" t="str">
        <f t="shared" si="105"/>
        <v>[</v>
      </c>
      <c r="CG59" s="922" t="str">
        <f t="shared" si="106"/>
        <v>[</v>
      </c>
      <c r="CH59" s="922" t="str">
        <f t="shared" si="107"/>
        <v>[</v>
      </c>
      <c r="CI59" s="922" t="str">
        <f t="shared" si="108"/>
        <v>[</v>
      </c>
      <c r="CJ59" s="922" t="str">
        <f t="shared" si="109"/>
        <v>[</v>
      </c>
      <c r="CK59" s="922" t="str">
        <f t="shared" si="110"/>
        <v>[</v>
      </c>
      <c r="CL59" s="922" t="str">
        <f t="shared" si="111"/>
        <v>[</v>
      </c>
      <c r="CM59" s="922" t="str">
        <f t="shared" si="112"/>
        <v>[</v>
      </c>
      <c r="CN59" s="922" t="str">
        <f t="shared" si="113"/>
        <v>[</v>
      </c>
      <c r="CO59" s="922" t="str">
        <f t="shared" si="114"/>
        <v>[</v>
      </c>
      <c r="CP59" s="922" t="str">
        <f t="shared" si="115"/>
        <v>[</v>
      </c>
      <c r="CQ59" s="922" t="str">
        <f t="shared" si="116"/>
        <v>[</v>
      </c>
      <c r="CR59" s="922" t="str">
        <f t="shared" si="117"/>
        <v>[</v>
      </c>
      <c r="CS59" s="922" t="str">
        <f t="shared" si="118"/>
        <v>[</v>
      </c>
      <c r="CT59" s="922" t="str">
        <f t="shared" si="119"/>
        <v>[</v>
      </c>
      <c r="CU59" s="922" t="str">
        <f t="shared" si="120"/>
        <v>[</v>
      </c>
      <c r="CV59" s="922" t="str">
        <f t="shared" si="121"/>
        <v>[</v>
      </c>
      <c r="CW59" s="927" t="str">
        <f t="shared" si="122"/>
        <v>[</v>
      </c>
      <c r="DA59" s="585"/>
      <c r="DB59" s="587"/>
      <c r="DC59" s="1288"/>
      <c r="DD59" s="1288"/>
      <c r="DE59" s="1288"/>
      <c r="DF59" s="1288"/>
      <c r="DG59" s="1288"/>
      <c r="DH59" s="1288"/>
      <c r="DI59" s="1288"/>
      <c r="DJ59" s="1288"/>
      <c r="DK59" s="1288"/>
      <c r="DL59" s="1288"/>
      <c r="DM59" s="1288"/>
      <c r="DN59" s="1288"/>
      <c r="DO59" s="1288"/>
      <c r="DP59" s="1288"/>
      <c r="DQ59" s="1288"/>
      <c r="DR59" s="1288"/>
      <c r="DS59" s="1289"/>
    </row>
    <row r="60" spans="19:123" ht="13.5" thickBot="1" x14ac:dyDescent="0.25">
      <c r="S60" s="577" t="s">
        <v>585</v>
      </c>
      <c r="BD60" s="577" t="str">
        <f>""</f>
        <v/>
      </c>
      <c r="BG60" s="782" t="s">
        <v>454</v>
      </c>
      <c r="BH60" s="783" t="s">
        <v>511</v>
      </c>
      <c r="BI60" s="784" t="s">
        <v>512</v>
      </c>
      <c r="CB60" s="921">
        <f t="shared" si="100"/>
        <v>190</v>
      </c>
      <c r="CC60" s="926" t="str">
        <f t="shared" si="102"/>
        <v>[10,20,30,40,50,60,70,80,90,100,110,120,130,140,150,160,170,180,190</v>
      </c>
      <c r="CD60" s="922" t="str">
        <f t="shared" si="103"/>
        <v>[</v>
      </c>
      <c r="CE60" s="922" t="str">
        <f t="shared" si="104"/>
        <v>[</v>
      </c>
      <c r="CF60" s="922" t="str">
        <f t="shared" si="105"/>
        <v>[</v>
      </c>
      <c r="CG60" s="922" t="str">
        <f t="shared" si="106"/>
        <v>[</v>
      </c>
      <c r="CH60" s="922" t="str">
        <f t="shared" si="107"/>
        <v>[</v>
      </c>
      <c r="CI60" s="922" t="str">
        <f t="shared" si="108"/>
        <v>[</v>
      </c>
      <c r="CJ60" s="922" t="str">
        <f t="shared" si="109"/>
        <v>[</v>
      </c>
      <c r="CK60" s="922" t="str">
        <f t="shared" si="110"/>
        <v>[</v>
      </c>
      <c r="CL60" s="922" t="str">
        <f t="shared" si="111"/>
        <v>[</v>
      </c>
      <c r="CM60" s="922" t="str">
        <f t="shared" si="112"/>
        <v>[</v>
      </c>
      <c r="CN60" s="922" t="str">
        <f t="shared" si="113"/>
        <v>[</v>
      </c>
      <c r="CO60" s="922" t="str">
        <f t="shared" si="114"/>
        <v>[</v>
      </c>
      <c r="CP60" s="922" t="str">
        <f t="shared" si="115"/>
        <v>[</v>
      </c>
      <c r="CQ60" s="922" t="str">
        <f t="shared" si="116"/>
        <v>[</v>
      </c>
      <c r="CR60" s="922" t="str">
        <f t="shared" si="117"/>
        <v>[</v>
      </c>
      <c r="CS60" s="922" t="str">
        <f t="shared" si="118"/>
        <v>[</v>
      </c>
      <c r="CT60" s="922" t="str">
        <f t="shared" si="119"/>
        <v>[</v>
      </c>
      <c r="CU60" s="922" t="str">
        <f t="shared" si="120"/>
        <v>[</v>
      </c>
      <c r="CV60" s="922" t="str">
        <f t="shared" si="121"/>
        <v>[</v>
      </c>
      <c r="CW60" s="927" t="str">
        <f t="shared" si="122"/>
        <v>[</v>
      </c>
      <c r="DA60" s="585"/>
      <c r="DB60" s="587"/>
      <c r="DC60" s="1288"/>
      <c r="DD60" s="1288"/>
      <c r="DE60" s="1288"/>
      <c r="DF60" s="1288"/>
      <c r="DG60" s="1288"/>
      <c r="DH60" s="1288"/>
      <c r="DI60" s="1288"/>
      <c r="DJ60" s="1288"/>
      <c r="DK60" s="1288"/>
      <c r="DL60" s="1288"/>
      <c r="DM60" s="1288"/>
      <c r="DN60" s="1288"/>
      <c r="DO60" s="1288"/>
      <c r="DP60" s="1288"/>
      <c r="DQ60" s="1288"/>
      <c r="DR60" s="1288"/>
      <c r="DS60" s="1289"/>
    </row>
    <row r="61" spans="19:123" ht="15.75" customHeight="1" thickBot="1" x14ac:dyDescent="0.3">
      <c r="S61" s="1275" t="s">
        <v>494</v>
      </c>
      <c r="T61" s="1276"/>
      <c r="U61" s="1276"/>
      <c r="V61" s="1276"/>
      <c r="W61" s="1276"/>
      <c r="X61" s="1276"/>
      <c r="Y61" s="1276"/>
      <c r="Z61" s="1276"/>
      <c r="AA61" s="1276"/>
      <c r="AB61" s="1276"/>
      <c r="AC61" s="1276"/>
      <c r="AD61" s="1276"/>
      <c r="AE61" s="1276"/>
      <c r="AF61" s="1276"/>
      <c r="AG61" s="1276"/>
      <c r="AH61" s="1276"/>
      <c r="AI61" s="1276"/>
      <c r="AJ61" s="1276"/>
      <c r="AK61" s="1276"/>
      <c r="AL61" s="1276"/>
      <c r="AM61" s="1276"/>
      <c r="AN61" s="1276"/>
      <c r="AO61" s="1276"/>
      <c r="AP61" s="1276"/>
      <c r="AQ61" s="1276"/>
      <c r="AR61" s="1276"/>
      <c r="AS61" s="1276"/>
      <c r="AT61" s="1276"/>
      <c r="AU61" s="1276"/>
      <c r="AV61" s="1276"/>
      <c r="AW61" s="1276"/>
      <c r="AX61" s="1276"/>
      <c r="AY61" s="1276"/>
      <c r="AZ61" s="1276"/>
      <c r="BA61" s="1276"/>
      <c r="BB61" s="1276"/>
      <c r="BC61" s="1277"/>
      <c r="BD61" s="577" t="str">
        <f>""</f>
        <v/>
      </c>
      <c r="BG61" s="772">
        <v>10</v>
      </c>
      <c r="BH61" s="785">
        <f>T5</f>
        <v>1</v>
      </c>
      <c r="BI61" s="774" t="str">
        <f t="shared" ref="BI61:BI96" si="123">CHAR(69+BH61)</f>
        <v>F</v>
      </c>
      <c r="CB61" s="921">
        <f t="shared" si="100"/>
        <v>200</v>
      </c>
      <c r="CC61" s="926" t="str">
        <f t="shared" si="102"/>
        <v>[10,20,30,40,50,60,70,80,90,100,110,120,130,140,150,160,170,180,190,200</v>
      </c>
      <c r="CD61" s="922" t="str">
        <f t="shared" si="103"/>
        <v>[</v>
      </c>
      <c r="CE61" s="922" t="str">
        <f t="shared" si="104"/>
        <v>[</v>
      </c>
      <c r="CF61" s="922" t="str">
        <f t="shared" si="105"/>
        <v>[</v>
      </c>
      <c r="CG61" s="922" t="str">
        <f t="shared" si="106"/>
        <v>[</v>
      </c>
      <c r="CH61" s="922" t="str">
        <f t="shared" si="107"/>
        <v>[</v>
      </c>
      <c r="CI61" s="922" t="str">
        <f t="shared" si="108"/>
        <v>[</v>
      </c>
      <c r="CJ61" s="922" t="str">
        <f t="shared" si="109"/>
        <v>[</v>
      </c>
      <c r="CK61" s="922" t="str">
        <f t="shared" si="110"/>
        <v>[</v>
      </c>
      <c r="CL61" s="922" t="str">
        <f t="shared" si="111"/>
        <v>[</v>
      </c>
      <c r="CM61" s="922" t="str">
        <f t="shared" si="112"/>
        <v>[</v>
      </c>
      <c r="CN61" s="922" t="str">
        <f t="shared" si="113"/>
        <v>[</v>
      </c>
      <c r="CO61" s="922" t="str">
        <f t="shared" si="114"/>
        <v>[</v>
      </c>
      <c r="CP61" s="922" t="str">
        <f t="shared" si="115"/>
        <v>[</v>
      </c>
      <c r="CQ61" s="922" t="str">
        <f t="shared" si="116"/>
        <v>[</v>
      </c>
      <c r="CR61" s="922" t="str">
        <f t="shared" si="117"/>
        <v>[</v>
      </c>
      <c r="CS61" s="922" t="str">
        <f t="shared" si="118"/>
        <v>[</v>
      </c>
      <c r="CT61" s="922" t="str">
        <f t="shared" si="119"/>
        <v>[</v>
      </c>
      <c r="CU61" s="922" t="str">
        <f t="shared" si="120"/>
        <v>[</v>
      </c>
      <c r="CV61" s="922" t="str">
        <f t="shared" si="121"/>
        <v>[</v>
      </c>
      <c r="CW61" s="927" t="str">
        <f t="shared" si="122"/>
        <v>[</v>
      </c>
      <c r="DA61" s="585"/>
      <c r="DB61" s="587"/>
      <c r="DC61" s="1288"/>
      <c r="DD61" s="1288"/>
      <c r="DE61" s="1288"/>
      <c r="DF61" s="1288"/>
      <c r="DG61" s="1288"/>
      <c r="DH61" s="1288"/>
      <c r="DI61" s="1288"/>
      <c r="DJ61" s="1288"/>
      <c r="DK61" s="1288"/>
      <c r="DL61" s="1288"/>
      <c r="DM61" s="1288"/>
      <c r="DN61" s="1288"/>
      <c r="DO61" s="1288"/>
      <c r="DP61" s="1288"/>
      <c r="DQ61" s="1288"/>
      <c r="DR61" s="1288"/>
      <c r="DS61" s="1289"/>
    </row>
    <row r="62" spans="19:123" ht="13.5" thickBot="1" x14ac:dyDescent="0.25">
      <c r="S62" s="643" t="s">
        <v>485</v>
      </c>
      <c r="T62" s="644" t="s">
        <v>484</v>
      </c>
      <c r="U62" s="618"/>
      <c r="V62" s="618"/>
      <c r="W62" s="618"/>
      <c r="X62" s="618"/>
      <c r="Y62" s="618"/>
      <c r="Z62" s="618"/>
      <c r="AA62" s="618"/>
      <c r="AB62" s="618"/>
      <c r="AC62" s="618"/>
      <c r="AD62" s="618"/>
      <c r="AE62" s="618"/>
      <c r="AF62" s="618"/>
      <c r="AG62" s="618"/>
      <c r="AH62" s="618"/>
      <c r="AI62" s="618"/>
      <c r="AJ62" s="618"/>
      <c r="AK62" s="618"/>
      <c r="AL62" s="618"/>
      <c r="AM62" s="618"/>
      <c r="AN62" s="618"/>
      <c r="AO62" s="618"/>
      <c r="AP62" s="618"/>
      <c r="AQ62" s="618"/>
      <c r="AR62" s="618"/>
      <c r="AS62" s="618"/>
      <c r="AT62" s="618"/>
      <c r="AU62" s="618"/>
      <c r="AV62" s="618"/>
      <c r="AW62" s="618"/>
      <c r="AX62" s="618"/>
      <c r="AY62" s="618"/>
      <c r="AZ62" s="618"/>
      <c r="BA62" s="618"/>
      <c r="BB62" s="618"/>
      <c r="BC62" s="619"/>
      <c r="BD62" s="577" t="str">
        <f>""</f>
        <v/>
      </c>
      <c r="BG62" s="772">
        <v>20</v>
      </c>
      <c r="BH62" s="785">
        <f>U5</f>
        <v>1</v>
      </c>
      <c r="BI62" s="774" t="str">
        <f t="shared" si="123"/>
        <v>F</v>
      </c>
      <c r="CB62" s="921">
        <f t="shared" si="100"/>
        <v>210</v>
      </c>
      <c r="CC62" s="926" t="str">
        <f t="shared" si="102"/>
        <v>[10,20,30,40,50,60,70,80,90,100,110,120,130,140,150,160,170,180,190,200,210</v>
      </c>
      <c r="CD62" s="922" t="str">
        <f t="shared" si="103"/>
        <v>[</v>
      </c>
      <c r="CE62" s="922" t="str">
        <f t="shared" si="104"/>
        <v>[</v>
      </c>
      <c r="CF62" s="922" t="str">
        <f t="shared" si="105"/>
        <v>[</v>
      </c>
      <c r="CG62" s="922" t="str">
        <f t="shared" si="106"/>
        <v>[</v>
      </c>
      <c r="CH62" s="922" t="str">
        <f t="shared" si="107"/>
        <v>[</v>
      </c>
      <c r="CI62" s="922" t="str">
        <f t="shared" si="108"/>
        <v>[</v>
      </c>
      <c r="CJ62" s="922" t="str">
        <f t="shared" si="109"/>
        <v>[</v>
      </c>
      <c r="CK62" s="922" t="str">
        <f t="shared" si="110"/>
        <v>[</v>
      </c>
      <c r="CL62" s="922" t="str">
        <f t="shared" si="111"/>
        <v>[</v>
      </c>
      <c r="CM62" s="922" t="str">
        <f t="shared" si="112"/>
        <v>[</v>
      </c>
      <c r="CN62" s="922" t="str">
        <f t="shared" si="113"/>
        <v>[</v>
      </c>
      <c r="CO62" s="922" t="str">
        <f t="shared" si="114"/>
        <v>[</v>
      </c>
      <c r="CP62" s="922" t="str">
        <f t="shared" si="115"/>
        <v>[</v>
      </c>
      <c r="CQ62" s="922" t="str">
        <f t="shared" si="116"/>
        <v>[</v>
      </c>
      <c r="CR62" s="922" t="str">
        <f t="shared" si="117"/>
        <v>[</v>
      </c>
      <c r="CS62" s="922" t="str">
        <f t="shared" si="118"/>
        <v>[</v>
      </c>
      <c r="CT62" s="922" t="str">
        <f t="shared" si="119"/>
        <v>[</v>
      </c>
      <c r="CU62" s="922" t="str">
        <f t="shared" si="120"/>
        <v>[</v>
      </c>
      <c r="CV62" s="922" t="str">
        <f t="shared" si="121"/>
        <v>[</v>
      </c>
      <c r="CW62" s="927" t="str">
        <f t="shared" si="122"/>
        <v>[</v>
      </c>
      <c r="DA62" s="585"/>
      <c r="DB62" s="587"/>
      <c r="DC62" s="1288"/>
      <c r="DD62" s="1288"/>
      <c r="DE62" s="1288"/>
      <c r="DF62" s="1288"/>
      <c r="DG62" s="1288"/>
      <c r="DH62" s="1288"/>
      <c r="DI62" s="1288"/>
      <c r="DJ62" s="1288"/>
      <c r="DK62" s="1288"/>
      <c r="DL62" s="1288"/>
      <c r="DM62" s="1288"/>
      <c r="DN62" s="1288"/>
      <c r="DO62" s="1288"/>
      <c r="DP62" s="1288"/>
      <c r="DQ62" s="1288"/>
      <c r="DR62" s="1288"/>
      <c r="DS62" s="1289"/>
    </row>
    <row r="63" spans="19:123" ht="13.5" thickBot="1" x14ac:dyDescent="0.25">
      <c r="S63" s="642" t="s">
        <v>454</v>
      </c>
      <c r="T63" s="587">
        <f t="shared" ref="T63:BC63" si="124">T4</f>
        <v>10</v>
      </c>
      <c r="U63" s="587">
        <f t="shared" si="124"/>
        <v>20</v>
      </c>
      <c r="V63" s="587">
        <f t="shared" si="124"/>
        <v>30</v>
      </c>
      <c r="W63" s="587">
        <f t="shared" si="124"/>
        <v>40</v>
      </c>
      <c r="X63" s="587">
        <f t="shared" si="124"/>
        <v>50</v>
      </c>
      <c r="Y63" s="587">
        <f t="shared" si="124"/>
        <v>60</v>
      </c>
      <c r="Z63" s="587">
        <f t="shared" si="124"/>
        <v>70</v>
      </c>
      <c r="AA63" s="587">
        <f t="shared" si="124"/>
        <v>80</v>
      </c>
      <c r="AB63" s="587">
        <f t="shared" si="124"/>
        <v>90</v>
      </c>
      <c r="AC63" s="587">
        <f t="shared" si="124"/>
        <v>100</v>
      </c>
      <c r="AD63" s="587">
        <f t="shared" si="124"/>
        <v>110</v>
      </c>
      <c r="AE63" s="587">
        <f t="shared" si="124"/>
        <v>120</v>
      </c>
      <c r="AF63" s="587">
        <f t="shared" si="124"/>
        <v>130</v>
      </c>
      <c r="AG63" s="587">
        <f t="shared" si="124"/>
        <v>140</v>
      </c>
      <c r="AH63" s="587">
        <f t="shared" si="124"/>
        <v>150</v>
      </c>
      <c r="AI63" s="587">
        <f t="shared" si="124"/>
        <v>160</v>
      </c>
      <c r="AJ63" s="587">
        <f t="shared" si="124"/>
        <v>170</v>
      </c>
      <c r="AK63" s="587">
        <f t="shared" si="124"/>
        <v>180</v>
      </c>
      <c r="AL63" s="587">
        <f t="shared" si="124"/>
        <v>190</v>
      </c>
      <c r="AM63" s="587">
        <f t="shared" si="124"/>
        <v>200</v>
      </c>
      <c r="AN63" s="587">
        <f t="shared" si="124"/>
        <v>210</v>
      </c>
      <c r="AO63" s="587">
        <f t="shared" si="124"/>
        <v>220</v>
      </c>
      <c r="AP63" s="587">
        <f t="shared" si="124"/>
        <v>230</v>
      </c>
      <c r="AQ63" s="587">
        <f t="shared" si="124"/>
        <v>240</v>
      </c>
      <c r="AR63" s="587">
        <f t="shared" si="124"/>
        <v>250</v>
      </c>
      <c r="AS63" s="587">
        <f t="shared" si="124"/>
        <v>260</v>
      </c>
      <c r="AT63" s="587">
        <f t="shared" si="124"/>
        <v>270</v>
      </c>
      <c r="AU63" s="587">
        <f t="shared" si="124"/>
        <v>280</v>
      </c>
      <c r="AV63" s="587">
        <f t="shared" si="124"/>
        <v>290</v>
      </c>
      <c r="AW63" s="587">
        <f t="shared" si="124"/>
        <v>300</v>
      </c>
      <c r="AX63" s="587">
        <f t="shared" si="124"/>
        <v>310</v>
      </c>
      <c r="AY63" s="587">
        <f t="shared" si="124"/>
        <v>320</v>
      </c>
      <c r="AZ63" s="587">
        <f t="shared" si="124"/>
        <v>330</v>
      </c>
      <c r="BA63" s="587">
        <f t="shared" si="124"/>
        <v>340</v>
      </c>
      <c r="BB63" s="587">
        <f t="shared" si="124"/>
        <v>350</v>
      </c>
      <c r="BC63" s="588">
        <f t="shared" si="124"/>
        <v>360</v>
      </c>
      <c r="BD63" s="577" t="str">
        <f>""</f>
        <v/>
      </c>
      <c r="BG63" s="772">
        <v>30</v>
      </c>
      <c r="BH63" s="785">
        <f>V5</f>
        <v>1</v>
      </c>
      <c r="BI63" s="774" t="str">
        <f t="shared" si="123"/>
        <v>F</v>
      </c>
      <c r="CB63" s="921">
        <f t="shared" si="100"/>
        <v>220</v>
      </c>
      <c r="CC63" s="926" t="str">
        <f t="shared" si="102"/>
        <v>[10,20,30,40,50,60,70,80,90,100,110,120,130,140,150,160,170,180,190,200,210,220</v>
      </c>
      <c r="CD63" s="922" t="str">
        <f t="shared" si="103"/>
        <v>[</v>
      </c>
      <c r="CE63" s="922" t="str">
        <f t="shared" si="104"/>
        <v>[</v>
      </c>
      <c r="CF63" s="922" t="str">
        <f t="shared" si="105"/>
        <v>[</v>
      </c>
      <c r="CG63" s="922" t="str">
        <f t="shared" si="106"/>
        <v>[</v>
      </c>
      <c r="CH63" s="922" t="str">
        <f t="shared" si="107"/>
        <v>[</v>
      </c>
      <c r="CI63" s="922" t="str">
        <f t="shared" si="108"/>
        <v>[</v>
      </c>
      <c r="CJ63" s="922" t="str">
        <f t="shared" si="109"/>
        <v>[</v>
      </c>
      <c r="CK63" s="922" t="str">
        <f t="shared" si="110"/>
        <v>[</v>
      </c>
      <c r="CL63" s="922" t="str">
        <f t="shared" si="111"/>
        <v>[</v>
      </c>
      <c r="CM63" s="922" t="str">
        <f t="shared" si="112"/>
        <v>[</v>
      </c>
      <c r="CN63" s="922" t="str">
        <f t="shared" si="113"/>
        <v>[</v>
      </c>
      <c r="CO63" s="922" t="str">
        <f t="shared" si="114"/>
        <v>[</v>
      </c>
      <c r="CP63" s="922" t="str">
        <f t="shared" si="115"/>
        <v>[</v>
      </c>
      <c r="CQ63" s="922" t="str">
        <f t="shared" si="116"/>
        <v>[</v>
      </c>
      <c r="CR63" s="922" t="str">
        <f t="shared" si="117"/>
        <v>[</v>
      </c>
      <c r="CS63" s="922" t="str">
        <f t="shared" si="118"/>
        <v>[</v>
      </c>
      <c r="CT63" s="922" t="str">
        <f t="shared" si="119"/>
        <v>[</v>
      </c>
      <c r="CU63" s="922" t="str">
        <f t="shared" si="120"/>
        <v>[</v>
      </c>
      <c r="CV63" s="922" t="str">
        <f t="shared" si="121"/>
        <v>[</v>
      </c>
      <c r="CW63" s="927" t="str">
        <f t="shared" si="122"/>
        <v>[</v>
      </c>
      <c r="DA63" s="585"/>
      <c r="DB63" s="587"/>
      <c r="DC63" s="1288"/>
      <c r="DD63" s="1288"/>
      <c r="DE63" s="1288"/>
      <c r="DF63" s="1288"/>
      <c r="DG63" s="1288"/>
      <c r="DH63" s="1288"/>
      <c r="DI63" s="1288"/>
      <c r="DJ63" s="1288"/>
      <c r="DK63" s="1288"/>
      <c r="DL63" s="1288"/>
      <c r="DM63" s="1288"/>
      <c r="DN63" s="1288"/>
      <c r="DO63" s="1288"/>
      <c r="DP63" s="1288"/>
      <c r="DQ63" s="1288"/>
      <c r="DR63" s="1288"/>
      <c r="DS63" s="1289"/>
    </row>
    <row r="64" spans="19:123" ht="13.5" thickBot="1" x14ac:dyDescent="0.25">
      <c r="S64" s="642" t="s">
        <v>455</v>
      </c>
      <c r="T64" s="587">
        <f t="shared" ref="T64:BC64" si="125">T$6</f>
        <v>-4</v>
      </c>
      <c r="U64" s="587">
        <f t="shared" si="125"/>
        <v>-4</v>
      </c>
      <c r="V64" s="587">
        <f t="shared" si="125"/>
        <v>-4</v>
      </c>
      <c r="W64" s="587">
        <f t="shared" si="125"/>
        <v>-4</v>
      </c>
      <c r="X64" s="587">
        <f t="shared" si="125"/>
        <v>-4</v>
      </c>
      <c r="Y64" s="587">
        <f t="shared" si="125"/>
        <v>-4</v>
      </c>
      <c r="Z64" s="587">
        <f t="shared" si="125"/>
        <v>-4</v>
      </c>
      <c r="AA64" s="587">
        <f t="shared" si="125"/>
        <v>-4</v>
      </c>
      <c r="AB64" s="587">
        <f t="shared" si="125"/>
        <v>-4</v>
      </c>
      <c r="AC64" s="587">
        <f t="shared" si="125"/>
        <v>-4</v>
      </c>
      <c r="AD64" s="587">
        <f t="shared" si="125"/>
        <v>-4</v>
      </c>
      <c r="AE64" s="587">
        <f t="shared" si="125"/>
        <v>-4</v>
      </c>
      <c r="AF64" s="587">
        <f t="shared" si="125"/>
        <v>-4</v>
      </c>
      <c r="AG64" s="587">
        <f t="shared" si="125"/>
        <v>-4</v>
      </c>
      <c r="AH64" s="587">
        <f t="shared" si="125"/>
        <v>-4</v>
      </c>
      <c r="AI64" s="587">
        <f t="shared" si="125"/>
        <v>-4</v>
      </c>
      <c r="AJ64" s="587">
        <f t="shared" si="125"/>
        <v>-4</v>
      </c>
      <c r="AK64" s="587">
        <f t="shared" si="125"/>
        <v>-4</v>
      </c>
      <c r="AL64" s="587">
        <f t="shared" si="125"/>
        <v>-4</v>
      </c>
      <c r="AM64" s="587">
        <f t="shared" si="125"/>
        <v>-4</v>
      </c>
      <c r="AN64" s="587">
        <f t="shared" si="125"/>
        <v>-4</v>
      </c>
      <c r="AO64" s="587">
        <f t="shared" si="125"/>
        <v>-4</v>
      </c>
      <c r="AP64" s="587">
        <f t="shared" si="125"/>
        <v>-4</v>
      </c>
      <c r="AQ64" s="587">
        <f t="shared" si="125"/>
        <v>-4</v>
      </c>
      <c r="AR64" s="587">
        <f t="shared" si="125"/>
        <v>-4</v>
      </c>
      <c r="AS64" s="587">
        <f t="shared" si="125"/>
        <v>-4</v>
      </c>
      <c r="AT64" s="587">
        <f t="shared" si="125"/>
        <v>-4</v>
      </c>
      <c r="AU64" s="587">
        <f t="shared" si="125"/>
        <v>-4</v>
      </c>
      <c r="AV64" s="587">
        <f t="shared" si="125"/>
        <v>-4</v>
      </c>
      <c r="AW64" s="587">
        <f t="shared" si="125"/>
        <v>-4</v>
      </c>
      <c r="AX64" s="587">
        <f t="shared" si="125"/>
        <v>-4</v>
      </c>
      <c r="AY64" s="587">
        <f t="shared" si="125"/>
        <v>-4</v>
      </c>
      <c r="AZ64" s="587">
        <f t="shared" si="125"/>
        <v>-4</v>
      </c>
      <c r="BA64" s="587">
        <f t="shared" si="125"/>
        <v>-4</v>
      </c>
      <c r="BB64" s="587">
        <f t="shared" si="125"/>
        <v>-4</v>
      </c>
      <c r="BC64" s="588">
        <f t="shared" si="125"/>
        <v>-4</v>
      </c>
      <c r="BD64" s="577" t="str">
        <f>""</f>
        <v/>
      </c>
      <c r="BG64" s="772">
        <v>40</v>
      </c>
      <c r="BH64" s="785">
        <f>W5</f>
        <v>2</v>
      </c>
      <c r="BI64" s="774" t="str">
        <f t="shared" si="123"/>
        <v>G</v>
      </c>
      <c r="CB64" s="921">
        <f t="shared" si="100"/>
        <v>230</v>
      </c>
      <c r="CC64" s="926" t="str">
        <f t="shared" si="102"/>
        <v>[10,20,30,40,50,60,70,80,90,100,110,120,130,140,150,160,170,180,190,200,210,220,230</v>
      </c>
      <c r="CD64" s="922" t="str">
        <f t="shared" si="103"/>
        <v>[</v>
      </c>
      <c r="CE64" s="922" t="str">
        <f t="shared" si="104"/>
        <v>[</v>
      </c>
      <c r="CF64" s="922" t="str">
        <f t="shared" si="105"/>
        <v>[</v>
      </c>
      <c r="CG64" s="922" t="str">
        <f t="shared" si="106"/>
        <v>[</v>
      </c>
      <c r="CH64" s="922" t="str">
        <f t="shared" si="107"/>
        <v>[</v>
      </c>
      <c r="CI64" s="922" t="str">
        <f t="shared" si="108"/>
        <v>[</v>
      </c>
      <c r="CJ64" s="922" t="str">
        <f t="shared" si="109"/>
        <v>[</v>
      </c>
      <c r="CK64" s="922" t="str">
        <f t="shared" si="110"/>
        <v>[</v>
      </c>
      <c r="CL64" s="922" t="str">
        <f t="shared" si="111"/>
        <v>[</v>
      </c>
      <c r="CM64" s="922" t="str">
        <f t="shared" si="112"/>
        <v>[</v>
      </c>
      <c r="CN64" s="922" t="str">
        <f t="shared" si="113"/>
        <v>[</v>
      </c>
      <c r="CO64" s="922" t="str">
        <f t="shared" si="114"/>
        <v>[</v>
      </c>
      <c r="CP64" s="922" t="str">
        <f t="shared" si="115"/>
        <v>[</v>
      </c>
      <c r="CQ64" s="922" t="str">
        <f t="shared" si="116"/>
        <v>[</v>
      </c>
      <c r="CR64" s="922" t="str">
        <f t="shared" si="117"/>
        <v>[</v>
      </c>
      <c r="CS64" s="922" t="str">
        <f t="shared" si="118"/>
        <v>[</v>
      </c>
      <c r="CT64" s="922" t="str">
        <f t="shared" si="119"/>
        <v>[</v>
      </c>
      <c r="CU64" s="922" t="str">
        <f t="shared" si="120"/>
        <v>[</v>
      </c>
      <c r="CV64" s="922" t="str">
        <f t="shared" si="121"/>
        <v>[</v>
      </c>
      <c r="CW64" s="927" t="str">
        <f t="shared" si="122"/>
        <v>[</v>
      </c>
      <c r="DA64" s="585"/>
      <c r="DB64" s="587"/>
      <c r="DC64" s="1288"/>
      <c r="DD64" s="1288"/>
      <c r="DE64" s="1288"/>
      <c r="DF64" s="1288"/>
      <c r="DG64" s="1288"/>
      <c r="DH64" s="1288"/>
      <c r="DI64" s="1288"/>
      <c r="DJ64" s="1288"/>
      <c r="DK64" s="1288"/>
      <c r="DL64" s="1288"/>
      <c r="DM64" s="1288"/>
      <c r="DN64" s="1288"/>
      <c r="DO64" s="1288"/>
      <c r="DP64" s="1288"/>
      <c r="DQ64" s="1288"/>
      <c r="DR64" s="1288"/>
      <c r="DS64" s="1289"/>
    </row>
    <row r="65" spans="19:123" ht="13.5" thickBot="1" x14ac:dyDescent="0.25">
      <c r="S65" s="642" t="s">
        <v>460</v>
      </c>
      <c r="T65" s="645" t="s">
        <v>462</v>
      </c>
      <c r="U65" s="646" t="str">
        <f t="shared" ref="U65:BC65" si="126">T65</f>
        <v>"left":{</v>
      </c>
      <c r="V65" s="646" t="str">
        <f t="shared" si="126"/>
        <v>"left":{</v>
      </c>
      <c r="W65" s="646" t="str">
        <f t="shared" si="126"/>
        <v>"left":{</v>
      </c>
      <c r="X65" s="646" t="str">
        <f t="shared" si="126"/>
        <v>"left":{</v>
      </c>
      <c r="Y65" s="646" t="str">
        <f t="shared" si="126"/>
        <v>"left":{</v>
      </c>
      <c r="Z65" s="646" t="str">
        <f t="shared" si="126"/>
        <v>"left":{</v>
      </c>
      <c r="AA65" s="646" t="str">
        <f t="shared" si="126"/>
        <v>"left":{</v>
      </c>
      <c r="AB65" s="646" t="str">
        <f t="shared" si="126"/>
        <v>"left":{</v>
      </c>
      <c r="AC65" s="646" t="str">
        <f t="shared" si="126"/>
        <v>"left":{</v>
      </c>
      <c r="AD65" s="646" t="str">
        <f t="shared" si="126"/>
        <v>"left":{</v>
      </c>
      <c r="AE65" s="646" t="str">
        <f t="shared" si="126"/>
        <v>"left":{</v>
      </c>
      <c r="AF65" s="646" t="str">
        <f t="shared" si="126"/>
        <v>"left":{</v>
      </c>
      <c r="AG65" s="646" t="str">
        <f t="shared" si="126"/>
        <v>"left":{</v>
      </c>
      <c r="AH65" s="646" t="str">
        <f t="shared" si="126"/>
        <v>"left":{</v>
      </c>
      <c r="AI65" s="646" t="str">
        <f t="shared" si="126"/>
        <v>"left":{</v>
      </c>
      <c r="AJ65" s="646" t="str">
        <f t="shared" si="126"/>
        <v>"left":{</v>
      </c>
      <c r="AK65" s="646" t="str">
        <f t="shared" si="126"/>
        <v>"left":{</v>
      </c>
      <c r="AL65" s="646" t="str">
        <f t="shared" si="126"/>
        <v>"left":{</v>
      </c>
      <c r="AM65" s="646" t="str">
        <f t="shared" si="126"/>
        <v>"left":{</v>
      </c>
      <c r="AN65" s="646" t="str">
        <f t="shared" si="126"/>
        <v>"left":{</v>
      </c>
      <c r="AO65" s="646" t="str">
        <f t="shared" si="126"/>
        <v>"left":{</v>
      </c>
      <c r="AP65" s="646" t="str">
        <f t="shared" si="126"/>
        <v>"left":{</v>
      </c>
      <c r="AQ65" s="646" t="str">
        <f t="shared" si="126"/>
        <v>"left":{</v>
      </c>
      <c r="AR65" s="646" t="str">
        <f t="shared" si="126"/>
        <v>"left":{</v>
      </c>
      <c r="AS65" s="646" t="str">
        <f t="shared" si="126"/>
        <v>"left":{</v>
      </c>
      <c r="AT65" s="646" t="str">
        <f t="shared" si="126"/>
        <v>"left":{</v>
      </c>
      <c r="AU65" s="646" t="str">
        <f t="shared" si="126"/>
        <v>"left":{</v>
      </c>
      <c r="AV65" s="646" t="str">
        <f t="shared" si="126"/>
        <v>"left":{</v>
      </c>
      <c r="AW65" s="646" t="str">
        <f t="shared" si="126"/>
        <v>"left":{</v>
      </c>
      <c r="AX65" s="646" t="str">
        <f t="shared" si="126"/>
        <v>"left":{</v>
      </c>
      <c r="AY65" s="646" t="str">
        <f t="shared" si="126"/>
        <v>"left":{</v>
      </c>
      <c r="AZ65" s="646" t="str">
        <f t="shared" si="126"/>
        <v>"left":{</v>
      </c>
      <c r="BA65" s="646" t="str">
        <f t="shared" si="126"/>
        <v>"left":{</v>
      </c>
      <c r="BB65" s="646" t="str">
        <f t="shared" si="126"/>
        <v>"left":{</v>
      </c>
      <c r="BC65" s="647" t="str">
        <f t="shared" si="126"/>
        <v>"left":{</v>
      </c>
      <c r="BD65" s="577" t="str">
        <f>""</f>
        <v/>
      </c>
      <c r="BG65" s="772">
        <v>50</v>
      </c>
      <c r="BH65" s="785">
        <f>X5</f>
        <v>2</v>
      </c>
      <c r="BI65" s="774" t="str">
        <f t="shared" si="123"/>
        <v>G</v>
      </c>
      <c r="CB65" s="921">
        <f t="shared" si="100"/>
        <v>240</v>
      </c>
      <c r="CC65" s="926" t="str">
        <f t="shared" si="102"/>
        <v>[10,20,30,40,50,60,70,80,90,100,110,120,130,140,150,160,170,180,190,200,210,220,230,240</v>
      </c>
      <c r="CD65" s="922" t="str">
        <f t="shared" si="103"/>
        <v>[</v>
      </c>
      <c r="CE65" s="922" t="str">
        <f t="shared" si="104"/>
        <v>[</v>
      </c>
      <c r="CF65" s="922" t="str">
        <f t="shared" si="105"/>
        <v>[</v>
      </c>
      <c r="CG65" s="922" t="str">
        <f t="shared" si="106"/>
        <v>[</v>
      </c>
      <c r="CH65" s="922" t="str">
        <f t="shared" si="107"/>
        <v>[</v>
      </c>
      <c r="CI65" s="922" t="str">
        <f t="shared" si="108"/>
        <v>[</v>
      </c>
      <c r="CJ65" s="922" t="str">
        <f t="shared" si="109"/>
        <v>[</v>
      </c>
      <c r="CK65" s="922" t="str">
        <f t="shared" si="110"/>
        <v>[</v>
      </c>
      <c r="CL65" s="922" t="str">
        <f t="shared" si="111"/>
        <v>[</v>
      </c>
      <c r="CM65" s="922" t="str">
        <f t="shared" si="112"/>
        <v>[</v>
      </c>
      <c r="CN65" s="922" t="str">
        <f t="shared" si="113"/>
        <v>[</v>
      </c>
      <c r="CO65" s="922" t="str">
        <f t="shared" si="114"/>
        <v>[</v>
      </c>
      <c r="CP65" s="922" t="str">
        <f t="shared" si="115"/>
        <v>[</v>
      </c>
      <c r="CQ65" s="922" t="str">
        <f t="shared" si="116"/>
        <v>[</v>
      </c>
      <c r="CR65" s="922" t="str">
        <f t="shared" si="117"/>
        <v>[</v>
      </c>
      <c r="CS65" s="922" t="str">
        <f t="shared" si="118"/>
        <v>[</v>
      </c>
      <c r="CT65" s="922" t="str">
        <f t="shared" si="119"/>
        <v>[</v>
      </c>
      <c r="CU65" s="922" t="str">
        <f t="shared" si="120"/>
        <v>[</v>
      </c>
      <c r="CV65" s="922" t="str">
        <f t="shared" si="121"/>
        <v>[</v>
      </c>
      <c r="CW65" s="927" t="str">
        <f t="shared" si="122"/>
        <v>[</v>
      </c>
      <c r="DA65" s="585"/>
      <c r="DB65" s="587"/>
      <c r="DC65" s="1288"/>
      <c r="DD65" s="1288"/>
      <c r="DE65" s="1288"/>
      <c r="DF65" s="1288"/>
      <c r="DG65" s="1288"/>
      <c r="DH65" s="1288"/>
      <c r="DI65" s="1288"/>
      <c r="DJ65" s="1288"/>
      <c r="DK65" s="1288"/>
      <c r="DL65" s="1288"/>
      <c r="DM65" s="1288"/>
      <c r="DN65" s="1288"/>
      <c r="DO65" s="1288"/>
      <c r="DP65" s="1288"/>
      <c r="DQ65" s="1288"/>
      <c r="DR65" s="1288"/>
      <c r="DS65" s="1289"/>
    </row>
    <row r="66" spans="19:123" ht="13.5" thickBot="1" x14ac:dyDescent="0.25">
      <c r="S66" s="585"/>
      <c r="T66" s="648" t="s">
        <v>463</v>
      </c>
      <c r="U66" s="649" t="str">
        <f t="shared" ref="U66:BC66" si="127">T66</f>
        <v>"latitude":</v>
      </c>
      <c r="V66" s="649" t="str">
        <f t="shared" si="127"/>
        <v>"latitude":</v>
      </c>
      <c r="W66" s="649" t="str">
        <f t="shared" si="127"/>
        <v>"latitude":</v>
      </c>
      <c r="X66" s="649" t="str">
        <f t="shared" si="127"/>
        <v>"latitude":</v>
      </c>
      <c r="Y66" s="649" t="str">
        <f t="shared" si="127"/>
        <v>"latitude":</v>
      </c>
      <c r="Z66" s="649" t="str">
        <f t="shared" si="127"/>
        <v>"latitude":</v>
      </c>
      <c r="AA66" s="649" t="str">
        <f t="shared" si="127"/>
        <v>"latitude":</v>
      </c>
      <c r="AB66" s="649" t="str">
        <f t="shared" si="127"/>
        <v>"latitude":</v>
      </c>
      <c r="AC66" s="649" t="str">
        <f t="shared" si="127"/>
        <v>"latitude":</v>
      </c>
      <c r="AD66" s="649" t="str">
        <f t="shared" si="127"/>
        <v>"latitude":</v>
      </c>
      <c r="AE66" s="649" t="str">
        <f t="shared" si="127"/>
        <v>"latitude":</v>
      </c>
      <c r="AF66" s="649" t="str">
        <f t="shared" si="127"/>
        <v>"latitude":</v>
      </c>
      <c r="AG66" s="649" t="str">
        <f t="shared" si="127"/>
        <v>"latitude":</v>
      </c>
      <c r="AH66" s="649" t="str">
        <f t="shared" si="127"/>
        <v>"latitude":</v>
      </c>
      <c r="AI66" s="649" t="str">
        <f t="shared" si="127"/>
        <v>"latitude":</v>
      </c>
      <c r="AJ66" s="649" t="str">
        <f t="shared" si="127"/>
        <v>"latitude":</v>
      </c>
      <c r="AK66" s="649" t="str">
        <f t="shared" si="127"/>
        <v>"latitude":</v>
      </c>
      <c r="AL66" s="649" t="str">
        <f t="shared" si="127"/>
        <v>"latitude":</v>
      </c>
      <c r="AM66" s="649" t="str">
        <f t="shared" si="127"/>
        <v>"latitude":</v>
      </c>
      <c r="AN66" s="649" t="str">
        <f t="shared" si="127"/>
        <v>"latitude":</v>
      </c>
      <c r="AO66" s="649" t="str">
        <f t="shared" si="127"/>
        <v>"latitude":</v>
      </c>
      <c r="AP66" s="649" t="str">
        <f t="shared" si="127"/>
        <v>"latitude":</v>
      </c>
      <c r="AQ66" s="649" t="str">
        <f t="shared" si="127"/>
        <v>"latitude":</v>
      </c>
      <c r="AR66" s="649" t="str">
        <f t="shared" si="127"/>
        <v>"latitude":</v>
      </c>
      <c r="AS66" s="649" t="str">
        <f t="shared" si="127"/>
        <v>"latitude":</v>
      </c>
      <c r="AT66" s="649" t="str">
        <f t="shared" si="127"/>
        <v>"latitude":</v>
      </c>
      <c r="AU66" s="649" t="str">
        <f t="shared" si="127"/>
        <v>"latitude":</v>
      </c>
      <c r="AV66" s="649" t="str">
        <f t="shared" si="127"/>
        <v>"latitude":</v>
      </c>
      <c r="AW66" s="649" t="str">
        <f t="shared" si="127"/>
        <v>"latitude":</v>
      </c>
      <c r="AX66" s="649" t="str">
        <f t="shared" si="127"/>
        <v>"latitude":</v>
      </c>
      <c r="AY66" s="649" t="str">
        <f t="shared" si="127"/>
        <v>"latitude":</v>
      </c>
      <c r="AZ66" s="649" t="str">
        <f t="shared" si="127"/>
        <v>"latitude":</v>
      </c>
      <c r="BA66" s="649" t="str">
        <f t="shared" si="127"/>
        <v>"latitude":</v>
      </c>
      <c r="BB66" s="649" t="str">
        <f t="shared" si="127"/>
        <v>"latitude":</v>
      </c>
      <c r="BC66" s="650" t="str">
        <f t="shared" si="127"/>
        <v>"latitude":</v>
      </c>
      <c r="BD66" s="577" t="str">
        <f>""</f>
        <v/>
      </c>
      <c r="BG66" s="772">
        <v>60</v>
      </c>
      <c r="BH66" s="785">
        <f>Y5</f>
        <v>2</v>
      </c>
      <c r="BI66" s="774" t="str">
        <f t="shared" si="123"/>
        <v>G</v>
      </c>
      <c r="CB66" s="921">
        <f t="shared" si="100"/>
        <v>250</v>
      </c>
      <c r="CC66" s="926" t="str">
        <f t="shared" si="102"/>
        <v>[10,20,30,40,50,60,70,80,90,100,110,120,130,140,150,160,170,180,190,200,210,220,230,240,250</v>
      </c>
      <c r="CD66" s="922" t="str">
        <f t="shared" si="103"/>
        <v>[</v>
      </c>
      <c r="CE66" s="922" t="str">
        <f t="shared" si="104"/>
        <v>[</v>
      </c>
      <c r="CF66" s="922" t="str">
        <f t="shared" si="105"/>
        <v>[</v>
      </c>
      <c r="CG66" s="922" t="str">
        <f t="shared" si="106"/>
        <v>[</v>
      </c>
      <c r="CH66" s="922" t="str">
        <f t="shared" si="107"/>
        <v>[</v>
      </c>
      <c r="CI66" s="922" t="str">
        <f t="shared" si="108"/>
        <v>[</v>
      </c>
      <c r="CJ66" s="922" t="str">
        <f t="shared" si="109"/>
        <v>[</v>
      </c>
      <c r="CK66" s="922" t="str">
        <f t="shared" si="110"/>
        <v>[</v>
      </c>
      <c r="CL66" s="922" t="str">
        <f t="shared" si="111"/>
        <v>[</v>
      </c>
      <c r="CM66" s="922" t="str">
        <f t="shared" si="112"/>
        <v>[</v>
      </c>
      <c r="CN66" s="922" t="str">
        <f t="shared" si="113"/>
        <v>[</v>
      </c>
      <c r="CO66" s="922" t="str">
        <f t="shared" si="114"/>
        <v>[</v>
      </c>
      <c r="CP66" s="922" t="str">
        <f t="shared" si="115"/>
        <v>[</v>
      </c>
      <c r="CQ66" s="922" t="str">
        <f t="shared" si="116"/>
        <v>[</v>
      </c>
      <c r="CR66" s="922" t="str">
        <f t="shared" si="117"/>
        <v>[</v>
      </c>
      <c r="CS66" s="922" t="str">
        <f t="shared" si="118"/>
        <v>[</v>
      </c>
      <c r="CT66" s="922" t="str">
        <f t="shared" si="119"/>
        <v>[</v>
      </c>
      <c r="CU66" s="922" t="str">
        <f t="shared" si="120"/>
        <v>[</v>
      </c>
      <c r="CV66" s="922" t="str">
        <f t="shared" si="121"/>
        <v>[</v>
      </c>
      <c r="CW66" s="927" t="str">
        <f t="shared" si="122"/>
        <v>[</v>
      </c>
      <c r="DA66" s="585"/>
      <c r="DB66" s="587"/>
      <c r="DC66" s="1288"/>
      <c r="DD66" s="1288"/>
      <c r="DE66" s="1288"/>
      <c r="DF66" s="1288"/>
      <c r="DG66" s="1288"/>
      <c r="DH66" s="1288"/>
      <c r="DI66" s="1288"/>
      <c r="DJ66" s="1288"/>
      <c r="DK66" s="1288"/>
      <c r="DL66" s="1288"/>
      <c r="DM66" s="1288"/>
      <c r="DN66" s="1288"/>
      <c r="DO66" s="1288"/>
      <c r="DP66" s="1288"/>
      <c r="DQ66" s="1288"/>
      <c r="DR66" s="1288"/>
      <c r="DS66" s="1289"/>
    </row>
    <row r="67" spans="19:123" ht="13.5" thickBot="1" x14ac:dyDescent="0.25">
      <c r="S67" s="585"/>
      <c r="T67" s="651">
        <f t="shared" ref="T67:BC67" si="128">T8</f>
        <v>3.0720390964089242E-3</v>
      </c>
      <c r="U67" s="652">
        <f t="shared" si="128"/>
        <v>2.9786967429059172E-3</v>
      </c>
      <c r="V67" s="652">
        <f t="shared" si="128"/>
        <v>2.7948481961004691E-3</v>
      </c>
      <c r="W67" s="652">
        <f t="shared" si="128"/>
        <v>2.526079601095048E-3</v>
      </c>
      <c r="X67" s="652">
        <f t="shared" si="128"/>
        <v>2.1805573556911966E-3</v>
      </c>
      <c r="Y67" s="652">
        <f t="shared" si="128"/>
        <v>1.7687799785124549E-3</v>
      </c>
      <c r="Z67" s="652">
        <f t="shared" si="128"/>
        <v>1.3032591168178802E-3</v>
      </c>
      <c r="AA67" s="652">
        <f t="shared" si="128"/>
        <v>7.9813938642513929E-4</v>
      </c>
      <c r="AB67" s="652">
        <f t="shared" si="128"/>
        <v>2.6876859471641334E-4</v>
      </c>
      <c r="AC67" s="652">
        <f t="shared" si="128"/>
        <v>-2.6876859471641366E-4</v>
      </c>
      <c r="AD67" s="652">
        <f t="shared" si="128"/>
        <v>-7.9813938642513962E-4</v>
      </c>
      <c r="AE67" s="652">
        <f t="shared" si="128"/>
        <v>-1.3032591168178796E-3</v>
      </c>
      <c r="AF67" s="652">
        <f t="shared" si="128"/>
        <v>-1.7687799785124538E-3</v>
      </c>
      <c r="AG67" s="652">
        <f t="shared" si="128"/>
        <v>-2.1805573556911962E-3</v>
      </c>
      <c r="AH67" s="652">
        <f t="shared" si="128"/>
        <v>-2.526079601095048E-3</v>
      </c>
      <c r="AI67" s="652">
        <f t="shared" si="128"/>
        <v>-2.7948481961004687E-3</v>
      </c>
      <c r="AJ67" s="652">
        <f t="shared" si="128"/>
        <v>-2.9786967429059168E-3</v>
      </c>
      <c r="AK67" s="652">
        <f t="shared" si="128"/>
        <v>-3.0720390964089242E-3</v>
      </c>
      <c r="AL67" s="652">
        <f t="shared" si="128"/>
        <v>-3.0720390964089242E-3</v>
      </c>
      <c r="AM67" s="652">
        <f t="shared" si="128"/>
        <v>-2.9786967429059176E-3</v>
      </c>
      <c r="AN67" s="652">
        <f t="shared" si="128"/>
        <v>-2.7948481961004691E-3</v>
      </c>
      <c r="AO67" s="652">
        <f t="shared" si="128"/>
        <v>-2.5260796010950493E-3</v>
      </c>
      <c r="AP67" s="652">
        <f t="shared" si="128"/>
        <v>-2.1805573556911971E-3</v>
      </c>
      <c r="AQ67" s="652">
        <f t="shared" si="128"/>
        <v>-1.7687799785124551E-3</v>
      </c>
      <c r="AR67" s="652">
        <f t="shared" si="128"/>
        <v>-1.3032591168178815E-3</v>
      </c>
      <c r="AS67" s="652">
        <f t="shared" si="128"/>
        <v>-7.9813938642513897E-4</v>
      </c>
      <c r="AT67" s="652">
        <f t="shared" si="128"/>
        <v>-2.6876859471641371E-4</v>
      </c>
      <c r="AU67" s="652">
        <f t="shared" si="128"/>
        <v>2.6876859471641258E-4</v>
      </c>
      <c r="AV67" s="652">
        <f t="shared" si="128"/>
        <v>7.9813938642514049E-4</v>
      </c>
      <c r="AW67" s="652">
        <f t="shared" si="128"/>
        <v>1.3032591168178809E-3</v>
      </c>
      <c r="AX67" s="652">
        <f t="shared" si="128"/>
        <v>1.7687799785124547E-3</v>
      </c>
      <c r="AY67" s="652">
        <f t="shared" si="128"/>
        <v>2.1805573556911957E-3</v>
      </c>
      <c r="AZ67" s="652">
        <f t="shared" si="128"/>
        <v>2.526079601095048E-3</v>
      </c>
      <c r="BA67" s="652">
        <f t="shared" si="128"/>
        <v>2.7948481961004687E-3</v>
      </c>
      <c r="BB67" s="652">
        <f t="shared" si="128"/>
        <v>2.9786967429059172E-3</v>
      </c>
      <c r="BC67" s="653">
        <f t="shared" si="128"/>
        <v>3.0720390964089242E-3</v>
      </c>
      <c r="BD67" s="577" t="str">
        <f>""</f>
        <v/>
      </c>
      <c r="BG67" s="772">
        <v>70</v>
      </c>
      <c r="BH67" s="785">
        <f>Z5</f>
        <v>3</v>
      </c>
      <c r="BI67" s="774" t="str">
        <f t="shared" si="123"/>
        <v>H</v>
      </c>
      <c r="CB67" s="921">
        <f t="shared" si="100"/>
        <v>260</v>
      </c>
      <c r="CC67" s="926" t="str">
        <f t="shared" si="102"/>
        <v>[10,20,30,40,50,60,70,80,90,100,110,120,130,140,150,160,170,180,190,200,210,220,230,240,250,260</v>
      </c>
      <c r="CD67" s="922" t="str">
        <f t="shared" si="103"/>
        <v>[</v>
      </c>
      <c r="CE67" s="922" t="str">
        <f t="shared" si="104"/>
        <v>[</v>
      </c>
      <c r="CF67" s="922" t="str">
        <f t="shared" si="105"/>
        <v>[</v>
      </c>
      <c r="CG67" s="922" t="str">
        <f t="shared" si="106"/>
        <v>[</v>
      </c>
      <c r="CH67" s="922" t="str">
        <f t="shared" si="107"/>
        <v>[</v>
      </c>
      <c r="CI67" s="922" t="str">
        <f t="shared" si="108"/>
        <v>[</v>
      </c>
      <c r="CJ67" s="922" t="str">
        <f t="shared" si="109"/>
        <v>[</v>
      </c>
      <c r="CK67" s="922" t="str">
        <f t="shared" si="110"/>
        <v>[</v>
      </c>
      <c r="CL67" s="922" t="str">
        <f t="shared" si="111"/>
        <v>[</v>
      </c>
      <c r="CM67" s="922" t="str">
        <f t="shared" si="112"/>
        <v>[</v>
      </c>
      <c r="CN67" s="922" t="str">
        <f t="shared" si="113"/>
        <v>[</v>
      </c>
      <c r="CO67" s="922" t="str">
        <f t="shared" si="114"/>
        <v>[</v>
      </c>
      <c r="CP67" s="922" t="str">
        <f t="shared" si="115"/>
        <v>[</v>
      </c>
      <c r="CQ67" s="922" t="str">
        <f t="shared" si="116"/>
        <v>[</v>
      </c>
      <c r="CR67" s="922" t="str">
        <f t="shared" si="117"/>
        <v>[</v>
      </c>
      <c r="CS67" s="922" t="str">
        <f t="shared" si="118"/>
        <v>[</v>
      </c>
      <c r="CT67" s="922" t="str">
        <f t="shared" si="119"/>
        <v>[</v>
      </c>
      <c r="CU67" s="922" t="str">
        <f t="shared" si="120"/>
        <v>[</v>
      </c>
      <c r="CV67" s="922" t="str">
        <f t="shared" si="121"/>
        <v>[</v>
      </c>
      <c r="CW67" s="927" t="str">
        <f t="shared" si="122"/>
        <v>[</v>
      </c>
      <c r="DA67" s="585"/>
      <c r="DB67" s="587"/>
      <c r="DC67" s="1288"/>
      <c r="DD67" s="1288"/>
      <c r="DE67" s="1288"/>
      <c r="DF67" s="1288"/>
      <c r="DG67" s="1288"/>
      <c r="DH67" s="1288"/>
      <c r="DI67" s="1288"/>
      <c r="DJ67" s="1288"/>
      <c r="DK67" s="1288"/>
      <c r="DL67" s="1288"/>
      <c r="DM67" s="1288"/>
      <c r="DN67" s="1288"/>
      <c r="DO67" s="1288"/>
      <c r="DP67" s="1288"/>
      <c r="DQ67" s="1288"/>
      <c r="DR67" s="1288"/>
      <c r="DS67" s="1289"/>
    </row>
    <row r="68" spans="19:123" ht="13.5" thickBot="1" x14ac:dyDescent="0.25">
      <c r="S68" s="585"/>
      <c r="T68" s="648" t="s">
        <v>465</v>
      </c>
      <c r="U68" s="649" t="str">
        <f t="shared" ref="U68:BC68" si="129">T68</f>
        <v>,"longitude":</v>
      </c>
      <c r="V68" s="649" t="str">
        <f t="shared" si="129"/>
        <v>,"longitude":</v>
      </c>
      <c r="W68" s="649" t="str">
        <f t="shared" si="129"/>
        <v>,"longitude":</v>
      </c>
      <c r="X68" s="649" t="str">
        <f t="shared" si="129"/>
        <v>,"longitude":</v>
      </c>
      <c r="Y68" s="649" t="str">
        <f t="shared" si="129"/>
        <v>,"longitude":</v>
      </c>
      <c r="Z68" s="649" t="str">
        <f t="shared" si="129"/>
        <v>,"longitude":</v>
      </c>
      <c r="AA68" s="649" t="str">
        <f t="shared" si="129"/>
        <v>,"longitude":</v>
      </c>
      <c r="AB68" s="649" t="str">
        <f t="shared" si="129"/>
        <v>,"longitude":</v>
      </c>
      <c r="AC68" s="649" t="str">
        <f t="shared" si="129"/>
        <v>,"longitude":</v>
      </c>
      <c r="AD68" s="649" t="str">
        <f t="shared" si="129"/>
        <v>,"longitude":</v>
      </c>
      <c r="AE68" s="649" t="str">
        <f t="shared" si="129"/>
        <v>,"longitude":</v>
      </c>
      <c r="AF68" s="649" t="str">
        <f t="shared" si="129"/>
        <v>,"longitude":</v>
      </c>
      <c r="AG68" s="649" t="str">
        <f t="shared" si="129"/>
        <v>,"longitude":</v>
      </c>
      <c r="AH68" s="649" t="str">
        <f t="shared" si="129"/>
        <v>,"longitude":</v>
      </c>
      <c r="AI68" s="649" t="str">
        <f t="shared" si="129"/>
        <v>,"longitude":</v>
      </c>
      <c r="AJ68" s="649" t="str">
        <f t="shared" si="129"/>
        <v>,"longitude":</v>
      </c>
      <c r="AK68" s="649" t="str">
        <f t="shared" si="129"/>
        <v>,"longitude":</v>
      </c>
      <c r="AL68" s="649" t="str">
        <f t="shared" si="129"/>
        <v>,"longitude":</v>
      </c>
      <c r="AM68" s="649" t="str">
        <f t="shared" si="129"/>
        <v>,"longitude":</v>
      </c>
      <c r="AN68" s="649" t="str">
        <f t="shared" si="129"/>
        <v>,"longitude":</v>
      </c>
      <c r="AO68" s="649" t="str">
        <f t="shared" si="129"/>
        <v>,"longitude":</v>
      </c>
      <c r="AP68" s="649" t="str">
        <f t="shared" si="129"/>
        <v>,"longitude":</v>
      </c>
      <c r="AQ68" s="649" t="str">
        <f t="shared" si="129"/>
        <v>,"longitude":</v>
      </c>
      <c r="AR68" s="649" t="str">
        <f t="shared" si="129"/>
        <v>,"longitude":</v>
      </c>
      <c r="AS68" s="649" t="str">
        <f t="shared" si="129"/>
        <v>,"longitude":</v>
      </c>
      <c r="AT68" s="649" t="str">
        <f t="shared" si="129"/>
        <v>,"longitude":</v>
      </c>
      <c r="AU68" s="649" t="str">
        <f t="shared" si="129"/>
        <v>,"longitude":</v>
      </c>
      <c r="AV68" s="649" t="str">
        <f t="shared" si="129"/>
        <v>,"longitude":</v>
      </c>
      <c r="AW68" s="649" t="str">
        <f t="shared" si="129"/>
        <v>,"longitude":</v>
      </c>
      <c r="AX68" s="649" t="str">
        <f t="shared" si="129"/>
        <v>,"longitude":</v>
      </c>
      <c r="AY68" s="649" t="str">
        <f t="shared" si="129"/>
        <v>,"longitude":</v>
      </c>
      <c r="AZ68" s="649" t="str">
        <f t="shared" si="129"/>
        <v>,"longitude":</v>
      </c>
      <c r="BA68" s="649" t="str">
        <f t="shared" si="129"/>
        <v>,"longitude":</v>
      </c>
      <c r="BB68" s="649" t="str">
        <f t="shared" si="129"/>
        <v>,"longitude":</v>
      </c>
      <c r="BC68" s="650" t="str">
        <f t="shared" si="129"/>
        <v>,"longitude":</v>
      </c>
      <c r="BD68" s="577" t="str">
        <f>""</f>
        <v/>
      </c>
      <c r="BG68" s="772">
        <v>80</v>
      </c>
      <c r="BH68" s="785">
        <f>AA5</f>
        <v>3</v>
      </c>
      <c r="BI68" s="774" t="str">
        <f t="shared" si="123"/>
        <v>H</v>
      </c>
      <c r="CB68" s="921">
        <f t="shared" si="100"/>
        <v>270</v>
      </c>
      <c r="CC68" s="926" t="str">
        <f t="shared" si="102"/>
        <v>[10,20,30,40,50,60,70,80,90,100,110,120,130,140,150,160,170,180,190,200,210,220,230,240,250,260,270</v>
      </c>
      <c r="CD68" s="922" t="str">
        <f t="shared" si="103"/>
        <v>[</v>
      </c>
      <c r="CE68" s="922" t="str">
        <f t="shared" si="104"/>
        <v>[</v>
      </c>
      <c r="CF68" s="922" t="str">
        <f t="shared" si="105"/>
        <v>[</v>
      </c>
      <c r="CG68" s="922" t="str">
        <f t="shared" si="106"/>
        <v>[</v>
      </c>
      <c r="CH68" s="922" t="str">
        <f t="shared" si="107"/>
        <v>[</v>
      </c>
      <c r="CI68" s="922" t="str">
        <f t="shared" si="108"/>
        <v>[</v>
      </c>
      <c r="CJ68" s="922" t="str">
        <f t="shared" si="109"/>
        <v>[</v>
      </c>
      <c r="CK68" s="922" t="str">
        <f t="shared" si="110"/>
        <v>[</v>
      </c>
      <c r="CL68" s="922" t="str">
        <f t="shared" si="111"/>
        <v>[</v>
      </c>
      <c r="CM68" s="922" t="str">
        <f t="shared" si="112"/>
        <v>[</v>
      </c>
      <c r="CN68" s="922" t="str">
        <f t="shared" si="113"/>
        <v>[</v>
      </c>
      <c r="CO68" s="922" t="str">
        <f t="shared" si="114"/>
        <v>[</v>
      </c>
      <c r="CP68" s="922" t="str">
        <f t="shared" si="115"/>
        <v>[</v>
      </c>
      <c r="CQ68" s="922" t="str">
        <f t="shared" si="116"/>
        <v>[</v>
      </c>
      <c r="CR68" s="922" t="str">
        <f t="shared" si="117"/>
        <v>[</v>
      </c>
      <c r="CS68" s="922" t="str">
        <f t="shared" si="118"/>
        <v>[</v>
      </c>
      <c r="CT68" s="922" t="str">
        <f t="shared" si="119"/>
        <v>[</v>
      </c>
      <c r="CU68" s="922" t="str">
        <f t="shared" si="120"/>
        <v>[</v>
      </c>
      <c r="CV68" s="922" t="str">
        <f t="shared" si="121"/>
        <v>[</v>
      </c>
      <c r="CW68" s="927" t="str">
        <f t="shared" si="122"/>
        <v>[</v>
      </c>
      <c r="DA68" s="585"/>
      <c r="DB68" s="587"/>
      <c r="DC68" s="1288"/>
      <c r="DD68" s="1288"/>
      <c r="DE68" s="1288"/>
      <c r="DF68" s="1288"/>
      <c r="DG68" s="1288"/>
      <c r="DH68" s="1288"/>
      <c r="DI68" s="1288"/>
      <c r="DJ68" s="1288"/>
      <c r="DK68" s="1288"/>
      <c r="DL68" s="1288"/>
      <c r="DM68" s="1288"/>
      <c r="DN68" s="1288"/>
      <c r="DO68" s="1288"/>
      <c r="DP68" s="1288"/>
      <c r="DQ68" s="1288"/>
      <c r="DR68" s="1288"/>
      <c r="DS68" s="1289"/>
    </row>
    <row r="69" spans="19:123" ht="13.5" thickBot="1" x14ac:dyDescent="0.25">
      <c r="S69" s="585"/>
      <c r="T69" s="651">
        <f t="shared" ref="T69:BC69" si="130">T9</f>
        <v>2.68768595102742E-4</v>
      </c>
      <c r="U69" s="652">
        <f t="shared" si="130"/>
        <v>7.9813938750372855E-4</v>
      </c>
      <c r="V69" s="652">
        <f t="shared" si="130"/>
        <v>1.303259118368381E-3</v>
      </c>
      <c r="W69" s="652">
        <f t="shared" si="130"/>
        <v>1.768779980231521E-3</v>
      </c>
      <c r="X69" s="652">
        <f t="shared" si="130"/>
        <v>2.1805573572703601E-3</v>
      </c>
      <c r="Y69" s="652">
        <f t="shared" si="130"/>
        <v>2.5260796022987518E-3</v>
      </c>
      <c r="Z69" s="652">
        <f t="shared" si="130"/>
        <v>2.7948481968234789E-3</v>
      </c>
      <c r="AA69" s="652">
        <f t="shared" si="130"/>
        <v>2.9786967431949243E-3</v>
      </c>
      <c r="AB69" s="652">
        <f t="shared" si="130"/>
        <v>3.0720390964427231E-3</v>
      </c>
      <c r="AC69" s="652">
        <f t="shared" si="130"/>
        <v>3.0720390964427231E-3</v>
      </c>
      <c r="AD69" s="652">
        <f t="shared" si="130"/>
        <v>2.9786967431949243E-3</v>
      </c>
      <c r="AE69" s="652">
        <f t="shared" si="130"/>
        <v>2.7948481968234793E-3</v>
      </c>
      <c r="AF69" s="652">
        <f t="shared" si="130"/>
        <v>2.5260796022987522E-3</v>
      </c>
      <c r="AG69" s="652">
        <f t="shared" si="130"/>
        <v>2.1805573572703605E-3</v>
      </c>
      <c r="AH69" s="652">
        <f t="shared" si="130"/>
        <v>1.7687799802315219E-3</v>
      </c>
      <c r="AI69" s="652">
        <f t="shared" si="130"/>
        <v>1.303259118368381E-3</v>
      </c>
      <c r="AJ69" s="652">
        <f t="shared" si="130"/>
        <v>7.9813938750372953E-4</v>
      </c>
      <c r="AK69" s="652">
        <f t="shared" si="130"/>
        <v>2.6876859510274341E-4</v>
      </c>
      <c r="AL69" s="652">
        <f t="shared" si="130"/>
        <v>-2.6876859510274129E-4</v>
      </c>
      <c r="AM69" s="652">
        <f t="shared" si="130"/>
        <v>-7.9813938750372747E-4</v>
      </c>
      <c r="AN69" s="652">
        <f t="shared" si="130"/>
        <v>-1.3032591183683802E-3</v>
      </c>
      <c r="AO69" s="652">
        <f t="shared" si="130"/>
        <v>-1.7687799802315201E-3</v>
      </c>
      <c r="AP69" s="652">
        <f t="shared" si="130"/>
        <v>-2.1805573572703601E-3</v>
      </c>
      <c r="AQ69" s="652">
        <f t="shared" si="130"/>
        <v>-2.5260796022987509E-3</v>
      </c>
      <c r="AR69" s="652">
        <f t="shared" si="130"/>
        <v>-2.794848196823478E-3</v>
      </c>
      <c r="AS69" s="652">
        <f t="shared" si="130"/>
        <v>-2.9786967431949243E-3</v>
      </c>
      <c r="AT69" s="652">
        <f t="shared" si="130"/>
        <v>-3.0720390964427231E-3</v>
      </c>
      <c r="AU69" s="652">
        <f t="shared" si="130"/>
        <v>-3.0720390964427231E-3</v>
      </c>
      <c r="AV69" s="652">
        <f t="shared" si="130"/>
        <v>-2.9786967431949243E-3</v>
      </c>
      <c r="AW69" s="652">
        <f t="shared" si="130"/>
        <v>-2.7948481968234789E-3</v>
      </c>
      <c r="AX69" s="652">
        <f t="shared" si="130"/>
        <v>-2.5260796022987518E-3</v>
      </c>
      <c r="AY69" s="652">
        <f t="shared" si="130"/>
        <v>-2.1805573572703609E-3</v>
      </c>
      <c r="AZ69" s="652">
        <f t="shared" si="130"/>
        <v>-1.7687799802315223E-3</v>
      </c>
      <c r="BA69" s="652">
        <f t="shared" si="130"/>
        <v>-1.3032591183683828E-3</v>
      </c>
      <c r="BB69" s="652">
        <f t="shared" si="130"/>
        <v>-7.9813938750372833E-4</v>
      </c>
      <c r="BC69" s="653">
        <f t="shared" si="130"/>
        <v>-2.6876859510274238E-4</v>
      </c>
      <c r="BD69" s="577" t="str">
        <f>""</f>
        <v/>
      </c>
      <c r="BG69" s="772">
        <v>90</v>
      </c>
      <c r="BH69" s="785">
        <f>AB5</f>
        <v>3</v>
      </c>
      <c r="BI69" s="774" t="str">
        <f t="shared" si="123"/>
        <v>H</v>
      </c>
      <c r="CB69" s="921">
        <f t="shared" si="100"/>
        <v>280</v>
      </c>
      <c r="CC69" s="926" t="str">
        <f t="shared" si="102"/>
        <v>[10,20,30,40,50,60,70,80,90,100,110,120,130,140,150,160,170,180,190,200,210,220,230,240,250,260,270,280</v>
      </c>
      <c r="CD69" s="922" t="str">
        <f t="shared" si="103"/>
        <v>[</v>
      </c>
      <c r="CE69" s="922" t="str">
        <f t="shared" si="104"/>
        <v>[</v>
      </c>
      <c r="CF69" s="922" t="str">
        <f t="shared" si="105"/>
        <v>[</v>
      </c>
      <c r="CG69" s="922" t="str">
        <f t="shared" si="106"/>
        <v>[</v>
      </c>
      <c r="CH69" s="922" t="str">
        <f t="shared" si="107"/>
        <v>[</v>
      </c>
      <c r="CI69" s="922" t="str">
        <f t="shared" si="108"/>
        <v>[</v>
      </c>
      <c r="CJ69" s="922" t="str">
        <f t="shared" si="109"/>
        <v>[</v>
      </c>
      <c r="CK69" s="922" t="str">
        <f t="shared" si="110"/>
        <v>[</v>
      </c>
      <c r="CL69" s="922" t="str">
        <f t="shared" si="111"/>
        <v>[</v>
      </c>
      <c r="CM69" s="922" t="str">
        <f t="shared" si="112"/>
        <v>[</v>
      </c>
      <c r="CN69" s="922" t="str">
        <f t="shared" si="113"/>
        <v>[</v>
      </c>
      <c r="CO69" s="922" t="str">
        <f t="shared" si="114"/>
        <v>[</v>
      </c>
      <c r="CP69" s="922" t="str">
        <f t="shared" si="115"/>
        <v>[</v>
      </c>
      <c r="CQ69" s="922" t="str">
        <f t="shared" si="116"/>
        <v>[</v>
      </c>
      <c r="CR69" s="922" t="str">
        <f t="shared" si="117"/>
        <v>[</v>
      </c>
      <c r="CS69" s="922" t="str">
        <f t="shared" si="118"/>
        <v>[</v>
      </c>
      <c r="CT69" s="922" t="str">
        <f t="shared" si="119"/>
        <v>[</v>
      </c>
      <c r="CU69" s="922" t="str">
        <f t="shared" si="120"/>
        <v>[</v>
      </c>
      <c r="CV69" s="922" t="str">
        <f t="shared" si="121"/>
        <v>[</v>
      </c>
      <c r="CW69" s="927" t="str">
        <f t="shared" si="122"/>
        <v>[</v>
      </c>
      <c r="DA69" s="585"/>
      <c r="DB69" s="587"/>
      <c r="DC69" s="1288"/>
      <c r="DD69" s="1288"/>
      <c r="DE69" s="1288"/>
      <c r="DF69" s="1288"/>
      <c r="DG69" s="1288"/>
      <c r="DH69" s="1288"/>
      <c r="DI69" s="1288"/>
      <c r="DJ69" s="1288"/>
      <c r="DK69" s="1288"/>
      <c r="DL69" s="1288"/>
      <c r="DM69" s="1288"/>
      <c r="DN69" s="1288"/>
      <c r="DO69" s="1288"/>
      <c r="DP69" s="1288"/>
      <c r="DQ69" s="1288"/>
      <c r="DR69" s="1288"/>
      <c r="DS69" s="1289"/>
    </row>
    <row r="70" spans="19:123" ht="13.5" thickBot="1" x14ac:dyDescent="0.25">
      <c r="S70" s="585"/>
      <c r="T70" s="648" t="s">
        <v>464</v>
      </c>
      <c r="U70" s="649" t="str">
        <f t="shared" ref="U70:BC70" si="131">T70</f>
        <v>},"right":{</v>
      </c>
      <c r="V70" s="649" t="str">
        <f t="shared" si="131"/>
        <v>},"right":{</v>
      </c>
      <c r="W70" s="649" t="str">
        <f t="shared" si="131"/>
        <v>},"right":{</v>
      </c>
      <c r="X70" s="649" t="str">
        <f t="shared" si="131"/>
        <v>},"right":{</v>
      </c>
      <c r="Y70" s="649" t="str">
        <f t="shared" si="131"/>
        <v>},"right":{</v>
      </c>
      <c r="Z70" s="649" t="str">
        <f t="shared" si="131"/>
        <v>},"right":{</v>
      </c>
      <c r="AA70" s="649" t="str">
        <f t="shared" si="131"/>
        <v>},"right":{</v>
      </c>
      <c r="AB70" s="649" t="str">
        <f t="shared" si="131"/>
        <v>},"right":{</v>
      </c>
      <c r="AC70" s="649" t="str">
        <f t="shared" si="131"/>
        <v>},"right":{</v>
      </c>
      <c r="AD70" s="649" t="str">
        <f t="shared" si="131"/>
        <v>},"right":{</v>
      </c>
      <c r="AE70" s="649" t="str">
        <f t="shared" si="131"/>
        <v>},"right":{</v>
      </c>
      <c r="AF70" s="649" t="str">
        <f t="shared" si="131"/>
        <v>},"right":{</v>
      </c>
      <c r="AG70" s="649" t="str">
        <f t="shared" si="131"/>
        <v>},"right":{</v>
      </c>
      <c r="AH70" s="649" t="str">
        <f t="shared" si="131"/>
        <v>},"right":{</v>
      </c>
      <c r="AI70" s="649" t="str">
        <f t="shared" si="131"/>
        <v>},"right":{</v>
      </c>
      <c r="AJ70" s="649" t="str">
        <f t="shared" si="131"/>
        <v>},"right":{</v>
      </c>
      <c r="AK70" s="649" t="str">
        <f t="shared" si="131"/>
        <v>},"right":{</v>
      </c>
      <c r="AL70" s="649" t="str">
        <f t="shared" si="131"/>
        <v>},"right":{</v>
      </c>
      <c r="AM70" s="649" t="str">
        <f t="shared" si="131"/>
        <v>},"right":{</v>
      </c>
      <c r="AN70" s="649" t="str">
        <f t="shared" si="131"/>
        <v>},"right":{</v>
      </c>
      <c r="AO70" s="649" t="str">
        <f t="shared" si="131"/>
        <v>},"right":{</v>
      </c>
      <c r="AP70" s="649" t="str">
        <f t="shared" si="131"/>
        <v>},"right":{</v>
      </c>
      <c r="AQ70" s="649" t="str">
        <f t="shared" si="131"/>
        <v>},"right":{</v>
      </c>
      <c r="AR70" s="649" t="str">
        <f t="shared" si="131"/>
        <v>},"right":{</v>
      </c>
      <c r="AS70" s="649" t="str">
        <f t="shared" si="131"/>
        <v>},"right":{</v>
      </c>
      <c r="AT70" s="649" t="str">
        <f t="shared" si="131"/>
        <v>},"right":{</v>
      </c>
      <c r="AU70" s="649" t="str">
        <f t="shared" si="131"/>
        <v>},"right":{</v>
      </c>
      <c r="AV70" s="649" t="str">
        <f t="shared" si="131"/>
        <v>},"right":{</v>
      </c>
      <c r="AW70" s="649" t="str">
        <f t="shared" si="131"/>
        <v>},"right":{</v>
      </c>
      <c r="AX70" s="649" t="str">
        <f t="shared" si="131"/>
        <v>},"right":{</v>
      </c>
      <c r="AY70" s="649" t="str">
        <f t="shared" si="131"/>
        <v>},"right":{</v>
      </c>
      <c r="AZ70" s="649" t="str">
        <f t="shared" si="131"/>
        <v>},"right":{</v>
      </c>
      <c r="BA70" s="649" t="str">
        <f t="shared" si="131"/>
        <v>},"right":{</v>
      </c>
      <c r="BB70" s="649" t="str">
        <f t="shared" si="131"/>
        <v>},"right":{</v>
      </c>
      <c r="BC70" s="650" t="str">
        <f t="shared" si="131"/>
        <v>},"right":{</v>
      </c>
      <c r="BD70" s="577" t="str">
        <f>""</f>
        <v/>
      </c>
      <c r="BG70" s="772">
        <v>100</v>
      </c>
      <c r="BH70" s="785">
        <f>AC5</f>
        <v>4</v>
      </c>
      <c r="BI70" s="774" t="str">
        <f t="shared" si="123"/>
        <v>I</v>
      </c>
      <c r="CB70" s="921">
        <f t="shared" si="100"/>
        <v>290</v>
      </c>
      <c r="CC70" s="926" t="str">
        <f t="shared" si="102"/>
        <v>[10,20,30,40,50,60,70,80,90,100,110,120,130,140,150,160,170,180,190,200,210,220,230,240,250,260,270,280,290</v>
      </c>
      <c r="CD70" s="922" t="str">
        <f t="shared" si="103"/>
        <v>[</v>
      </c>
      <c r="CE70" s="922" t="str">
        <f t="shared" si="104"/>
        <v>[</v>
      </c>
      <c r="CF70" s="922" t="str">
        <f t="shared" si="105"/>
        <v>[</v>
      </c>
      <c r="CG70" s="922" t="str">
        <f t="shared" si="106"/>
        <v>[</v>
      </c>
      <c r="CH70" s="922" t="str">
        <f t="shared" si="107"/>
        <v>[</v>
      </c>
      <c r="CI70" s="922" t="str">
        <f t="shared" si="108"/>
        <v>[</v>
      </c>
      <c r="CJ70" s="922" t="str">
        <f t="shared" si="109"/>
        <v>[</v>
      </c>
      <c r="CK70" s="922" t="str">
        <f t="shared" si="110"/>
        <v>[</v>
      </c>
      <c r="CL70" s="922" t="str">
        <f t="shared" si="111"/>
        <v>[</v>
      </c>
      <c r="CM70" s="922" t="str">
        <f t="shared" si="112"/>
        <v>[</v>
      </c>
      <c r="CN70" s="922" t="str">
        <f t="shared" si="113"/>
        <v>[</v>
      </c>
      <c r="CO70" s="922" t="str">
        <f t="shared" si="114"/>
        <v>[</v>
      </c>
      <c r="CP70" s="922" t="str">
        <f t="shared" si="115"/>
        <v>[</v>
      </c>
      <c r="CQ70" s="922" t="str">
        <f t="shared" si="116"/>
        <v>[</v>
      </c>
      <c r="CR70" s="922" t="str">
        <f t="shared" si="117"/>
        <v>[</v>
      </c>
      <c r="CS70" s="922" t="str">
        <f t="shared" si="118"/>
        <v>[</v>
      </c>
      <c r="CT70" s="922" t="str">
        <f t="shared" si="119"/>
        <v>[</v>
      </c>
      <c r="CU70" s="922" t="str">
        <f t="shared" si="120"/>
        <v>[</v>
      </c>
      <c r="CV70" s="922" t="str">
        <f t="shared" si="121"/>
        <v>[</v>
      </c>
      <c r="CW70" s="927" t="str">
        <f t="shared" si="122"/>
        <v>[</v>
      </c>
      <c r="DA70" s="585"/>
      <c r="DB70" s="587"/>
      <c r="DC70" s="1288"/>
      <c r="DD70" s="1288"/>
      <c r="DE70" s="1288"/>
      <c r="DF70" s="1288"/>
      <c r="DG70" s="1288"/>
      <c r="DH70" s="1288"/>
      <c r="DI70" s="1288"/>
      <c r="DJ70" s="1288"/>
      <c r="DK70" s="1288"/>
      <c r="DL70" s="1288"/>
      <c r="DM70" s="1288"/>
      <c r="DN70" s="1288"/>
      <c r="DO70" s="1288"/>
      <c r="DP70" s="1288"/>
      <c r="DQ70" s="1288"/>
      <c r="DR70" s="1288"/>
      <c r="DS70" s="1289"/>
    </row>
    <row r="71" spans="19:123" ht="13.5" thickBot="1" x14ac:dyDescent="0.25">
      <c r="S71" s="585"/>
      <c r="T71" s="648" t="s">
        <v>463</v>
      </c>
      <c r="U71" s="649" t="str">
        <f t="shared" ref="U71:BC71" si="132">T71</f>
        <v>"latitude":</v>
      </c>
      <c r="V71" s="649" t="str">
        <f t="shared" si="132"/>
        <v>"latitude":</v>
      </c>
      <c r="W71" s="649" t="str">
        <f t="shared" si="132"/>
        <v>"latitude":</v>
      </c>
      <c r="X71" s="649" t="str">
        <f t="shared" si="132"/>
        <v>"latitude":</v>
      </c>
      <c r="Y71" s="649" t="str">
        <f t="shared" si="132"/>
        <v>"latitude":</v>
      </c>
      <c r="Z71" s="649" t="str">
        <f t="shared" si="132"/>
        <v>"latitude":</v>
      </c>
      <c r="AA71" s="649" t="str">
        <f t="shared" si="132"/>
        <v>"latitude":</v>
      </c>
      <c r="AB71" s="649" t="str">
        <f t="shared" si="132"/>
        <v>"latitude":</v>
      </c>
      <c r="AC71" s="649" t="str">
        <f t="shared" si="132"/>
        <v>"latitude":</v>
      </c>
      <c r="AD71" s="649" t="str">
        <f t="shared" si="132"/>
        <v>"latitude":</v>
      </c>
      <c r="AE71" s="649" t="str">
        <f t="shared" si="132"/>
        <v>"latitude":</v>
      </c>
      <c r="AF71" s="649" t="str">
        <f t="shared" si="132"/>
        <v>"latitude":</v>
      </c>
      <c r="AG71" s="649" t="str">
        <f t="shared" si="132"/>
        <v>"latitude":</v>
      </c>
      <c r="AH71" s="649" t="str">
        <f t="shared" si="132"/>
        <v>"latitude":</v>
      </c>
      <c r="AI71" s="649" t="str">
        <f t="shared" si="132"/>
        <v>"latitude":</v>
      </c>
      <c r="AJ71" s="649" t="str">
        <f t="shared" si="132"/>
        <v>"latitude":</v>
      </c>
      <c r="AK71" s="649" t="str">
        <f t="shared" si="132"/>
        <v>"latitude":</v>
      </c>
      <c r="AL71" s="649" t="str">
        <f t="shared" si="132"/>
        <v>"latitude":</v>
      </c>
      <c r="AM71" s="649" t="str">
        <f t="shared" si="132"/>
        <v>"latitude":</v>
      </c>
      <c r="AN71" s="649" t="str">
        <f t="shared" si="132"/>
        <v>"latitude":</v>
      </c>
      <c r="AO71" s="649" t="str">
        <f t="shared" si="132"/>
        <v>"latitude":</v>
      </c>
      <c r="AP71" s="649" t="str">
        <f t="shared" si="132"/>
        <v>"latitude":</v>
      </c>
      <c r="AQ71" s="649" t="str">
        <f t="shared" si="132"/>
        <v>"latitude":</v>
      </c>
      <c r="AR71" s="649" t="str">
        <f t="shared" si="132"/>
        <v>"latitude":</v>
      </c>
      <c r="AS71" s="649" t="str">
        <f t="shared" si="132"/>
        <v>"latitude":</v>
      </c>
      <c r="AT71" s="649" t="str">
        <f t="shared" si="132"/>
        <v>"latitude":</v>
      </c>
      <c r="AU71" s="649" t="str">
        <f t="shared" si="132"/>
        <v>"latitude":</v>
      </c>
      <c r="AV71" s="649" t="str">
        <f t="shared" si="132"/>
        <v>"latitude":</v>
      </c>
      <c r="AW71" s="649" t="str">
        <f t="shared" si="132"/>
        <v>"latitude":</v>
      </c>
      <c r="AX71" s="649" t="str">
        <f t="shared" si="132"/>
        <v>"latitude":</v>
      </c>
      <c r="AY71" s="649" t="str">
        <f t="shared" si="132"/>
        <v>"latitude":</v>
      </c>
      <c r="AZ71" s="649" t="str">
        <f t="shared" si="132"/>
        <v>"latitude":</v>
      </c>
      <c r="BA71" s="649" t="str">
        <f t="shared" si="132"/>
        <v>"latitude":</v>
      </c>
      <c r="BB71" s="649" t="str">
        <f t="shared" si="132"/>
        <v>"latitude":</v>
      </c>
      <c r="BC71" s="650" t="str">
        <f t="shared" si="132"/>
        <v>"latitude":</v>
      </c>
      <c r="BD71" s="577" t="str">
        <f>""</f>
        <v/>
      </c>
      <c r="BG71" s="772">
        <v>110</v>
      </c>
      <c r="BH71" s="785">
        <f>AD5</f>
        <v>4</v>
      </c>
      <c r="BI71" s="774" t="str">
        <f t="shared" si="123"/>
        <v>I</v>
      </c>
      <c r="CB71" s="921">
        <f t="shared" si="100"/>
        <v>300</v>
      </c>
      <c r="CC71" s="926" t="str">
        <f t="shared" si="102"/>
        <v>[10,20,30,40,50,60,70,80,90,100,110,120,130,140,150,160,170,180,190,200,210,220,230,240,250,260,270,280,290,300</v>
      </c>
      <c r="CD71" s="922" t="str">
        <f t="shared" si="103"/>
        <v>[</v>
      </c>
      <c r="CE71" s="922" t="str">
        <f t="shared" si="104"/>
        <v>[</v>
      </c>
      <c r="CF71" s="922" t="str">
        <f t="shared" si="105"/>
        <v>[</v>
      </c>
      <c r="CG71" s="922" t="str">
        <f t="shared" si="106"/>
        <v>[</v>
      </c>
      <c r="CH71" s="922" t="str">
        <f t="shared" si="107"/>
        <v>[</v>
      </c>
      <c r="CI71" s="922" t="str">
        <f t="shared" si="108"/>
        <v>[</v>
      </c>
      <c r="CJ71" s="922" t="str">
        <f t="shared" si="109"/>
        <v>[</v>
      </c>
      <c r="CK71" s="922" t="str">
        <f t="shared" si="110"/>
        <v>[</v>
      </c>
      <c r="CL71" s="922" t="str">
        <f t="shared" si="111"/>
        <v>[</v>
      </c>
      <c r="CM71" s="922" t="str">
        <f t="shared" si="112"/>
        <v>[</v>
      </c>
      <c r="CN71" s="922" t="str">
        <f t="shared" si="113"/>
        <v>[</v>
      </c>
      <c r="CO71" s="922" t="str">
        <f t="shared" si="114"/>
        <v>[</v>
      </c>
      <c r="CP71" s="922" t="str">
        <f t="shared" si="115"/>
        <v>[</v>
      </c>
      <c r="CQ71" s="922" t="str">
        <f t="shared" si="116"/>
        <v>[</v>
      </c>
      <c r="CR71" s="922" t="str">
        <f t="shared" si="117"/>
        <v>[</v>
      </c>
      <c r="CS71" s="922" t="str">
        <f t="shared" si="118"/>
        <v>[</v>
      </c>
      <c r="CT71" s="922" t="str">
        <f t="shared" si="119"/>
        <v>[</v>
      </c>
      <c r="CU71" s="922" t="str">
        <f t="shared" si="120"/>
        <v>[</v>
      </c>
      <c r="CV71" s="922" t="str">
        <f t="shared" si="121"/>
        <v>[</v>
      </c>
      <c r="CW71" s="927" t="str">
        <f t="shared" si="122"/>
        <v>[</v>
      </c>
      <c r="DA71" s="585"/>
      <c r="DB71" s="587"/>
      <c r="DC71" s="1288"/>
      <c r="DD71" s="1288"/>
      <c r="DE71" s="1288"/>
      <c r="DF71" s="1288"/>
      <c r="DG71" s="1288"/>
      <c r="DH71" s="1288"/>
      <c r="DI71" s="1288"/>
      <c r="DJ71" s="1288"/>
      <c r="DK71" s="1288"/>
      <c r="DL71" s="1288"/>
      <c r="DM71" s="1288"/>
      <c r="DN71" s="1288"/>
      <c r="DO71" s="1288"/>
      <c r="DP71" s="1288"/>
      <c r="DQ71" s="1288"/>
      <c r="DR71" s="1288"/>
      <c r="DS71" s="1289"/>
    </row>
    <row r="72" spans="19:123" ht="13.5" thickBot="1" x14ac:dyDescent="0.25">
      <c r="S72" s="585"/>
      <c r="T72" s="651">
        <f t="shared" ref="T72:BC72" si="133">T10</f>
        <v>2.9786967429059172E-3</v>
      </c>
      <c r="U72" s="652">
        <f t="shared" si="133"/>
        <v>2.7948481961004691E-3</v>
      </c>
      <c r="V72" s="652">
        <f t="shared" si="133"/>
        <v>2.526079601095048E-3</v>
      </c>
      <c r="W72" s="652">
        <f t="shared" si="133"/>
        <v>2.1805573556911966E-3</v>
      </c>
      <c r="X72" s="652">
        <f t="shared" si="133"/>
        <v>1.7687799785124549E-3</v>
      </c>
      <c r="Y72" s="652">
        <f t="shared" si="133"/>
        <v>1.3032591168178802E-3</v>
      </c>
      <c r="Z72" s="652">
        <f t="shared" si="133"/>
        <v>7.9813938642513929E-4</v>
      </c>
      <c r="AA72" s="652">
        <f t="shared" si="133"/>
        <v>2.6876859471641334E-4</v>
      </c>
      <c r="AB72" s="652">
        <f t="shared" si="133"/>
        <v>-2.6876859471641366E-4</v>
      </c>
      <c r="AC72" s="652">
        <f t="shared" si="133"/>
        <v>-7.9813938642513962E-4</v>
      </c>
      <c r="AD72" s="652">
        <f t="shared" si="133"/>
        <v>-1.3032591168178796E-3</v>
      </c>
      <c r="AE72" s="652">
        <f t="shared" si="133"/>
        <v>-1.7687799785124538E-3</v>
      </c>
      <c r="AF72" s="652">
        <f t="shared" si="133"/>
        <v>-2.1805573556911962E-3</v>
      </c>
      <c r="AG72" s="652">
        <f t="shared" si="133"/>
        <v>-2.526079601095048E-3</v>
      </c>
      <c r="AH72" s="652">
        <f t="shared" si="133"/>
        <v>-2.7948481961004687E-3</v>
      </c>
      <c r="AI72" s="652">
        <f t="shared" si="133"/>
        <v>-2.9786967429059168E-3</v>
      </c>
      <c r="AJ72" s="652">
        <f t="shared" si="133"/>
        <v>-3.0720390964089242E-3</v>
      </c>
      <c r="AK72" s="652">
        <f t="shared" si="133"/>
        <v>-3.0720390964089242E-3</v>
      </c>
      <c r="AL72" s="652">
        <f t="shared" si="133"/>
        <v>-2.9786967429059176E-3</v>
      </c>
      <c r="AM72" s="652">
        <f t="shared" si="133"/>
        <v>-2.7948481961004691E-3</v>
      </c>
      <c r="AN72" s="652">
        <f t="shared" si="133"/>
        <v>-2.5260796010950493E-3</v>
      </c>
      <c r="AO72" s="652">
        <f t="shared" si="133"/>
        <v>-2.1805573556911971E-3</v>
      </c>
      <c r="AP72" s="652">
        <f t="shared" si="133"/>
        <v>-1.7687799785124551E-3</v>
      </c>
      <c r="AQ72" s="652">
        <f t="shared" si="133"/>
        <v>-1.3032591168178815E-3</v>
      </c>
      <c r="AR72" s="652">
        <f t="shared" si="133"/>
        <v>-7.9813938642513897E-4</v>
      </c>
      <c r="AS72" s="652">
        <f t="shared" si="133"/>
        <v>-2.6876859471641371E-4</v>
      </c>
      <c r="AT72" s="652">
        <f t="shared" si="133"/>
        <v>2.6876859471641258E-4</v>
      </c>
      <c r="AU72" s="652">
        <f t="shared" si="133"/>
        <v>7.9813938642514049E-4</v>
      </c>
      <c r="AV72" s="652">
        <f t="shared" si="133"/>
        <v>1.3032591168178809E-3</v>
      </c>
      <c r="AW72" s="652">
        <f t="shared" si="133"/>
        <v>1.7687799785124547E-3</v>
      </c>
      <c r="AX72" s="652">
        <f t="shared" si="133"/>
        <v>2.1805573556911957E-3</v>
      </c>
      <c r="AY72" s="652">
        <f t="shared" si="133"/>
        <v>2.526079601095048E-3</v>
      </c>
      <c r="AZ72" s="652">
        <f t="shared" si="133"/>
        <v>2.7948481961004687E-3</v>
      </c>
      <c r="BA72" s="652">
        <f t="shared" si="133"/>
        <v>2.9786967429059172E-3</v>
      </c>
      <c r="BB72" s="652">
        <f t="shared" si="133"/>
        <v>3.0720390964089242E-3</v>
      </c>
      <c r="BC72" s="653">
        <f t="shared" si="133"/>
        <v>3.0720390964089242E-3</v>
      </c>
      <c r="BD72" s="577" t="str">
        <f>""</f>
        <v/>
      </c>
      <c r="BG72" s="772">
        <v>120</v>
      </c>
      <c r="BH72" s="785">
        <f>AE5</f>
        <v>4</v>
      </c>
      <c r="BI72" s="774" t="str">
        <f t="shared" si="123"/>
        <v>I</v>
      </c>
      <c r="CB72" s="921">
        <f t="shared" si="100"/>
        <v>310</v>
      </c>
      <c r="CC72" s="926" t="str">
        <f t="shared" si="102"/>
        <v>[10,20,30,40,50,60,70,80,90,100,110,120,130,140,150,160,170,180,190,200,210,220,230,240,250,260,270,280,290,300,310</v>
      </c>
      <c r="CD72" s="922" t="str">
        <f t="shared" si="103"/>
        <v>[</v>
      </c>
      <c r="CE72" s="922" t="str">
        <f t="shared" si="104"/>
        <v>[</v>
      </c>
      <c r="CF72" s="922" t="str">
        <f t="shared" si="105"/>
        <v>[</v>
      </c>
      <c r="CG72" s="922" t="str">
        <f t="shared" si="106"/>
        <v>[</v>
      </c>
      <c r="CH72" s="922" t="str">
        <f t="shared" si="107"/>
        <v>[</v>
      </c>
      <c r="CI72" s="922" t="str">
        <f t="shared" si="108"/>
        <v>[</v>
      </c>
      <c r="CJ72" s="922" t="str">
        <f t="shared" si="109"/>
        <v>[</v>
      </c>
      <c r="CK72" s="922" t="str">
        <f t="shared" si="110"/>
        <v>[</v>
      </c>
      <c r="CL72" s="922" t="str">
        <f t="shared" si="111"/>
        <v>[</v>
      </c>
      <c r="CM72" s="922" t="str">
        <f t="shared" si="112"/>
        <v>[</v>
      </c>
      <c r="CN72" s="922" t="str">
        <f t="shared" si="113"/>
        <v>[</v>
      </c>
      <c r="CO72" s="922" t="str">
        <f t="shared" si="114"/>
        <v>[</v>
      </c>
      <c r="CP72" s="922" t="str">
        <f t="shared" si="115"/>
        <v>[</v>
      </c>
      <c r="CQ72" s="922" t="str">
        <f t="shared" si="116"/>
        <v>[</v>
      </c>
      <c r="CR72" s="922" t="str">
        <f t="shared" si="117"/>
        <v>[</v>
      </c>
      <c r="CS72" s="922" t="str">
        <f t="shared" si="118"/>
        <v>[</v>
      </c>
      <c r="CT72" s="922" t="str">
        <f t="shared" si="119"/>
        <v>[</v>
      </c>
      <c r="CU72" s="922" t="str">
        <f t="shared" si="120"/>
        <v>[</v>
      </c>
      <c r="CV72" s="922" t="str">
        <f t="shared" si="121"/>
        <v>[</v>
      </c>
      <c r="CW72" s="927" t="str">
        <f t="shared" si="122"/>
        <v>[</v>
      </c>
      <c r="DA72" s="585"/>
      <c r="DB72" s="587"/>
      <c r="DC72" s="1288"/>
      <c r="DD72" s="1288"/>
      <c r="DE72" s="1288"/>
      <c r="DF72" s="1288"/>
      <c r="DG72" s="1288"/>
      <c r="DH72" s="1288"/>
      <c r="DI72" s="1288"/>
      <c r="DJ72" s="1288"/>
      <c r="DK72" s="1288"/>
      <c r="DL72" s="1288"/>
      <c r="DM72" s="1288"/>
      <c r="DN72" s="1288"/>
      <c r="DO72" s="1288"/>
      <c r="DP72" s="1288"/>
      <c r="DQ72" s="1288"/>
      <c r="DR72" s="1288"/>
      <c r="DS72" s="1289"/>
    </row>
    <row r="73" spans="19:123" ht="13.5" thickBot="1" x14ac:dyDescent="0.25">
      <c r="S73" s="585"/>
      <c r="T73" s="648" t="s">
        <v>465</v>
      </c>
      <c r="U73" s="649" t="str">
        <f t="shared" ref="U73:BC73" si="134">T73</f>
        <v>,"longitude":</v>
      </c>
      <c r="V73" s="649" t="str">
        <f t="shared" si="134"/>
        <v>,"longitude":</v>
      </c>
      <c r="W73" s="649" t="str">
        <f t="shared" si="134"/>
        <v>,"longitude":</v>
      </c>
      <c r="X73" s="649" t="str">
        <f t="shared" si="134"/>
        <v>,"longitude":</v>
      </c>
      <c r="Y73" s="649" t="str">
        <f t="shared" si="134"/>
        <v>,"longitude":</v>
      </c>
      <c r="Z73" s="649" t="str">
        <f t="shared" si="134"/>
        <v>,"longitude":</v>
      </c>
      <c r="AA73" s="649" t="str">
        <f t="shared" si="134"/>
        <v>,"longitude":</v>
      </c>
      <c r="AB73" s="649" t="str">
        <f t="shared" si="134"/>
        <v>,"longitude":</v>
      </c>
      <c r="AC73" s="649" t="str">
        <f t="shared" si="134"/>
        <v>,"longitude":</v>
      </c>
      <c r="AD73" s="649" t="str">
        <f t="shared" si="134"/>
        <v>,"longitude":</v>
      </c>
      <c r="AE73" s="649" t="str">
        <f t="shared" si="134"/>
        <v>,"longitude":</v>
      </c>
      <c r="AF73" s="649" t="str">
        <f t="shared" si="134"/>
        <v>,"longitude":</v>
      </c>
      <c r="AG73" s="649" t="str">
        <f t="shared" si="134"/>
        <v>,"longitude":</v>
      </c>
      <c r="AH73" s="649" t="str">
        <f t="shared" si="134"/>
        <v>,"longitude":</v>
      </c>
      <c r="AI73" s="649" t="str">
        <f t="shared" si="134"/>
        <v>,"longitude":</v>
      </c>
      <c r="AJ73" s="649" t="str">
        <f t="shared" si="134"/>
        <v>,"longitude":</v>
      </c>
      <c r="AK73" s="649" t="str">
        <f t="shared" si="134"/>
        <v>,"longitude":</v>
      </c>
      <c r="AL73" s="649" t="str">
        <f t="shared" si="134"/>
        <v>,"longitude":</v>
      </c>
      <c r="AM73" s="649" t="str">
        <f t="shared" si="134"/>
        <v>,"longitude":</v>
      </c>
      <c r="AN73" s="649" t="str">
        <f t="shared" si="134"/>
        <v>,"longitude":</v>
      </c>
      <c r="AO73" s="649" t="str">
        <f t="shared" si="134"/>
        <v>,"longitude":</v>
      </c>
      <c r="AP73" s="649" t="str">
        <f t="shared" si="134"/>
        <v>,"longitude":</v>
      </c>
      <c r="AQ73" s="649" t="str">
        <f t="shared" si="134"/>
        <v>,"longitude":</v>
      </c>
      <c r="AR73" s="649" t="str">
        <f t="shared" si="134"/>
        <v>,"longitude":</v>
      </c>
      <c r="AS73" s="649" t="str">
        <f t="shared" si="134"/>
        <v>,"longitude":</v>
      </c>
      <c r="AT73" s="649" t="str">
        <f t="shared" si="134"/>
        <v>,"longitude":</v>
      </c>
      <c r="AU73" s="649" t="str">
        <f t="shared" si="134"/>
        <v>,"longitude":</v>
      </c>
      <c r="AV73" s="649" t="str">
        <f t="shared" si="134"/>
        <v>,"longitude":</v>
      </c>
      <c r="AW73" s="649" t="str">
        <f t="shared" si="134"/>
        <v>,"longitude":</v>
      </c>
      <c r="AX73" s="649" t="str">
        <f t="shared" si="134"/>
        <v>,"longitude":</v>
      </c>
      <c r="AY73" s="649" t="str">
        <f t="shared" si="134"/>
        <v>,"longitude":</v>
      </c>
      <c r="AZ73" s="649" t="str">
        <f t="shared" si="134"/>
        <v>,"longitude":</v>
      </c>
      <c r="BA73" s="649" t="str">
        <f t="shared" si="134"/>
        <v>,"longitude":</v>
      </c>
      <c r="BB73" s="649" t="str">
        <f t="shared" si="134"/>
        <v>,"longitude":</v>
      </c>
      <c r="BC73" s="650" t="str">
        <f t="shared" si="134"/>
        <v>,"longitude":</v>
      </c>
      <c r="BD73" s="577" t="str">
        <f>""</f>
        <v/>
      </c>
      <c r="BG73" s="772">
        <v>130</v>
      </c>
      <c r="BH73" s="785">
        <f>AF5</f>
        <v>5</v>
      </c>
      <c r="BI73" s="774" t="str">
        <f t="shared" si="123"/>
        <v>J</v>
      </c>
      <c r="CB73" s="921">
        <f t="shared" si="100"/>
        <v>320</v>
      </c>
      <c r="CC73" s="926" t="str">
        <f t="shared" si="102"/>
        <v>[10,20,30,40,50,60,70,80,90,100,110,120,130,140,150,160,170,180,190,200,210,220,230,240,250,260,270,280,290,300,310,320</v>
      </c>
      <c r="CD73" s="922" t="str">
        <f t="shared" si="103"/>
        <v>[</v>
      </c>
      <c r="CE73" s="922" t="str">
        <f t="shared" si="104"/>
        <v>[</v>
      </c>
      <c r="CF73" s="922" t="str">
        <f t="shared" si="105"/>
        <v>[</v>
      </c>
      <c r="CG73" s="922" t="str">
        <f t="shared" si="106"/>
        <v>[</v>
      </c>
      <c r="CH73" s="922" t="str">
        <f t="shared" si="107"/>
        <v>[</v>
      </c>
      <c r="CI73" s="922" t="str">
        <f t="shared" si="108"/>
        <v>[</v>
      </c>
      <c r="CJ73" s="922" t="str">
        <f t="shared" si="109"/>
        <v>[</v>
      </c>
      <c r="CK73" s="922" t="str">
        <f t="shared" si="110"/>
        <v>[</v>
      </c>
      <c r="CL73" s="922" t="str">
        <f t="shared" si="111"/>
        <v>[</v>
      </c>
      <c r="CM73" s="922" t="str">
        <f t="shared" si="112"/>
        <v>[</v>
      </c>
      <c r="CN73" s="922" t="str">
        <f t="shared" si="113"/>
        <v>[</v>
      </c>
      <c r="CO73" s="922" t="str">
        <f t="shared" si="114"/>
        <v>[</v>
      </c>
      <c r="CP73" s="922" t="str">
        <f t="shared" si="115"/>
        <v>[</v>
      </c>
      <c r="CQ73" s="922" t="str">
        <f t="shared" si="116"/>
        <v>[</v>
      </c>
      <c r="CR73" s="922" t="str">
        <f t="shared" si="117"/>
        <v>[</v>
      </c>
      <c r="CS73" s="922" t="str">
        <f t="shared" si="118"/>
        <v>[</v>
      </c>
      <c r="CT73" s="922" t="str">
        <f t="shared" si="119"/>
        <v>[</v>
      </c>
      <c r="CU73" s="922" t="str">
        <f t="shared" si="120"/>
        <v>[</v>
      </c>
      <c r="CV73" s="922" t="str">
        <f t="shared" si="121"/>
        <v>[</v>
      </c>
      <c r="CW73" s="927" t="str">
        <f t="shared" si="122"/>
        <v>[</v>
      </c>
      <c r="DA73" s="585"/>
      <c r="DB73" s="587"/>
      <c r="DC73" s="1288"/>
      <c r="DD73" s="1288"/>
      <c r="DE73" s="1288"/>
      <c r="DF73" s="1288"/>
      <c r="DG73" s="1288"/>
      <c r="DH73" s="1288"/>
      <c r="DI73" s="1288"/>
      <c r="DJ73" s="1288"/>
      <c r="DK73" s="1288"/>
      <c r="DL73" s="1288"/>
      <c r="DM73" s="1288"/>
      <c r="DN73" s="1288"/>
      <c r="DO73" s="1288"/>
      <c r="DP73" s="1288"/>
      <c r="DQ73" s="1288"/>
      <c r="DR73" s="1288"/>
      <c r="DS73" s="1289"/>
    </row>
    <row r="74" spans="19:123" ht="13.5" thickBot="1" x14ac:dyDescent="0.25">
      <c r="S74" s="585"/>
      <c r="T74" s="651">
        <f t="shared" ref="T74:BC74" si="135">T11</f>
        <v>7.9813938634770015E-4</v>
      </c>
      <c r="U74" s="652">
        <f t="shared" si="135"/>
        <v>1.3032591164807348E-3</v>
      </c>
      <c r="V74" s="652">
        <f t="shared" si="135"/>
        <v>1.7687799776696126E-3</v>
      </c>
      <c r="W74" s="652">
        <f t="shared" si="135"/>
        <v>2.1805573541120319E-3</v>
      </c>
      <c r="X74" s="652">
        <f t="shared" si="135"/>
        <v>2.5260795986399667E-3</v>
      </c>
      <c r="Y74" s="652">
        <f t="shared" si="135"/>
        <v>2.7948481927754089E-3</v>
      </c>
      <c r="Z74" s="652">
        <f t="shared" si="135"/>
        <v>2.9786967388805673E-3</v>
      </c>
      <c r="AA74" s="652">
        <f t="shared" si="135"/>
        <v>3.0720390919931691E-3</v>
      </c>
      <c r="AB74" s="652">
        <f t="shared" si="135"/>
        <v>3.0720390919931691E-3</v>
      </c>
      <c r="AC74" s="652">
        <f t="shared" si="135"/>
        <v>2.9786967388805673E-3</v>
      </c>
      <c r="AD74" s="652">
        <f t="shared" si="135"/>
        <v>2.7948481927754097E-3</v>
      </c>
      <c r="AE74" s="652">
        <f t="shared" si="135"/>
        <v>2.526079598639968E-3</v>
      </c>
      <c r="AF74" s="652">
        <f t="shared" si="135"/>
        <v>2.1805573541120319E-3</v>
      </c>
      <c r="AG74" s="652">
        <f t="shared" si="135"/>
        <v>1.7687799776696135E-3</v>
      </c>
      <c r="AH74" s="652">
        <f t="shared" si="135"/>
        <v>1.303259116480735E-3</v>
      </c>
      <c r="AI74" s="652">
        <f t="shared" si="135"/>
        <v>7.9813938634770102E-4</v>
      </c>
      <c r="AJ74" s="652">
        <f t="shared" si="135"/>
        <v>2.6876859471345785E-4</v>
      </c>
      <c r="AK74" s="652">
        <f t="shared" si="135"/>
        <v>-2.6876859471345574E-4</v>
      </c>
      <c r="AL74" s="652">
        <f t="shared" si="135"/>
        <v>-7.9813938634769896E-4</v>
      </c>
      <c r="AM74" s="652">
        <f t="shared" si="135"/>
        <v>-1.3032591164807343E-3</v>
      </c>
      <c r="AN74" s="652">
        <f t="shared" si="135"/>
        <v>-1.7687799776696118E-3</v>
      </c>
      <c r="AO74" s="652">
        <f t="shared" si="135"/>
        <v>-2.1805573541120319E-3</v>
      </c>
      <c r="AP74" s="652">
        <f t="shared" si="135"/>
        <v>-2.5260795986399667E-3</v>
      </c>
      <c r="AQ74" s="652">
        <f t="shared" si="135"/>
        <v>-2.7948481927754084E-3</v>
      </c>
      <c r="AR74" s="652">
        <f t="shared" si="135"/>
        <v>-2.9786967388805673E-3</v>
      </c>
      <c r="AS74" s="652">
        <f t="shared" si="135"/>
        <v>-3.0720390919931691E-3</v>
      </c>
      <c r="AT74" s="652">
        <f t="shared" si="135"/>
        <v>-3.0720390919931691E-3</v>
      </c>
      <c r="AU74" s="652">
        <f t="shared" si="135"/>
        <v>-2.9786967388805673E-3</v>
      </c>
      <c r="AV74" s="652">
        <f t="shared" si="135"/>
        <v>-2.7948481927754089E-3</v>
      </c>
      <c r="AW74" s="652">
        <f t="shared" si="135"/>
        <v>-2.5260795986399667E-3</v>
      </c>
      <c r="AX74" s="652">
        <f t="shared" si="135"/>
        <v>-2.1805573541120323E-3</v>
      </c>
      <c r="AY74" s="652">
        <f t="shared" si="135"/>
        <v>-1.7687799776696137E-3</v>
      </c>
      <c r="AZ74" s="652">
        <f t="shared" si="135"/>
        <v>-1.3032591164807367E-3</v>
      </c>
      <c r="BA74" s="652">
        <f t="shared" si="135"/>
        <v>-7.9813938634769983E-4</v>
      </c>
      <c r="BB74" s="652">
        <f t="shared" si="135"/>
        <v>-2.6876859471345688E-4</v>
      </c>
      <c r="BC74" s="653">
        <f t="shared" si="135"/>
        <v>2.6876859471345807E-4</v>
      </c>
      <c r="BD74" s="577" t="str">
        <f>""</f>
        <v/>
      </c>
      <c r="BG74" s="772">
        <v>140</v>
      </c>
      <c r="BH74" s="785">
        <f>AG5</f>
        <v>5</v>
      </c>
      <c r="BI74" s="774" t="str">
        <f t="shared" si="123"/>
        <v>J</v>
      </c>
      <c r="CB74" s="921">
        <f t="shared" si="100"/>
        <v>330</v>
      </c>
      <c r="CC74" s="926" t="str">
        <f t="shared" si="102"/>
        <v>[10,20,30,40,50,60,70,80,90,100,110,120,130,140,150,160,170,180,190,200,210,220,230,240,250,260,270,280,290,300,310,320,330</v>
      </c>
      <c r="CD74" s="922" t="str">
        <f t="shared" si="103"/>
        <v>[</v>
      </c>
      <c r="CE74" s="922" t="str">
        <f t="shared" si="104"/>
        <v>[</v>
      </c>
      <c r="CF74" s="922" t="str">
        <f t="shared" si="105"/>
        <v>[</v>
      </c>
      <c r="CG74" s="922" t="str">
        <f t="shared" si="106"/>
        <v>[</v>
      </c>
      <c r="CH74" s="922" t="str">
        <f t="shared" si="107"/>
        <v>[</v>
      </c>
      <c r="CI74" s="922" t="str">
        <f t="shared" si="108"/>
        <v>[</v>
      </c>
      <c r="CJ74" s="922" t="str">
        <f t="shared" si="109"/>
        <v>[</v>
      </c>
      <c r="CK74" s="922" t="str">
        <f t="shared" si="110"/>
        <v>[</v>
      </c>
      <c r="CL74" s="922" t="str">
        <f t="shared" si="111"/>
        <v>[</v>
      </c>
      <c r="CM74" s="922" t="str">
        <f t="shared" si="112"/>
        <v>[</v>
      </c>
      <c r="CN74" s="922" t="str">
        <f t="shared" si="113"/>
        <v>[</v>
      </c>
      <c r="CO74" s="922" t="str">
        <f t="shared" si="114"/>
        <v>[</v>
      </c>
      <c r="CP74" s="922" t="str">
        <f t="shared" si="115"/>
        <v>[</v>
      </c>
      <c r="CQ74" s="922" t="str">
        <f t="shared" si="116"/>
        <v>[</v>
      </c>
      <c r="CR74" s="922" t="str">
        <f t="shared" si="117"/>
        <v>[</v>
      </c>
      <c r="CS74" s="922" t="str">
        <f t="shared" si="118"/>
        <v>[</v>
      </c>
      <c r="CT74" s="922" t="str">
        <f t="shared" si="119"/>
        <v>[</v>
      </c>
      <c r="CU74" s="922" t="str">
        <f t="shared" si="120"/>
        <v>[</v>
      </c>
      <c r="CV74" s="922" t="str">
        <f t="shared" si="121"/>
        <v>[</v>
      </c>
      <c r="CW74" s="927" t="str">
        <f t="shared" si="122"/>
        <v>[</v>
      </c>
      <c r="DA74" s="585"/>
      <c r="DB74" s="587"/>
      <c r="DC74" s="1288"/>
      <c r="DD74" s="1288"/>
      <c r="DE74" s="1288"/>
      <c r="DF74" s="1288"/>
      <c r="DG74" s="1288"/>
      <c r="DH74" s="1288"/>
      <c r="DI74" s="1288"/>
      <c r="DJ74" s="1288"/>
      <c r="DK74" s="1288"/>
      <c r="DL74" s="1288"/>
      <c r="DM74" s="1288"/>
      <c r="DN74" s="1288"/>
      <c r="DO74" s="1288"/>
      <c r="DP74" s="1288"/>
      <c r="DQ74" s="1288"/>
      <c r="DR74" s="1288"/>
      <c r="DS74" s="1289"/>
    </row>
    <row r="75" spans="19:123" ht="13.5" thickBot="1" x14ac:dyDescent="0.25">
      <c r="S75" s="642" t="s">
        <v>500</v>
      </c>
      <c r="T75" s="654" t="str">
        <f t="shared" ref="T75:BC75" si="136">CONCATENATE("{", CHAR(34),"direction",CHAR(34),":",T63,",",CHAR(34),"fetchPoints",CHAR(34),":[{",T65,T66,T67,T68,T69,T70,T71,T72,T73,T74)</f>
        <v>{"direction":10,"fetchPoints":[{"left":{"latitude":0.00307203909640892,"longitude":0.000268768595102742},"right":{"latitude":0.00297869674290592,"longitude":0.0007981393863477</v>
      </c>
      <c r="U75" s="655" t="str">
        <f t="shared" si="136"/>
        <v>{"direction":20,"fetchPoints":[{"left":{"latitude":0.00297869674290592,"longitude":0.000798139387503729},"right":{"latitude":0.00279484819610047,"longitude":0.00130325911648073</v>
      </c>
      <c r="V75" s="655" t="str">
        <f t="shared" si="136"/>
        <v>{"direction":30,"fetchPoints":[{"left":{"latitude":0.00279484819610047,"longitude":0.00130325911836838},"right":{"latitude":0.00252607960109505,"longitude":0.00176877997766961</v>
      </c>
      <c r="W75" s="655" t="str">
        <f t="shared" si="136"/>
        <v>{"direction":40,"fetchPoints":[{"left":{"latitude":0.00252607960109505,"longitude":0.00176877998023152},"right":{"latitude":0.0021805573556912,"longitude":0.00218055735411203</v>
      </c>
      <c r="X75" s="655" t="str">
        <f t="shared" si="136"/>
        <v>{"direction":50,"fetchPoints":[{"left":{"latitude":0.0021805573556912,"longitude":0.00218055735727036},"right":{"latitude":0.00176877997851245,"longitude":0.00252607959863997</v>
      </c>
      <c r="Y75" s="655" t="str">
        <f t="shared" si="136"/>
        <v>{"direction":60,"fetchPoints":[{"left":{"latitude":0.00176877997851245,"longitude":0.00252607960229875},"right":{"latitude":0.00130325911681788,"longitude":0.00279484819277541</v>
      </c>
      <c r="Z75" s="655" t="str">
        <f t="shared" si="136"/>
        <v>{"direction":70,"fetchPoints":[{"left":{"latitude":0.00130325911681788,"longitude":0.00279484819682348},"right":{"latitude":0.000798139386425139,"longitude":0.00297869673888057</v>
      </c>
      <c r="AA75" s="655" t="str">
        <f t="shared" si="136"/>
        <v>{"direction":80,"fetchPoints":[{"left":{"latitude":0.000798139386425139,"longitude":0.00297869674319492},"right":{"latitude":0.000268768594716413,"longitude":0.00307203909199317</v>
      </c>
      <c r="AB75" s="655" t="str">
        <f t="shared" si="136"/>
        <v>{"direction":90,"fetchPoints":[{"left":{"latitude":0.000268768594716413,"longitude":0.00307203909644272},"right":{"latitude":-0.000268768594716414,"longitude":0.00307203909199317</v>
      </c>
      <c r="AC75" s="655" t="str">
        <f t="shared" si="136"/>
        <v>{"direction":100,"fetchPoints":[{"left":{"latitude":-0.000268768594716414,"longitude":0.00307203909644272},"right":{"latitude":-0.00079813938642514,"longitude":0.00297869673888057</v>
      </c>
      <c r="AD75" s="655" t="str">
        <f t="shared" si="136"/>
        <v>{"direction":110,"fetchPoints":[{"left":{"latitude":-0.00079813938642514,"longitude":0.00297869674319492},"right":{"latitude":-0.00130325911681788,"longitude":0.00279484819277541</v>
      </c>
      <c r="AE75" s="655" t="str">
        <f t="shared" si="136"/>
        <v>{"direction":120,"fetchPoints":[{"left":{"latitude":-0.00130325911681788,"longitude":0.00279484819682348},"right":{"latitude":-0.00176877997851245,"longitude":0.00252607959863997</v>
      </c>
      <c r="AF75" s="655" t="str">
        <f t="shared" si="136"/>
        <v>{"direction":130,"fetchPoints":[{"left":{"latitude":-0.00176877997851245,"longitude":0.00252607960229875},"right":{"latitude":-0.0021805573556912,"longitude":0.00218055735411203</v>
      </c>
      <c r="AG75" s="655" t="str">
        <f t="shared" si="136"/>
        <v>{"direction":140,"fetchPoints":[{"left":{"latitude":-0.0021805573556912,"longitude":0.00218055735727036},"right":{"latitude":-0.00252607960109505,"longitude":0.00176877997766961</v>
      </c>
      <c r="AH75" s="655" t="str">
        <f t="shared" si="136"/>
        <v>{"direction":150,"fetchPoints":[{"left":{"latitude":-0.00252607960109505,"longitude":0.00176877998023152},"right":{"latitude":-0.00279484819610047,"longitude":0.00130325911648073</v>
      </c>
      <c r="AI75" s="655" t="str">
        <f t="shared" si="136"/>
        <v>{"direction":160,"fetchPoints":[{"left":{"latitude":-0.00279484819610047,"longitude":0.00130325911836838},"right":{"latitude":-0.00297869674290592,"longitude":0.000798139386347701</v>
      </c>
      <c r="AJ75" s="655" t="str">
        <f t="shared" si="136"/>
        <v>{"direction":170,"fetchPoints":[{"left":{"latitude":-0.00297869674290592,"longitude":0.00079813938750373},"right":{"latitude":-0.00307203909640892,"longitude":0.000268768594713458</v>
      </c>
      <c r="AK75" s="655" t="str">
        <f t="shared" si="136"/>
        <v>{"direction":180,"fetchPoints":[{"left":{"latitude":-0.00307203909640892,"longitude":0.000268768595102743},"right":{"latitude":-0.00307203909640892,"longitude":-0.000268768594713456</v>
      </c>
      <c r="AL75" s="655" t="str">
        <f t="shared" si="136"/>
        <v>{"direction":190,"fetchPoints":[{"left":{"latitude":-0.00307203909640892,"longitude":-0.000268768595102741},"right":{"latitude":-0.00297869674290592,"longitude":-0.000798139386347699</v>
      </c>
      <c r="AM75" s="655" t="str">
        <f t="shared" si="136"/>
        <v>{"direction":200,"fetchPoints":[{"left":{"latitude":-0.00297869674290592,"longitude":-0.000798139387503727},"right":{"latitude":-0.00279484819610047,"longitude":-0.00130325911648073</v>
      </c>
      <c r="AN75" s="655" t="str">
        <f t="shared" si="136"/>
        <v>{"direction":210,"fetchPoints":[{"left":{"latitude":-0.00279484819610047,"longitude":-0.00130325911836838},"right":{"latitude":-0.00252607960109505,"longitude":-0.00176877997766961</v>
      </c>
      <c r="AO75" s="655" t="str">
        <f t="shared" si="136"/>
        <v>{"direction":220,"fetchPoints":[{"left":{"latitude":-0.00252607960109505,"longitude":-0.00176877998023152},"right":{"latitude":-0.0021805573556912,"longitude":-0.00218055735411203</v>
      </c>
      <c r="AP75" s="655" t="str">
        <f t="shared" si="136"/>
        <v>{"direction":230,"fetchPoints":[{"left":{"latitude":-0.0021805573556912,"longitude":-0.00218055735727036},"right":{"latitude":-0.00176877997851246,"longitude":-0.00252607959863997</v>
      </c>
      <c r="AQ75" s="655" t="str">
        <f t="shared" si="136"/>
        <v>{"direction":240,"fetchPoints":[{"left":{"latitude":-0.00176877997851246,"longitude":-0.00252607960229875},"right":{"latitude":-0.00130325911681788,"longitude":-0.00279484819277541</v>
      </c>
      <c r="AR75" s="655" t="str">
        <f t="shared" si="136"/>
        <v>{"direction":250,"fetchPoints":[{"left":{"latitude":-0.00130325911681788,"longitude":-0.00279484819682348},"right":{"latitude":-0.000798139386425139,"longitude":-0.00297869673888057</v>
      </c>
      <c r="AS75" s="655" t="str">
        <f t="shared" si="136"/>
        <v>{"direction":260,"fetchPoints":[{"left":{"latitude":-0.000798139386425139,"longitude":-0.00297869674319492},"right":{"latitude":-0.000268768594716414,"longitude":-0.00307203909199317</v>
      </c>
      <c r="AT75" s="655" t="str">
        <f t="shared" si="136"/>
        <v>{"direction":270,"fetchPoints":[{"left":{"latitude":-0.000268768594716414,"longitude":-0.00307203909644272},"right":{"latitude":0.000268768594716413,"longitude":-0.00307203909199317</v>
      </c>
      <c r="AU75" s="655" t="str">
        <f t="shared" si="136"/>
        <v>{"direction":280,"fetchPoints":[{"left":{"latitude":0.000268768594716413,"longitude":-0.00307203909644272},"right":{"latitude":0.00079813938642514,"longitude":-0.00297869673888057</v>
      </c>
      <c r="AV75" s="655" t="str">
        <f t="shared" si="136"/>
        <v>{"direction":290,"fetchPoints":[{"left":{"latitude":0.00079813938642514,"longitude":-0.00297869674319492},"right":{"latitude":0.00130325911681788,"longitude":-0.00279484819277541</v>
      </c>
      <c r="AW75" s="655" t="str">
        <f t="shared" si="136"/>
        <v>{"direction":300,"fetchPoints":[{"left":{"latitude":0.00130325911681788,"longitude":-0.00279484819682348},"right":{"latitude":0.00176877997851245,"longitude":-0.00252607959863997</v>
      </c>
      <c r="AX75" s="655" t="str">
        <f t="shared" si="136"/>
        <v>{"direction":310,"fetchPoints":[{"left":{"latitude":0.00176877997851245,"longitude":-0.00252607960229875},"right":{"latitude":0.0021805573556912,"longitude":-0.00218055735411203</v>
      </c>
      <c r="AY75" s="655" t="str">
        <f t="shared" si="136"/>
        <v>{"direction":320,"fetchPoints":[{"left":{"latitude":0.0021805573556912,"longitude":-0.00218055735727036},"right":{"latitude":0.00252607960109505,"longitude":-0.00176877997766961</v>
      </c>
      <c r="AZ75" s="655" t="str">
        <f t="shared" si="136"/>
        <v>{"direction":330,"fetchPoints":[{"left":{"latitude":0.00252607960109505,"longitude":-0.00176877998023152},"right":{"latitude":0.00279484819610047,"longitude":-0.00130325911648074</v>
      </c>
      <c r="BA75" s="655" t="str">
        <f t="shared" si="136"/>
        <v>{"direction":340,"fetchPoints":[{"left":{"latitude":0.00279484819610047,"longitude":-0.00130325911836838},"right":{"latitude":0.00297869674290592,"longitude":-0.0007981393863477</v>
      </c>
      <c r="BB75" s="655" t="str">
        <f t="shared" si="136"/>
        <v>{"direction":350,"fetchPoints":[{"left":{"latitude":0.00297869674290592,"longitude":-0.000798139387503728},"right":{"latitude":0.00307203909640892,"longitude":-0.000268768594713457</v>
      </c>
      <c r="BC75" s="656" t="str">
        <f t="shared" si="136"/>
        <v>{"direction":360,"fetchPoints":[{"left":{"latitude":0.00307203909640892,"longitude":-0.000268768595102742},"right":{"latitude":0.00307203909640892,"longitude":0.000268768594713458</v>
      </c>
      <c r="BD75" s="577" t="str">
        <f>""</f>
        <v/>
      </c>
      <c r="BG75" s="772">
        <v>150</v>
      </c>
      <c r="BH75" s="785">
        <f>AH5</f>
        <v>5</v>
      </c>
      <c r="BI75" s="774" t="str">
        <f t="shared" si="123"/>
        <v>J</v>
      </c>
      <c r="CB75" s="921">
        <f t="shared" si="100"/>
        <v>340</v>
      </c>
      <c r="CC75" s="926" t="str">
        <f t="shared" si="102"/>
        <v>[10,20,30,40,50,60,70,80,90,100,110,120,130,140,150,160,170,180,190,200,210,220,230,240,250,260,270,280,290,300,310,320,330,340</v>
      </c>
      <c r="CD75" s="922" t="str">
        <f t="shared" si="103"/>
        <v>[</v>
      </c>
      <c r="CE75" s="922" t="str">
        <f t="shared" si="104"/>
        <v>[</v>
      </c>
      <c r="CF75" s="922" t="str">
        <f t="shared" si="105"/>
        <v>[</v>
      </c>
      <c r="CG75" s="922" t="str">
        <f t="shared" si="106"/>
        <v>[</v>
      </c>
      <c r="CH75" s="922" t="str">
        <f t="shared" si="107"/>
        <v>[</v>
      </c>
      <c r="CI75" s="922" t="str">
        <f t="shared" si="108"/>
        <v>[</v>
      </c>
      <c r="CJ75" s="922" t="str">
        <f t="shared" si="109"/>
        <v>[</v>
      </c>
      <c r="CK75" s="922" t="str">
        <f t="shared" si="110"/>
        <v>[</v>
      </c>
      <c r="CL75" s="922" t="str">
        <f t="shared" si="111"/>
        <v>[</v>
      </c>
      <c r="CM75" s="922" t="str">
        <f t="shared" si="112"/>
        <v>[</v>
      </c>
      <c r="CN75" s="922" t="str">
        <f t="shared" si="113"/>
        <v>[</v>
      </c>
      <c r="CO75" s="922" t="str">
        <f t="shared" si="114"/>
        <v>[</v>
      </c>
      <c r="CP75" s="922" t="str">
        <f t="shared" si="115"/>
        <v>[</v>
      </c>
      <c r="CQ75" s="922" t="str">
        <f t="shared" si="116"/>
        <v>[</v>
      </c>
      <c r="CR75" s="922" t="str">
        <f t="shared" si="117"/>
        <v>[</v>
      </c>
      <c r="CS75" s="922" t="str">
        <f t="shared" si="118"/>
        <v>[</v>
      </c>
      <c r="CT75" s="922" t="str">
        <f t="shared" si="119"/>
        <v>[</v>
      </c>
      <c r="CU75" s="922" t="str">
        <f t="shared" si="120"/>
        <v>[</v>
      </c>
      <c r="CV75" s="922" t="str">
        <f t="shared" si="121"/>
        <v>[</v>
      </c>
      <c r="CW75" s="927" t="str">
        <f t="shared" si="122"/>
        <v>[</v>
      </c>
      <c r="DA75" s="585"/>
      <c r="DB75" s="587"/>
      <c r="DC75" s="1288"/>
      <c r="DD75" s="1288"/>
      <c r="DE75" s="1288"/>
      <c r="DF75" s="1288"/>
      <c r="DG75" s="1288"/>
      <c r="DH75" s="1288"/>
      <c r="DI75" s="1288"/>
      <c r="DJ75" s="1288"/>
      <c r="DK75" s="1288"/>
      <c r="DL75" s="1288"/>
      <c r="DM75" s="1288"/>
      <c r="DN75" s="1288"/>
      <c r="DO75" s="1288"/>
      <c r="DP75" s="1288"/>
      <c r="DQ75" s="1288"/>
      <c r="DR75" s="1288"/>
      <c r="DS75" s="1289"/>
    </row>
    <row r="76" spans="19:123" ht="13.5" thickBot="1" x14ac:dyDescent="0.25">
      <c r="S76" s="642" t="s">
        <v>445</v>
      </c>
      <c r="T76" s="657" t="s">
        <v>467</v>
      </c>
      <c r="U76" s="658" t="str">
        <f t="shared" ref="U76:BC76" si="137">T76</f>
        <v>}},{"left":{</v>
      </c>
      <c r="V76" s="658" t="str">
        <f t="shared" si="137"/>
        <v>}},{"left":{</v>
      </c>
      <c r="W76" s="658" t="str">
        <f t="shared" si="137"/>
        <v>}},{"left":{</v>
      </c>
      <c r="X76" s="658" t="str">
        <f t="shared" si="137"/>
        <v>}},{"left":{</v>
      </c>
      <c r="Y76" s="658" t="str">
        <f t="shared" si="137"/>
        <v>}},{"left":{</v>
      </c>
      <c r="Z76" s="658" t="str">
        <f t="shared" si="137"/>
        <v>}},{"left":{</v>
      </c>
      <c r="AA76" s="658" t="str">
        <f t="shared" si="137"/>
        <v>}},{"left":{</v>
      </c>
      <c r="AB76" s="658" t="str">
        <f t="shared" si="137"/>
        <v>}},{"left":{</v>
      </c>
      <c r="AC76" s="658" t="str">
        <f t="shared" si="137"/>
        <v>}},{"left":{</v>
      </c>
      <c r="AD76" s="658" t="str">
        <f t="shared" si="137"/>
        <v>}},{"left":{</v>
      </c>
      <c r="AE76" s="658" t="str">
        <f t="shared" si="137"/>
        <v>}},{"left":{</v>
      </c>
      <c r="AF76" s="658" t="str">
        <f t="shared" si="137"/>
        <v>}},{"left":{</v>
      </c>
      <c r="AG76" s="658" t="str">
        <f t="shared" si="137"/>
        <v>}},{"left":{</v>
      </c>
      <c r="AH76" s="658" t="str">
        <f t="shared" si="137"/>
        <v>}},{"left":{</v>
      </c>
      <c r="AI76" s="658" t="str">
        <f t="shared" si="137"/>
        <v>}},{"left":{</v>
      </c>
      <c r="AJ76" s="658" t="str">
        <f t="shared" si="137"/>
        <v>}},{"left":{</v>
      </c>
      <c r="AK76" s="658" t="str">
        <f t="shared" si="137"/>
        <v>}},{"left":{</v>
      </c>
      <c r="AL76" s="658" t="str">
        <f t="shared" si="137"/>
        <v>}},{"left":{</v>
      </c>
      <c r="AM76" s="658" t="str">
        <f t="shared" si="137"/>
        <v>}},{"left":{</v>
      </c>
      <c r="AN76" s="658" t="str">
        <f t="shared" si="137"/>
        <v>}},{"left":{</v>
      </c>
      <c r="AO76" s="658" t="str">
        <f t="shared" si="137"/>
        <v>}},{"left":{</v>
      </c>
      <c r="AP76" s="658" t="str">
        <f t="shared" si="137"/>
        <v>}},{"left":{</v>
      </c>
      <c r="AQ76" s="658" t="str">
        <f t="shared" si="137"/>
        <v>}},{"left":{</v>
      </c>
      <c r="AR76" s="658" t="str">
        <f t="shared" si="137"/>
        <v>}},{"left":{</v>
      </c>
      <c r="AS76" s="658" t="str">
        <f t="shared" si="137"/>
        <v>}},{"left":{</v>
      </c>
      <c r="AT76" s="658" t="str">
        <f t="shared" si="137"/>
        <v>}},{"left":{</v>
      </c>
      <c r="AU76" s="658" t="str">
        <f t="shared" si="137"/>
        <v>}},{"left":{</v>
      </c>
      <c r="AV76" s="658" t="str">
        <f t="shared" si="137"/>
        <v>}},{"left":{</v>
      </c>
      <c r="AW76" s="658" t="str">
        <f t="shared" si="137"/>
        <v>}},{"left":{</v>
      </c>
      <c r="AX76" s="658" t="str">
        <f t="shared" si="137"/>
        <v>}},{"left":{</v>
      </c>
      <c r="AY76" s="658" t="str">
        <f t="shared" si="137"/>
        <v>}},{"left":{</v>
      </c>
      <c r="AZ76" s="658" t="str">
        <f t="shared" si="137"/>
        <v>}},{"left":{</v>
      </c>
      <c r="BA76" s="658" t="str">
        <f t="shared" si="137"/>
        <v>}},{"left":{</v>
      </c>
      <c r="BB76" s="658" t="str">
        <f t="shared" si="137"/>
        <v>}},{"left":{</v>
      </c>
      <c r="BC76" s="659" t="str">
        <f t="shared" si="137"/>
        <v>}},{"left":{</v>
      </c>
      <c r="BD76" s="577" t="str">
        <f>""</f>
        <v/>
      </c>
      <c r="BG76" s="772">
        <v>160</v>
      </c>
      <c r="BH76" s="785">
        <f>AI5</f>
        <v>6</v>
      </c>
      <c r="BI76" s="774" t="str">
        <f t="shared" si="123"/>
        <v>K</v>
      </c>
      <c r="CB76" s="921">
        <f t="shared" si="100"/>
        <v>350</v>
      </c>
      <c r="CC76" s="926" t="str">
        <f t="shared" si="102"/>
        <v>[10,20,30,40,50,60,70,80,90,100,110,120,130,140,150,160,170,180,190,200,210,220,230,240,250,260,270,280,290,300,310,320,330,340,350</v>
      </c>
      <c r="CD76" s="922" t="str">
        <f t="shared" si="103"/>
        <v>[</v>
      </c>
      <c r="CE76" s="922" t="str">
        <f t="shared" si="104"/>
        <v>[</v>
      </c>
      <c r="CF76" s="922" t="str">
        <f t="shared" si="105"/>
        <v>[</v>
      </c>
      <c r="CG76" s="922" t="str">
        <f t="shared" si="106"/>
        <v>[</v>
      </c>
      <c r="CH76" s="922" t="str">
        <f t="shared" si="107"/>
        <v>[</v>
      </c>
      <c r="CI76" s="922" t="str">
        <f t="shared" si="108"/>
        <v>[</v>
      </c>
      <c r="CJ76" s="922" t="str">
        <f t="shared" si="109"/>
        <v>[</v>
      </c>
      <c r="CK76" s="922" t="str">
        <f t="shared" si="110"/>
        <v>[</v>
      </c>
      <c r="CL76" s="922" t="str">
        <f t="shared" si="111"/>
        <v>[</v>
      </c>
      <c r="CM76" s="922" t="str">
        <f t="shared" si="112"/>
        <v>[</v>
      </c>
      <c r="CN76" s="922" t="str">
        <f t="shared" si="113"/>
        <v>[</v>
      </c>
      <c r="CO76" s="922" t="str">
        <f t="shared" si="114"/>
        <v>[</v>
      </c>
      <c r="CP76" s="922" t="str">
        <f t="shared" si="115"/>
        <v>[</v>
      </c>
      <c r="CQ76" s="922" t="str">
        <f t="shared" si="116"/>
        <v>[</v>
      </c>
      <c r="CR76" s="922" t="str">
        <f t="shared" si="117"/>
        <v>[</v>
      </c>
      <c r="CS76" s="922" t="str">
        <f t="shared" si="118"/>
        <v>[</v>
      </c>
      <c r="CT76" s="922" t="str">
        <f t="shared" si="119"/>
        <v>[</v>
      </c>
      <c r="CU76" s="922" t="str">
        <f t="shared" si="120"/>
        <v>[</v>
      </c>
      <c r="CV76" s="922" t="str">
        <f t="shared" si="121"/>
        <v>[</v>
      </c>
      <c r="CW76" s="927" t="str">
        <f t="shared" si="122"/>
        <v>[</v>
      </c>
      <c r="DA76" s="585"/>
      <c r="DB76" s="587"/>
      <c r="DC76" s="1288"/>
      <c r="DD76" s="1288"/>
      <c r="DE76" s="1288"/>
      <c r="DF76" s="1288"/>
      <c r="DG76" s="1288"/>
      <c r="DH76" s="1288"/>
      <c r="DI76" s="1288"/>
      <c r="DJ76" s="1288"/>
      <c r="DK76" s="1288"/>
      <c r="DL76" s="1288"/>
      <c r="DM76" s="1288"/>
      <c r="DN76" s="1288"/>
      <c r="DO76" s="1288"/>
      <c r="DP76" s="1288"/>
      <c r="DQ76" s="1288"/>
      <c r="DR76" s="1288"/>
      <c r="DS76" s="1289"/>
    </row>
    <row r="77" spans="19:123" ht="13.5" thickBot="1" x14ac:dyDescent="0.25">
      <c r="S77" s="585"/>
      <c r="T77" s="660" t="str">
        <f>T66</f>
        <v>"latitude":</v>
      </c>
      <c r="U77" s="661" t="str">
        <f t="shared" ref="U77:BC77" si="138">T77</f>
        <v>"latitude":</v>
      </c>
      <c r="V77" s="661" t="str">
        <f t="shared" si="138"/>
        <v>"latitude":</v>
      </c>
      <c r="W77" s="661" t="str">
        <f t="shared" si="138"/>
        <v>"latitude":</v>
      </c>
      <c r="X77" s="661" t="str">
        <f t="shared" si="138"/>
        <v>"latitude":</v>
      </c>
      <c r="Y77" s="661" t="str">
        <f t="shared" si="138"/>
        <v>"latitude":</v>
      </c>
      <c r="Z77" s="661" t="str">
        <f t="shared" si="138"/>
        <v>"latitude":</v>
      </c>
      <c r="AA77" s="661" t="str">
        <f t="shared" si="138"/>
        <v>"latitude":</v>
      </c>
      <c r="AB77" s="661" t="str">
        <f t="shared" si="138"/>
        <v>"latitude":</v>
      </c>
      <c r="AC77" s="661" t="str">
        <f t="shared" si="138"/>
        <v>"latitude":</v>
      </c>
      <c r="AD77" s="661" t="str">
        <f t="shared" si="138"/>
        <v>"latitude":</v>
      </c>
      <c r="AE77" s="661" t="str">
        <f t="shared" si="138"/>
        <v>"latitude":</v>
      </c>
      <c r="AF77" s="661" t="str">
        <f t="shared" si="138"/>
        <v>"latitude":</v>
      </c>
      <c r="AG77" s="661" t="str">
        <f t="shared" si="138"/>
        <v>"latitude":</v>
      </c>
      <c r="AH77" s="661" t="str">
        <f t="shared" si="138"/>
        <v>"latitude":</v>
      </c>
      <c r="AI77" s="661" t="str">
        <f t="shared" si="138"/>
        <v>"latitude":</v>
      </c>
      <c r="AJ77" s="661" t="str">
        <f t="shared" si="138"/>
        <v>"latitude":</v>
      </c>
      <c r="AK77" s="661" t="str">
        <f t="shared" si="138"/>
        <v>"latitude":</v>
      </c>
      <c r="AL77" s="661" t="str">
        <f t="shared" si="138"/>
        <v>"latitude":</v>
      </c>
      <c r="AM77" s="661" t="str">
        <f t="shared" si="138"/>
        <v>"latitude":</v>
      </c>
      <c r="AN77" s="661" t="str">
        <f t="shared" si="138"/>
        <v>"latitude":</v>
      </c>
      <c r="AO77" s="661" t="str">
        <f t="shared" si="138"/>
        <v>"latitude":</v>
      </c>
      <c r="AP77" s="661" t="str">
        <f t="shared" si="138"/>
        <v>"latitude":</v>
      </c>
      <c r="AQ77" s="661" t="str">
        <f t="shared" si="138"/>
        <v>"latitude":</v>
      </c>
      <c r="AR77" s="661" t="str">
        <f t="shared" si="138"/>
        <v>"latitude":</v>
      </c>
      <c r="AS77" s="661" t="str">
        <f t="shared" si="138"/>
        <v>"latitude":</v>
      </c>
      <c r="AT77" s="661" t="str">
        <f t="shared" si="138"/>
        <v>"latitude":</v>
      </c>
      <c r="AU77" s="661" t="str">
        <f t="shared" si="138"/>
        <v>"latitude":</v>
      </c>
      <c r="AV77" s="661" t="str">
        <f t="shared" si="138"/>
        <v>"latitude":</v>
      </c>
      <c r="AW77" s="661" t="str">
        <f t="shared" si="138"/>
        <v>"latitude":</v>
      </c>
      <c r="AX77" s="661" t="str">
        <f t="shared" si="138"/>
        <v>"latitude":</v>
      </c>
      <c r="AY77" s="661" t="str">
        <f t="shared" si="138"/>
        <v>"latitude":</v>
      </c>
      <c r="AZ77" s="661" t="str">
        <f t="shared" si="138"/>
        <v>"latitude":</v>
      </c>
      <c r="BA77" s="661" t="str">
        <f t="shared" si="138"/>
        <v>"latitude":</v>
      </c>
      <c r="BB77" s="661" t="str">
        <f t="shared" si="138"/>
        <v>"latitude":</v>
      </c>
      <c r="BC77" s="662" t="str">
        <f t="shared" si="138"/>
        <v>"latitude":</v>
      </c>
      <c r="BD77" s="577" t="str">
        <f>""</f>
        <v/>
      </c>
      <c r="BG77" s="772">
        <v>170</v>
      </c>
      <c r="BH77" s="785">
        <f>AJ5</f>
        <v>6</v>
      </c>
      <c r="BI77" s="774" t="str">
        <f t="shared" si="123"/>
        <v>K</v>
      </c>
      <c r="CB77" s="921">
        <f t="shared" si="100"/>
        <v>360</v>
      </c>
      <c r="CC77" s="928" t="str">
        <f>IF(CC40="",IF(CC76="","",CONCATENATE(CC76,"]")),IF(CC76="[",CONCATENATE(CC76,CC40,"]"),CONCATENATE(CC76,",",CC40,"]")))</f>
        <v>[10,20,30,40,50,60,70,80,90,100,110,120,130,140,150,160,170,180,190,200,210,220,230,240,250,260,270,280,290,300,310,320,330,340,350,360]</v>
      </c>
      <c r="CD77" s="929" t="str">
        <f t="shared" ref="CD77:CW77" si="139">IF(CD40="",IF(CD76="","",CONCATENATE(CD76,"]")),IF(CD76="[",CONCATENATE(CD76,CD40,"]"),CONCATENATE(CD76,",",CD40,"]")))</f>
        <v>[]</v>
      </c>
      <c r="CE77" s="929" t="str">
        <f t="shared" si="139"/>
        <v>[]</v>
      </c>
      <c r="CF77" s="929" t="str">
        <f t="shared" si="139"/>
        <v>[]</v>
      </c>
      <c r="CG77" s="929" t="str">
        <f t="shared" si="139"/>
        <v>[]</v>
      </c>
      <c r="CH77" s="929" t="str">
        <f t="shared" si="139"/>
        <v>[]</v>
      </c>
      <c r="CI77" s="929" t="str">
        <f t="shared" si="139"/>
        <v>[]</v>
      </c>
      <c r="CJ77" s="929" t="str">
        <f t="shared" si="139"/>
        <v>[]</v>
      </c>
      <c r="CK77" s="929" t="str">
        <f t="shared" si="139"/>
        <v>[]</v>
      </c>
      <c r="CL77" s="929" t="str">
        <f t="shared" si="139"/>
        <v>[]</v>
      </c>
      <c r="CM77" s="929" t="str">
        <f t="shared" si="139"/>
        <v>[]</v>
      </c>
      <c r="CN77" s="929" t="str">
        <f t="shared" si="139"/>
        <v>[]</v>
      </c>
      <c r="CO77" s="929" t="str">
        <f t="shared" si="139"/>
        <v>[]</v>
      </c>
      <c r="CP77" s="929" t="str">
        <f t="shared" si="139"/>
        <v>[]</v>
      </c>
      <c r="CQ77" s="929" t="str">
        <f t="shared" si="139"/>
        <v>[]</v>
      </c>
      <c r="CR77" s="929" t="str">
        <f t="shared" si="139"/>
        <v>[]</v>
      </c>
      <c r="CS77" s="929" t="str">
        <f t="shared" si="139"/>
        <v>[]</v>
      </c>
      <c r="CT77" s="929" t="str">
        <f t="shared" si="139"/>
        <v>[]</v>
      </c>
      <c r="CU77" s="929" t="str">
        <f t="shared" si="139"/>
        <v>[]</v>
      </c>
      <c r="CV77" s="929" t="str">
        <f t="shared" si="139"/>
        <v>[]</v>
      </c>
      <c r="CW77" s="930" t="str">
        <f t="shared" si="139"/>
        <v>[]</v>
      </c>
      <c r="DA77" s="585"/>
      <c r="DB77" s="587"/>
      <c r="DC77" s="1288"/>
      <c r="DD77" s="1288"/>
      <c r="DE77" s="1288"/>
      <c r="DF77" s="1288"/>
      <c r="DG77" s="1288"/>
      <c r="DH77" s="1288"/>
      <c r="DI77" s="1288"/>
      <c r="DJ77" s="1288"/>
      <c r="DK77" s="1288"/>
      <c r="DL77" s="1288"/>
      <c r="DM77" s="1288"/>
      <c r="DN77" s="1288"/>
      <c r="DO77" s="1288"/>
      <c r="DP77" s="1288"/>
      <c r="DQ77" s="1288"/>
      <c r="DR77" s="1288"/>
      <c r="DS77" s="1289"/>
    </row>
    <row r="78" spans="19:123" ht="13.5" thickBot="1" x14ac:dyDescent="0.25">
      <c r="S78" s="585"/>
      <c r="T78" s="663" t="str">
        <f t="shared" ref="T78:BC78" si="140">T13</f>
        <v/>
      </c>
      <c r="U78" s="664" t="str">
        <f t="shared" si="140"/>
        <v/>
      </c>
      <c r="V78" s="664" t="str">
        <f t="shared" si="140"/>
        <v/>
      </c>
      <c r="W78" s="664" t="str">
        <f t="shared" si="140"/>
        <v/>
      </c>
      <c r="X78" s="664" t="str">
        <f t="shared" si="140"/>
        <v/>
      </c>
      <c r="Y78" s="664" t="str">
        <f t="shared" si="140"/>
        <v/>
      </c>
      <c r="Z78" s="664" t="str">
        <f t="shared" si="140"/>
        <v/>
      </c>
      <c r="AA78" s="664" t="str">
        <f t="shared" si="140"/>
        <v/>
      </c>
      <c r="AB78" s="664" t="str">
        <f t="shared" si="140"/>
        <v/>
      </c>
      <c r="AC78" s="664" t="str">
        <f t="shared" si="140"/>
        <v/>
      </c>
      <c r="AD78" s="664" t="str">
        <f t="shared" si="140"/>
        <v/>
      </c>
      <c r="AE78" s="664" t="str">
        <f t="shared" si="140"/>
        <v/>
      </c>
      <c r="AF78" s="664" t="str">
        <f t="shared" si="140"/>
        <v/>
      </c>
      <c r="AG78" s="664" t="str">
        <f t="shared" si="140"/>
        <v/>
      </c>
      <c r="AH78" s="664" t="str">
        <f t="shared" si="140"/>
        <v/>
      </c>
      <c r="AI78" s="664" t="str">
        <f t="shared" si="140"/>
        <v/>
      </c>
      <c r="AJ78" s="664" t="str">
        <f t="shared" si="140"/>
        <v/>
      </c>
      <c r="AK78" s="664" t="str">
        <f t="shared" si="140"/>
        <v/>
      </c>
      <c r="AL78" s="664" t="str">
        <f t="shared" si="140"/>
        <v/>
      </c>
      <c r="AM78" s="664" t="str">
        <f t="shared" si="140"/>
        <v/>
      </c>
      <c r="AN78" s="664" t="str">
        <f t="shared" si="140"/>
        <v/>
      </c>
      <c r="AO78" s="664" t="str">
        <f t="shared" si="140"/>
        <v/>
      </c>
      <c r="AP78" s="664" t="str">
        <f t="shared" si="140"/>
        <v/>
      </c>
      <c r="AQ78" s="664" t="str">
        <f t="shared" si="140"/>
        <v/>
      </c>
      <c r="AR78" s="664" t="str">
        <f t="shared" si="140"/>
        <v/>
      </c>
      <c r="AS78" s="664" t="str">
        <f t="shared" si="140"/>
        <v/>
      </c>
      <c r="AT78" s="664" t="str">
        <f t="shared" si="140"/>
        <v/>
      </c>
      <c r="AU78" s="664" t="str">
        <f t="shared" si="140"/>
        <v/>
      </c>
      <c r="AV78" s="664" t="str">
        <f t="shared" si="140"/>
        <v/>
      </c>
      <c r="AW78" s="664" t="str">
        <f t="shared" si="140"/>
        <v/>
      </c>
      <c r="AX78" s="664" t="str">
        <f t="shared" si="140"/>
        <v/>
      </c>
      <c r="AY78" s="664" t="str">
        <f t="shared" si="140"/>
        <v/>
      </c>
      <c r="AZ78" s="664" t="str">
        <f t="shared" si="140"/>
        <v/>
      </c>
      <c r="BA78" s="664" t="str">
        <f t="shared" si="140"/>
        <v/>
      </c>
      <c r="BB78" s="664" t="str">
        <f t="shared" si="140"/>
        <v/>
      </c>
      <c r="BC78" s="665" t="str">
        <f t="shared" si="140"/>
        <v/>
      </c>
      <c r="BD78" s="577" t="str">
        <f>""</f>
        <v/>
      </c>
      <c r="BG78" s="772">
        <v>180</v>
      </c>
      <c r="BH78" s="785">
        <f>AK5</f>
        <v>6</v>
      </c>
      <c r="BI78" s="774" t="str">
        <f t="shared" si="123"/>
        <v>K</v>
      </c>
      <c r="BO78" s="675"/>
      <c r="BP78" s="675"/>
      <c r="BQ78" s="675"/>
      <c r="BR78" s="675"/>
      <c r="BS78" s="675"/>
      <c r="BT78" s="675"/>
      <c r="BU78" s="675"/>
      <c r="BV78" s="675"/>
      <c r="CB78" s="885"/>
      <c r="CC78" s="877"/>
      <c r="CD78" s="877"/>
      <c r="CE78" s="877"/>
      <c r="CF78" s="877"/>
      <c r="CG78" s="877"/>
      <c r="CH78" s="883"/>
      <c r="CI78" s="883"/>
      <c r="CJ78" s="883"/>
      <c r="CK78" s="883"/>
      <c r="CL78" s="883"/>
      <c r="CM78" s="883"/>
      <c r="CN78" s="883"/>
      <c r="CO78" s="883"/>
      <c r="CP78" s="883"/>
      <c r="CQ78" s="883"/>
      <c r="CR78" s="883"/>
      <c r="CS78" s="883"/>
      <c r="CT78" s="883"/>
      <c r="CU78" s="883"/>
      <c r="CV78" s="883"/>
      <c r="CW78" s="884"/>
      <c r="DA78" s="585"/>
      <c r="DB78" s="587"/>
      <c r="DC78" s="1288"/>
      <c r="DD78" s="1288"/>
      <c r="DE78" s="1288"/>
      <c r="DF78" s="1288"/>
      <c r="DG78" s="1288"/>
      <c r="DH78" s="1288"/>
      <c r="DI78" s="1288"/>
      <c r="DJ78" s="1288"/>
      <c r="DK78" s="1288"/>
      <c r="DL78" s="1288"/>
      <c r="DM78" s="1288"/>
      <c r="DN78" s="1288"/>
      <c r="DO78" s="1288"/>
      <c r="DP78" s="1288"/>
      <c r="DQ78" s="1288"/>
      <c r="DR78" s="1288"/>
      <c r="DS78" s="1289"/>
    </row>
    <row r="79" spans="19:123" ht="13.5" thickBot="1" x14ac:dyDescent="0.25">
      <c r="S79" s="585"/>
      <c r="T79" s="660" t="str">
        <f>T68</f>
        <v>,"longitude":</v>
      </c>
      <c r="U79" s="661" t="str">
        <f t="shared" ref="U79:BC79" si="141">T79</f>
        <v>,"longitude":</v>
      </c>
      <c r="V79" s="661" t="str">
        <f t="shared" si="141"/>
        <v>,"longitude":</v>
      </c>
      <c r="W79" s="661" t="str">
        <f t="shared" si="141"/>
        <v>,"longitude":</v>
      </c>
      <c r="X79" s="661" t="str">
        <f t="shared" si="141"/>
        <v>,"longitude":</v>
      </c>
      <c r="Y79" s="661" t="str">
        <f t="shared" si="141"/>
        <v>,"longitude":</v>
      </c>
      <c r="Z79" s="661" t="str">
        <f t="shared" si="141"/>
        <v>,"longitude":</v>
      </c>
      <c r="AA79" s="661" t="str">
        <f t="shared" si="141"/>
        <v>,"longitude":</v>
      </c>
      <c r="AB79" s="661" t="str">
        <f t="shared" si="141"/>
        <v>,"longitude":</v>
      </c>
      <c r="AC79" s="661" t="str">
        <f t="shared" si="141"/>
        <v>,"longitude":</v>
      </c>
      <c r="AD79" s="661" t="str">
        <f t="shared" si="141"/>
        <v>,"longitude":</v>
      </c>
      <c r="AE79" s="661" t="str">
        <f t="shared" si="141"/>
        <v>,"longitude":</v>
      </c>
      <c r="AF79" s="661" t="str">
        <f t="shared" si="141"/>
        <v>,"longitude":</v>
      </c>
      <c r="AG79" s="661" t="str">
        <f t="shared" si="141"/>
        <v>,"longitude":</v>
      </c>
      <c r="AH79" s="661" t="str">
        <f t="shared" si="141"/>
        <v>,"longitude":</v>
      </c>
      <c r="AI79" s="661" t="str">
        <f t="shared" si="141"/>
        <v>,"longitude":</v>
      </c>
      <c r="AJ79" s="661" t="str">
        <f t="shared" si="141"/>
        <v>,"longitude":</v>
      </c>
      <c r="AK79" s="661" t="str">
        <f t="shared" si="141"/>
        <v>,"longitude":</v>
      </c>
      <c r="AL79" s="661" t="str">
        <f t="shared" si="141"/>
        <v>,"longitude":</v>
      </c>
      <c r="AM79" s="661" t="str">
        <f t="shared" si="141"/>
        <v>,"longitude":</v>
      </c>
      <c r="AN79" s="661" t="str">
        <f t="shared" si="141"/>
        <v>,"longitude":</v>
      </c>
      <c r="AO79" s="661" t="str">
        <f t="shared" si="141"/>
        <v>,"longitude":</v>
      </c>
      <c r="AP79" s="661" t="str">
        <f t="shared" si="141"/>
        <v>,"longitude":</v>
      </c>
      <c r="AQ79" s="661" t="str">
        <f t="shared" si="141"/>
        <v>,"longitude":</v>
      </c>
      <c r="AR79" s="661" t="str">
        <f t="shared" si="141"/>
        <v>,"longitude":</v>
      </c>
      <c r="AS79" s="661" t="str">
        <f t="shared" si="141"/>
        <v>,"longitude":</v>
      </c>
      <c r="AT79" s="661" t="str">
        <f t="shared" si="141"/>
        <v>,"longitude":</v>
      </c>
      <c r="AU79" s="661" t="str">
        <f t="shared" si="141"/>
        <v>,"longitude":</v>
      </c>
      <c r="AV79" s="661" t="str">
        <f t="shared" si="141"/>
        <v>,"longitude":</v>
      </c>
      <c r="AW79" s="661" t="str">
        <f t="shared" si="141"/>
        <v>,"longitude":</v>
      </c>
      <c r="AX79" s="661" t="str">
        <f t="shared" si="141"/>
        <v>,"longitude":</v>
      </c>
      <c r="AY79" s="661" t="str">
        <f t="shared" si="141"/>
        <v>,"longitude":</v>
      </c>
      <c r="AZ79" s="661" t="str">
        <f t="shared" si="141"/>
        <v>,"longitude":</v>
      </c>
      <c r="BA79" s="661" t="str">
        <f t="shared" si="141"/>
        <v>,"longitude":</v>
      </c>
      <c r="BB79" s="661" t="str">
        <f t="shared" si="141"/>
        <v>,"longitude":</v>
      </c>
      <c r="BC79" s="662" t="str">
        <f t="shared" si="141"/>
        <v>,"longitude":</v>
      </c>
      <c r="BD79" s="577" t="str">
        <f>""</f>
        <v/>
      </c>
      <c r="BG79" s="772">
        <v>190</v>
      </c>
      <c r="BH79" s="785">
        <f>AL5</f>
        <v>7</v>
      </c>
      <c r="BI79" s="774" t="str">
        <f t="shared" si="123"/>
        <v>L</v>
      </c>
      <c r="BO79" s="675"/>
      <c r="BP79" s="675"/>
      <c r="BQ79" s="675"/>
      <c r="BR79" s="675"/>
      <c r="BS79" s="675"/>
      <c r="BT79" s="675"/>
      <c r="BU79" s="675"/>
      <c r="BV79" s="675"/>
      <c r="CB79" s="888" t="s">
        <v>492</v>
      </c>
      <c r="CC79" s="886" t="str">
        <f>IF(CC77="[]",CB79,CONCATENATE(CB79,CC77))</f>
        <v>"sectorGroups":[[10,20,30,40,50,60,70,80,90,100,110,120,130,140,150,160,170,180,190,200,210,220,230,240,250,260,270,280,290,300,310,320,330,340,350,360]</v>
      </c>
      <c r="CD79" s="886" t="str">
        <f t="shared" ref="CD79:CV79" si="142">IF(CD77="[]",CC79,IF(AND(CC77="[]",CC79=$CB$79),CONCATENATE(CC79,CD77),CONCATENATE(CC79,",",CD77)))</f>
        <v>"sectorGroups":[[10,20,30,40,50,60,70,80,90,100,110,120,130,140,150,160,170,180,190,200,210,220,230,240,250,260,270,280,290,300,310,320,330,340,350,360]</v>
      </c>
      <c r="CE79" s="886" t="str">
        <f t="shared" si="142"/>
        <v>"sectorGroups":[[10,20,30,40,50,60,70,80,90,100,110,120,130,140,150,160,170,180,190,200,210,220,230,240,250,260,270,280,290,300,310,320,330,340,350,360]</v>
      </c>
      <c r="CF79" s="886" t="str">
        <f t="shared" si="142"/>
        <v>"sectorGroups":[[10,20,30,40,50,60,70,80,90,100,110,120,130,140,150,160,170,180,190,200,210,220,230,240,250,260,270,280,290,300,310,320,330,340,350,360]</v>
      </c>
      <c r="CG79" s="886" t="str">
        <f t="shared" si="142"/>
        <v>"sectorGroups":[[10,20,30,40,50,60,70,80,90,100,110,120,130,140,150,160,170,180,190,200,210,220,230,240,250,260,270,280,290,300,310,320,330,340,350,360]</v>
      </c>
      <c r="CH79" s="886" t="str">
        <f t="shared" si="142"/>
        <v>"sectorGroups":[[10,20,30,40,50,60,70,80,90,100,110,120,130,140,150,160,170,180,190,200,210,220,230,240,250,260,270,280,290,300,310,320,330,340,350,360]</v>
      </c>
      <c r="CI79" s="886" t="str">
        <f t="shared" si="142"/>
        <v>"sectorGroups":[[10,20,30,40,50,60,70,80,90,100,110,120,130,140,150,160,170,180,190,200,210,220,230,240,250,260,270,280,290,300,310,320,330,340,350,360]</v>
      </c>
      <c r="CJ79" s="886" t="str">
        <f t="shared" si="142"/>
        <v>"sectorGroups":[[10,20,30,40,50,60,70,80,90,100,110,120,130,140,150,160,170,180,190,200,210,220,230,240,250,260,270,280,290,300,310,320,330,340,350,360]</v>
      </c>
      <c r="CK79" s="886" t="str">
        <f t="shared" si="142"/>
        <v>"sectorGroups":[[10,20,30,40,50,60,70,80,90,100,110,120,130,140,150,160,170,180,190,200,210,220,230,240,250,260,270,280,290,300,310,320,330,340,350,360]</v>
      </c>
      <c r="CL79" s="886" t="str">
        <f t="shared" si="142"/>
        <v>"sectorGroups":[[10,20,30,40,50,60,70,80,90,100,110,120,130,140,150,160,170,180,190,200,210,220,230,240,250,260,270,280,290,300,310,320,330,340,350,360]</v>
      </c>
      <c r="CM79" s="886" t="str">
        <f t="shared" si="142"/>
        <v>"sectorGroups":[[10,20,30,40,50,60,70,80,90,100,110,120,130,140,150,160,170,180,190,200,210,220,230,240,250,260,270,280,290,300,310,320,330,340,350,360]</v>
      </c>
      <c r="CN79" s="886" t="str">
        <f t="shared" si="142"/>
        <v>"sectorGroups":[[10,20,30,40,50,60,70,80,90,100,110,120,130,140,150,160,170,180,190,200,210,220,230,240,250,260,270,280,290,300,310,320,330,340,350,360]</v>
      </c>
      <c r="CO79" s="886" t="str">
        <f t="shared" si="142"/>
        <v>"sectorGroups":[[10,20,30,40,50,60,70,80,90,100,110,120,130,140,150,160,170,180,190,200,210,220,230,240,250,260,270,280,290,300,310,320,330,340,350,360]</v>
      </c>
      <c r="CP79" s="886" t="str">
        <f t="shared" si="142"/>
        <v>"sectorGroups":[[10,20,30,40,50,60,70,80,90,100,110,120,130,140,150,160,170,180,190,200,210,220,230,240,250,260,270,280,290,300,310,320,330,340,350,360]</v>
      </c>
      <c r="CQ79" s="886" t="str">
        <f t="shared" si="142"/>
        <v>"sectorGroups":[[10,20,30,40,50,60,70,80,90,100,110,120,130,140,150,160,170,180,190,200,210,220,230,240,250,260,270,280,290,300,310,320,330,340,350,360]</v>
      </c>
      <c r="CR79" s="886" t="str">
        <f t="shared" si="142"/>
        <v>"sectorGroups":[[10,20,30,40,50,60,70,80,90,100,110,120,130,140,150,160,170,180,190,200,210,220,230,240,250,260,270,280,290,300,310,320,330,340,350,360]</v>
      </c>
      <c r="CS79" s="886" t="str">
        <f t="shared" si="142"/>
        <v>"sectorGroups":[[10,20,30,40,50,60,70,80,90,100,110,120,130,140,150,160,170,180,190,200,210,220,230,240,250,260,270,280,290,300,310,320,330,340,350,360]</v>
      </c>
      <c r="CT79" s="886" t="str">
        <f t="shared" si="142"/>
        <v>"sectorGroups":[[10,20,30,40,50,60,70,80,90,100,110,120,130,140,150,160,170,180,190,200,210,220,230,240,250,260,270,280,290,300,310,320,330,340,350,360]</v>
      </c>
      <c r="CU79" s="886" t="str">
        <f t="shared" si="142"/>
        <v>"sectorGroups":[[10,20,30,40,50,60,70,80,90,100,110,120,130,140,150,160,170,180,190,200,210,220,230,240,250,260,270,280,290,300,310,320,330,340,350,360]</v>
      </c>
      <c r="CV79" s="886" t="str">
        <f t="shared" si="142"/>
        <v>"sectorGroups":[[10,20,30,40,50,60,70,80,90,100,110,120,130,140,150,160,170,180,190,200,210,220,230,240,250,260,270,280,290,300,310,320,330,340,350,360]</v>
      </c>
      <c r="CW79" s="887" t="str">
        <f>IF(CW77="[]",CONCATENATE(CV79,"]}}"),CONCATENATE(CV79,",",CW77,"]}}"))</f>
        <v>"sectorGroups":[[10,20,30,40,50,60,70,80,90,100,110,120,130,140,150,160,170,180,190,200,210,220,230,240,250,260,270,280,290,300,310,320,330,340,350,360]]}}</v>
      </c>
      <c r="CX79" s="577" t="str">
        <f>""</f>
        <v/>
      </c>
      <c r="DA79" s="585"/>
      <c r="DB79" s="587"/>
      <c r="DC79" s="1288"/>
      <c r="DD79" s="1288"/>
      <c r="DE79" s="1288"/>
      <c r="DF79" s="1288"/>
      <c r="DG79" s="1288"/>
      <c r="DH79" s="1288"/>
      <c r="DI79" s="1288"/>
      <c r="DJ79" s="1288"/>
      <c r="DK79" s="1288"/>
      <c r="DL79" s="1288"/>
      <c r="DM79" s="1288"/>
      <c r="DN79" s="1288"/>
      <c r="DO79" s="1288"/>
      <c r="DP79" s="1288"/>
      <c r="DQ79" s="1288"/>
      <c r="DR79" s="1288"/>
      <c r="DS79" s="1289"/>
    </row>
    <row r="80" spans="19:123" x14ac:dyDescent="0.2">
      <c r="S80" s="585"/>
      <c r="T80" s="663" t="str">
        <f t="shared" ref="T80:BC80" si="143">T14</f>
        <v/>
      </c>
      <c r="U80" s="664" t="str">
        <f t="shared" si="143"/>
        <v/>
      </c>
      <c r="V80" s="664" t="str">
        <f t="shared" si="143"/>
        <v/>
      </c>
      <c r="W80" s="664" t="str">
        <f t="shared" si="143"/>
        <v/>
      </c>
      <c r="X80" s="664" t="str">
        <f t="shared" si="143"/>
        <v/>
      </c>
      <c r="Y80" s="664" t="str">
        <f t="shared" si="143"/>
        <v/>
      </c>
      <c r="Z80" s="664" t="str">
        <f t="shared" si="143"/>
        <v/>
      </c>
      <c r="AA80" s="664" t="str">
        <f t="shared" si="143"/>
        <v/>
      </c>
      <c r="AB80" s="664" t="str">
        <f t="shared" si="143"/>
        <v/>
      </c>
      <c r="AC80" s="664" t="str">
        <f t="shared" si="143"/>
        <v/>
      </c>
      <c r="AD80" s="664" t="str">
        <f t="shared" si="143"/>
        <v/>
      </c>
      <c r="AE80" s="664" t="str">
        <f t="shared" si="143"/>
        <v/>
      </c>
      <c r="AF80" s="664" t="str">
        <f t="shared" si="143"/>
        <v/>
      </c>
      <c r="AG80" s="664" t="str">
        <f t="shared" si="143"/>
        <v/>
      </c>
      <c r="AH80" s="664" t="str">
        <f t="shared" si="143"/>
        <v/>
      </c>
      <c r="AI80" s="664" t="str">
        <f t="shared" si="143"/>
        <v/>
      </c>
      <c r="AJ80" s="664" t="str">
        <f t="shared" si="143"/>
        <v/>
      </c>
      <c r="AK80" s="664" t="str">
        <f t="shared" si="143"/>
        <v/>
      </c>
      <c r="AL80" s="664" t="str">
        <f t="shared" si="143"/>
        <v/>
      </c>
      <c r="AM80" s="664" t="str">
        <f t="shared" si="143"/>
        <v/>
      </c>
      <c r="AN80" s="664" t="str">
        <f t="shared" si="143"/>
        <v/>
      </c>
      <c r="AO80" s="664" t="str">
        <f t="shared" si="143"/>
        <v/>
      </c>
      <c r="AP80" s="664" t="str">
        <f t="shared" si="143"/>
        <v/>
      </c>
      <c r="AQ80" s="664" t="str">
        <f t="shared" si="143"/>
        <v/>
      </c>
      <c r="AR80" s="664" t="str">
        <f t="shared" si="143"/>
        <v/>
      </c>
      <c r="AS80" s="664" t="str">
        <f t="shared" si="143"/>
        <v/>
      </c>
      <c r="AT80" s="664" t="str">
        <f t="shared" si="143"/>
        <v/>
      </c>
      <c r="AU80" s="664" t="str">
        <f t="shared" si="143"/>
        <v/>
      </c>
      <c r="AV80" s="664" t="str">
        <f t="shared" si="143"/>
        <v/>
      </c>
      <c r="AW80" s="664" t="str">
        <f t="shared" si="143"/>
        <v/>
      </c>
      <c r="AX80" s="664" t="str">
        <f t="shared" si="143"/>
        <v/>
      </c>
      <c r="AY80" s="664" t="str">
        <f t="shared" si="143"/>
        <v/>
      </c>
      <c r="AZ80" s="664" t="str">
        <f t="shared" si="143"/>
        <v/>
      </c>
      <c r="BA80" s="664" t="str">
        <f t="shared" si="143"/>
        <v/>
      </c>
      <c r="BB80" s="664" t="str">
        <f t="shared" si="143"/>
        <v/>
      </c>
      <c r="BC80" s="665" t="str">
        <f t="shared" si="143"/>
        <v/>
      </c>
      <c r="BD80" s="577" t="str">
        <f>""</f>
        <v/>
      </c>
      <c r="BG80" s="772">
        <v>200</v>
      </c>
      <c r="BH80" s="785">
        <f>AM5</f>
        <v>7</v>
      </c>
      <c r="BI80" s="774" t="str">
        <f t="shared" si="123"/>
        <v>L</v>
      </c>
      <c r="BO80" s="675"/>
      <c r="BP80" s="675"/>
      <c r="BQ80" s="675"/>
      <c r="BR80" s="675"/>
      <c r="BS80" s="675"/>
      <c r="BT80" s="675"/>
      <c r="BU80" s="675"/>
      <c r="BV80" s="675"/>
      <c r="CC80" s="577" t="s">
        <v>565</v>
      </c>
      <c r="CW80" s="577" t="s">
        <v>561</v>
      </c>
      <c r="CX80" s="577" t="str">
        <f>""</f>
        <v/>
      </c>
      <c r="DA80" s="585"/>
      <c r="DB80" s="587"/>
      <c r="DC80" s="1288"/>
      <c r="DD80" s="1288"/>
      <c r="DE80" s="1288"/>
      <c r="DF80" s="1288"/>
      <c r="DG80" s="1288"/>
      <c r="DH80" s="1288"/>
      <c r="DI80" s="1288"/>
      <c r="DJ80" s="1288"/>
      <c r="DK80" s="1288"/>
      <c r="DL80" s="1288"/>
      <c r="DM80" s="1288"/>
      <c r="DN80" s="1288"/>
      <c r="DO80" s="1288"/>
      <c r="DP80" s="1288"/>
      <c r="DQ80" s="1288"/>
      <c r="DR80" s="1288"/>
      <c r="DS80" s="1289"/>
    </row>
    <row r="81" spans="19:123" x14ac:dyDescent="0.2">
      <c r="S81" s="585"/>
      <c r="T81" s="660" t="str">
        <f>T70</f>
        <v>},"right":{</v>
      </c>
      <c r="U81" s="661" t="str">
        <f t="shared" ref="U81:BC81" si="144">T81</f>
        <v>},"right":{</v>
      </c>
      <c r="V81" s="661" t="str">
        <f t="shared" si="144"/>
        <v>},"right":{</v>
      </c>
      <c r="W81" s="661" t="str">
        <f t="shared" si="144"/>
        <v>},"right":{</v>
      </c>
      <c r="X81" s="661" t="str">
        <f t="shared" si="144"/>
        <v>},"right":{</v>
      </c>
      <c r="Y81" s="661" t="str">
        <f t="shared" si="144"/>
        <v>},"right":{</v>
      </c>
      <c r="Z81" s="661" t="str">
        <f t="shared" si="144"/>
        <v>},"right":{</v>
      </c>
      <c r="AA81" s="661" t="str">
        <f t="shared" si="144"/>
        <v>},"right":{</v>
      </c>
      <c r="AB81" s="661" t="str">
        <f t="shared" si="144"/>
        <v>},"right":{</v>
      </c>
      <c r="AC81" s="661" t="str">
        <f t="shared" si="144"/>
        <v>},"right":{</v>
      </c>
      <c r="AD81" s="661" t="str">
        <f t="shared" si="144"/>
        <v>},"right":{</v>
      </c>
      <c r="AE81" s="661" t="str">
        <f t="shared" si="144"/>
        <v>},"right":{</v>
      </c>
      <c r="AF81" s="661" t="str">
        <f t="shared" si="144"/>
        <v>},"right":{</v>
      </c>
      <c r="AG81" s="661" t="str">
        <f t="shared" si="144"/>
        <v>},"right":{</v>
      </c>
      <c r="AH81" s="661" t="str">
        <f t="shared" si="144"/>
        <v>},"right":{</v>
      </c>
      <c r="AI81" s="661" t="str">
        <f t="shared" si="144"/>
        <v>},"right":{</v>
      </c>
      <c r="AJ81" s="661" t="str">
        <f t="shared" si="144"/>
        <v>},"right":{</v>
      </c>
      <c r="AK81" s="661" t="str">
        <f t="shared" si="144"/>
        <v>},"right":{</v>
      </c>
      <c r="AL81" s="661" t="str">
        <f t="shared" si="144"/>
        <v>},"right":{</v>
      </c>
      <c r="AM81" s="661" t="str">
        <f t="shared" si="144"/>
        <v>},"right":{</v>
      </c>
      <c r="AN81" s="661" t="str">
        <f t="shared" si="144"/>
        <v>},"right":{</v>
      </c>
      <c r="AO81" s="661" t="str">
        <f t="shared" si="144"/>
        <v>},"right":{</v>
      </c>
      <c r="AP81" s="661" t="str">
        <f t="shared" si="144"/>
        <v>},"right":{</v>
      </c>
      <c r="AQ81" s="661" t="str">
        <f t="shared" si="144"/>
        <v>},"right":{</v>
      </c>
      <c r="AR81" s="661" t="str">
        <f t="shared" si="144"/>
        <v>},"right":{</v>
      </c>
      <c r="AS81" s="661" t="str">
        <f t="shared" si="144"/>
        <v>},"right":{</v>
      </c>
      <c r="AT81" s="661" t="str">
        <f t="shared" si="144"/>
        <v>},"right":{</v>
      </c>
      <c r="AU81" s="661" t="str">
        <f t="shared" si="144"/>
        <v>},"right":{</v>
      </c>
      <c r="AV81" s="661" t="str">
        <f t="shared" si="144"/>
        <v>},"right":{</v>
      </c>
      <c r="AW81" s="661" t="str">
        <f t="shared" si="144"/>
        <v>},"right":{</v>
      </c>
      <c r="AX81" s="661" t="str">
        <f t="shared" si="144"/>
        <v>},"right":{</v>
      </c>
      <c r="AY81" s="661" t="str">
        <f t="shared" si="144"/>
        <v>},"right":{</v>
      </c>
      <c r="AZ81" s="661" t="str">
        <f t="shared" si="144"/>
        <v>},"right":{</v>
      </c>
      <c r="BA81" s="661" t="str">
        <f t="shared" si="144"/>
        <v>},"right":{</v>
      </c>
      <c r="BB81" s="661" t="str">
        <f t="shared" si="144"/>
        <v>},"right":{</v>
      </c>
      <c r="BC81" s="662" t="str">
        <f t="shared" si="144"/>
        <v>},"right":{</v>
      </c>
      <c r="BD81" s="577" t="str">
        <f>""</f>
        <v/>
      </c>
      <c r="BG81" s="772">
        <v>210</v>
      </c>
      <c r="BH81" s="785">
        <f>AN5</f>
        <v>7</v>
      </c>
      <c r="BI81" s="774" t="str">
        <f t="shared" si="123"/>
        <v>L</v>
      </c>
      <c r="BO81" s="675"/>
      <c r="BP81" s="675"/>
      <c r="BQ81" s="675"/>
      <c r="BR81" s="675"/>
      <c r="BS81" s="675"/>
      <c r="BT81" s="675"/>
      <c r="BU81" s="675"/>
      <c r="BV81" s="675"/>
      <c r="BW81" s="675"/>
      <c r="CX81" s="577" t="str">
        <f>""</f>
        <v/>
      </c>
      <c r="DA81" s="585"/>
      <c r="DB81" s="587"/>
      <c r="DC81" s="1288"/>
      <c r="DD81" s="1288"/>
      <c r="DE81" s="1288"/>
      <c r="DF81" s="1288"/>
      <c r="DG81" s="1288"/>
      <c r="DH81" s="1288"/>
      <c r="DI81" s="1288"/>
      <c r="DJ81" s="1288"/>
      <c r="DK81" s="1288"/>
      <c r="DL81" s="1288"/>
      <c r="DM81" s="1288"/>
      <c r="DN81" s="1288"/>
      <c r="DO81" s="1288"/>
      <c r="DP81" s="1288"/>
      <c r="DQ81" s="1288"/>
      <c r="DR81" s="1288"/>
      <c r="DS81" s="1289"/>
    </row>
    <row r="82" spans="19:123" x14ac:dyDescent="0.2">
      <c r="S82" s="585"/>
      <c r="T82" s="660" t="str">
        <f>T71</f>
        <v>"latitude":</v>
      </c>
      <c r="U82" s="661" t="str">
        <f t="shared" ref="U82:BC82" si="145">T82</f>
        <v>"latitude":</v>
      </c>
      <c r="V82" s="661" t="str">
        <f t="shared" si="145"/>
        <v>"latitude":</v>
      </c>
      <c r="W82" s="661" t="str">
        <f t="shared" si="145"/>
        <v>"latitude":</v>
      </c>
      <c r="X82" s="661" t="str">
        <f t="shared" si="145"/>
        <v>"latitude":</v>
      </c>
      <c r="Y82" s="661" t="str">
        <f t="shared" si="145"/>
        <v>"latitude":</v>
      </c>
      <c r="Z82" s="661" t="str">
        <f t="shared" si="145"/>
        <v>"latitude":</v>
      </c>
      <c r="AA82" s="661" t="str">
        <f t="shared" si="145"/>
        <v>"latitude":</v>
      </c>
      <c r="AB82" s="661" t="str">
        <f t="shared" si="145"/>
        <v>"latitude":</v>
      </c>
      <c r="AC82" s="661" t="str">
        <f t="shared" si="145"/>
        <v>"latitude":</v>
      </c>
      <c r="AD82" s="661" t="str">
        <f t="shared" si="145"/>
        <v>"latitude":</v>
      </c>
      <c r="AE82" s="661" t="str">
        <f t="shared" si="145"/>
        <v>"latitude":</v>
      </c>
      <c r="AF82" s="661" t="str">
        <f t="shared" si="145"/>
        <v>"latitude":</v>
      </c>
      <c r="AG82" s="661" t="str">
        <f t="shared" si="145"/>
        <v>"latitude":</v>
      </c>
      <c r="AH82" s="661" t="str">
        <f t="shared" si="145"/>
        <v>"latitude":</v>
      </c>
      <c r="AI82" s="661" t="str">
        <f t="shared" si="145"/>
        <v>"latitude":</v>
      </c>
      <c r="AJ82" s="661" t="str">
        <f t="shared" si="145"/>
        <v>"latitude":</v>
      </c>
      <c r="AK82" s="661" t="str">
        <f t="shared" si="145"/>
        <v>"latitude":</v>
      </c>
      <c r="AL82" s="661" t="str">
        <f t="shared" si="145"/>
        <v>"latitude":</v>
      </c>
      <c r="AM82" s="661" t="str">
        <f t="shared" si="145"/>
        <v>"latitude":</v>
      </c>
      <c r="AN82" s="661" t="str">
        <f t="shared" si="145"/>
        <v>"latitude":</v>
      </c>
      <c r="AO82" s="661" t="str">
        <f t="shared" si="145"/>
        <v>"latitude":</v>
      </c>
      <c r="AP82" s="661" t="str">
        <f t="shared" si="145"/>
        <v>"latitude":</v>
      </c>
      <c r="AQ82" s="661" t="str">
        <f t="shared" si="145"/>
        <v>"latitude":</v>
      </c>
      <c r="AR82" s="661" t="str">
        <f t="shared" si="145"/>
        <v>"latitude":</v>
      </c>
      <c r="AS82" s="661" t="str">
        <f t="shared" si="145"/>
        <v>"latitude":</v>
      </c>
      <c r="AT82" s="661" t="str">
        <f t="shared" si="145"/>
        <v>"latitude":</v>
      </c>
      <c r="AU82" s="661" t="str">
        <f t="shared" si="145"/>
        <v>"latitude":</v>
      </c>
      <c r="AV82" s="661" t="str">
        <f t="shared" si="145"/>
        <v>"latitude":</v>
      </c>
      <c r="AW82" s="661" t="str">
        <f t="shared" si="145"/>
        <v>"latitude":</v>
      </c>
      <c r="AX82" s="661" t="str">
        <f t="shared" si="145"/>
        <v>"latitude":</v>
      </c>
      <c r="AY82" s="661" t="str">
        <f t="shared" si="145"/>
        <v>"latitude":</v>
      </c>
      <c r="AZ82" s="661" t="str">
        <f t="shared" si="145"/>
        <v>"latitude":</v>
      </c>
      <c r="BA82" s="661" t="str">
        <f t="shared" si="145"/>
        <v>"latitude":</v>
      </c>
      <c r="BB82" s="661" t="str">
        <f t="shared" si="145"/>
        <v>"latitude":</v>
      </c>
      <c r="BC82" s="662" t="str">
        <f t="shared" si="145"/>
        <v>"latitude":</v>
      </c>
      <c r="BD82" s="577" t="str">
        <f>""</f>
        <v/>
      </c>
      <c r="BG82" s="772">
        <v>220</v>
      </c>
      <c r="BH82" s="785">
        <f>AO5</f>
        <v>8</v>
      </c>
      <c r="BI82" s="774" t="str">
        <f t="shared" si="123"/>
        <v>M</v>
      </c>
      <c r="BO82" s="675"/>
      <c r="BP82" s="675"/>
      <c r="BQ82" s="675"/>
      <c r="BR82" s="675"/>
      <c r="BS82" s="675"/>
      <c r="BT82" s="675"/>
      <c r="BU82" s="675"/>
      <c r="BV82" s="675"/>
      <c r="BW82" s="675"/>
      <c r="DA82" s="585"/>
      <c r="DB82" s="587"/>
      <c r="DC82" s="1288"/>
      <c r="DD82" s="1288"/>
      <c r="DE82" s="1288"/>
      <c r="DF82" s="1288"/>
      <c r="DG82" s="1288"/>
      <c r="DH82" s="1288"/>
      <c r="DI82" s="1288"/>
      <c r="DJ82" s="1288"/>
      <c r="DK82" s="1288"/>
      <c r="DL82" s="1288"/>
      <c r="DM82" s="1288"/>
      <c r="DN82" s="1288"/>
      <c r="DO82" s="1288"/>
      <c r="DP82" s="1288"/>
      <c r="DQ82" s="1288"/>
      <c r="DR82" s="1288"/>
      <c r="DS82" s="1289"/>
    </row>
    <row r="83" spans="19:123" x14ac:dyDescent="0.2">
      <c r="S83" s="585"/>
      <c r="T83" s="663" t="str">
        <f t="shared" ref="T83:BC83" si="146">T15</f>
        <v/>
      </c>
      <c r="U83" s="664" t="str">
        <f t="shared" si="146"/>
        <v/>
      </c>
      <c r="V83" s="664" t="str">
        <f t="shared" si="146"/>
        <v/>
      </c>
      <c r="W83" s="664" t="str">
        <f t="shared" si="146"/>
        <v/>
      </c>
      <c r="X83" s="664" t="str">
        <f t="shared" si="146"/>
        <v/>
      </c>
      <c r="Y83" s="664" t="str">
        <f t="shared" si="146"/>
        <v/>
      </c>
      <c r="Z83" s="664" t="str">
        <f t="shared" si="146"/>
        <v/>
      </c>
      <c r="AA83" s="664" t="str">
        <f t="shared" si="146"/>
        <v/>
      </c>
      <c r="AB83" s="664" t="str">
        <f t="shared" si="146"/>
        <v/>
      </c>
      <c r="AC83" s="664" t="str">
        <f t="shared" si="146"/>
        <v/>
      </c>
      <c r="AD83" s="664" t="str">
        <f t="shared" si="146"/>
        <v/>
      </c>
      <c r="AE83" s="664" t="str">
        <f t="shared" si="146"/>
        <v/>
      </c>
      <c r="AF83" s="664" t="str">
        <f t="shared" si="146"/>
        <v/>
      </c>
      <c r="AG83" s="664" t="str">
        <f t="shared" si="146"/>
        <v/>
      </c>
      <c r="AH83" s="664" t="str">
        <f t="shared" si="146"/>
        <v/>
      </c>
      <c r="AI83" s="664" t="str">
        <f t="shared" si="146"/>
        <v/>
      </c>
      <c r="AJ83" s="664" t="str">
        <f t="shared" si="146"/>
        <v/>
      </c>
      <c r="AK83" s="664" t="str">
        <f t="shared" si="146"/>
        <v/>
      </c>
      <c r="AL83" s="664" t="str">
        <f t="shared" si="146"/>
        <v/>
      </c>
      <c r="AM83" s="664" t="str">
        <f t="shared" si="146"/>
        <v/>
      </c>
      <c r="AN83" s="664" t="str">
        <f t="shared" si="146"/>
        <v/>
      </c>
      <c r="AO83" s="664" t="str">
        <f t="shared" si="146"/>
        <v/>
      </c>
      <c r="AP83" s="664" t="str">
        <f t="shared" si="146"/>
        <v/>
      </c>
      <c r="AQ83" s="664" t="str">
        <f t="shared" si="146"/>
        <v/>
      </c>
      <c r="AR83" s="664" t="str">
        <f t="shared" si="146"/>
        <v/>
      </c>
      <c r="AS83" s="664" t="str">
        <f t="shared" si="146"/>
        <v/>
      </c>
      <c r="AT83" s="664" t="str">
        <f t="shared" si="146"/>
        <v/>
      </c>
      <c r="AU83" s="664" t="str">
        <f t="shared" si="146"/>
        <v/>
      </c>
      <c r="AV83" s="664" t="str">
        <f t="shared" si="146"/>
        <v/>
      </c>
      <c r="AW83" s="664" t="str">
        <f t="shared" si="146"/>
        <v/>
      </c>
      <c r="AX83" s="664" t="str">
        <f t="shared" si="146"/>
        <v/>
      </c>
      <c r="AY83" s="664" t="str">
        <f t="shared" si="146"/>
        <v/>
      </c>
      <c r="AZ83" s="664" t="str">
        <f t="shared" si="146"/>
        <v/>
      </c>
      <c r="BA83" s="664" t="str">
        <f t="shared" si="146"/>
        <v/>
      </c>
      <c r="BB83" s="664" t="str">
        <f t="shared" si="146"/>
        <v/>
      </c>
      <c r="BC83" s="665" t="str">
        <f t="shared" si="146"/>
        <v/>
      </c>
      <c r="BD83" s="577" t="str">
        <f>""</f>
        <v/>
      </c>
      <c r="BG83" s="772">
        <v>230</v>
      </c>
      <c r="BH83" s="785">
        <f>AP5</f>
        <v>8</v>
      </c>
      <c r="BI83" s="774" t="str">
        <f t="shared" si="123"/>
        <v>M</v>
      </c>
      <c r="BO83" s="675"/>
      <c r="BP83" s="675"/>
      <c r="BQ83" s="675"/>
      <c r="BR83" s="675"/>
      <c r="BS83" s="675"/>
      <c r="BT83" s="675"/>
      <c r="BU83" s="675"/>
      <c r="BV83" s="675"/>
      <c r="BW83" s="675"/>
      <c r="DA83" s="585"/>
      <c r="DB83" s="587"/>
      <c r="DC83" s="1288"/>
      <c r="DD83" s="1288"/>
      <c r="DE83" s="1288"/>
      <c r="DF83" s="1288"/>
      <c r="DG83" s="1288"/>
      <c r="DH83" s="1288"/>
      <c r="DI83" s="1288"/>
      <c r="DJ83" s="1288"/>
      <c r="DK83" s="1288"/>
      <c r="DL83" s="1288"/>
      <c r="DM83" s="1288"/>
      <c r="DN83" s="1288"/>
      <c r="DO83" s="1288"/>
      <c r="DP83" s="1288"/>
      <c r="DQ83" s="1288"/>
      <c r="DR83" s="1288"/>
      <c r="DS83" s="1289"/>
    </row>
    <row r="84" spans="19:123" x14ac:dyDescent="0.2">
      <c r="S84" s="585"/>
      <c r="T84" s="660" t="str">
        <f>T73</f>
        <v>,"longitude":</v>
      </c>
      <c r="U84" s="661" t="str">
        <f t="shared" ref="U84:BC84" si="147">T84</f>
        <v>,"longitude":</v>
      </c>
      <c r="V84" s="661" t="str">
        <f t="shared" si="147"/>
        <v>,"longitude":</v>
      </c>
      <c r="W84" s="661" t="str">
        <f t="shared" si="147"/>
        <v>,"longitude":</v>
      </c>
      <c r="X84" s="661" t="str">
        <f t="shared" si="147"/>
        <v>,"longitude":</v>
      </c>
      <c r="Y84" s="661" t="str">
        <f t="shared" si="147"/>
        <v>,"longitude":</v>
      </c>
      <c r="Z84" s="661" t="str">
        <f t="shared" si="147"/>
        <v>,"longitude":</v>
      </c>
      <c r="AA84" s="661" t="str">
        <f t="shared" si="147"/>
        <v>,"longitude":</v>
      </c>
      <c r="AB84" s="661" t="str">
        <f t="shared" si="147"/>
        <v>,"longitude":</v>
      </c>
      <c r="AC84" s="661" t="str">
        <f t="shared" si="147"/>
        <v>,"longitude":</v>
      </c>
      <c r="AD84" s="661" t="str">
        <f t="shared" si="147"/>
        <v>,"longitude":</v>
      </c>
      <c r="AE84" s="661" t="str">
        <f t="shared" si="147"/>
        <v>,"longitude":</v>
      </c>
      <c r="AF84" s="661" t="str">
        <f t="shared" si="147"/>
        <v>,"longitude":</v>
      </c>
      <c r="AG84" s="661" t="str">
        <f t="shared" si="147"/>
        <v>,"longitude":</v>
      </c>
      <c r="AH84" s="661" t="str">
        <f t="shared" si="147"/>
        <v>,"longitude":</v>
      </c>
      <c r="AI84" s="661" t="str">
        <f t="shared" si="147"/>
        <v>,"longitude":</v>
      </c>
      <c r="AJ84" s="661" t="str">
        <f t="shared" si="147"/>
        <v>,"longitude":</v>
      </c>
      <c r="AK84" s="661" t="str">
        <f t="shared" si="147"/>
        <v>,"longitude":</v>
      </c>
      <c r="AL84" s="661" t="str">
        <f t="shared" si="147"/>
        <v>,"longitude":</v>
      </c>
      <c r="AM84" s="661" t="str">
        <f t="shared" si="147"/>
        <v>,"longitude":</v>
      </c>
      <c r="AN84" s="661" t="str">
        <f t="shared" si="147"/>
        <v>,"longitude":</v>
      </c>
      <c r="AO84" s="661" t="str">
        <f t="shared" si="147"/>
        <v>,"longitude":</v>
      </c>
      <c r="AP84" s="661" t="str">
        <f t="shared" si="147"/>
        <v>,"longitude":</v>
      </c>
      <c r="AQ84" s="661" t="str">
        <f t="shared" si="147"/>
        <v>,"longitude":</v>
      </c>
      <c r="AR84" s="661" t="str">
        <f t="shared" si="147"/>
        <v>,"longitude":</v>
      </c>
      <c r="AS84" s="661" t="str">
        <f t="shared" si="147"/>
        <v>,"longitude":</v>
      </c>
      <c r="AT84" s="661" t="str">
        <f t="shared" si="147"/>
        <v>,"longitude":</v>
      </c>
      <c r="AU84" s="661" t="str">
        <f t="shared" si="147"/>
        <v>,"longitude":</v>
      </c>
      <c r="AV84" s="661" t="str">
        <f t="shared" si="147"/>
        <v>,"longitude":</v>
      </c>
      <c r="AW84" s="661" t="str">
        <f t="shared" si="147"/>
        <v>,"longitude":</v>
      </c>
      <c r="AX84" s="661" t="str">
        <f t="shared" si="147"/>
        <v>,"longitude":</v>
      </c>
      <c r="AY84" s="661" t="str">
        <f t="shared" si="147"/>
        <v>,"longitude":</v>
      </c>
      <c r="AZ84" s="661" t="str">
        <f t="shared" si="147"/>
        <v>,"longitude":</v>
      </c>
      <c r="BA84" s="661" t="str">
        <f t="shared" si="147"/>
        <v>,"longitude":</v>
      </c>
      <c r="BB84" s="661" t="str">
        <f t="shared" si="147"/>
        <v>,"longitude":</v>
      </c>
      <c r="BC84" s="662" t="str">
        <f t="shared" si="147"/>
        <v>,"longitude":</v>
      </c>
      <c r="BD84" s="577" t="str">
        <f>""</f>
        <v/>
      </c>
      <c r="BG84" s="772">
        <v>240</v>
      </c>
      <c r="BH84" s="785">
        <f>AQ5</f>
        <v>8</v>
      </c>
      <c r="BI84" s="774" t="str">
        <f t="shared" si="123"/>
        <v>M</v>
      </c>
      <c r="BO84" s="675"/>
      <c r="BP84" s="675"/>
      <c r="BQ84" s="675"/>
      <c r="BR84" s="675"/>
      <c r="BS84" s="675"/>
      <c r="BT84" s="675"/>
      <c r="BU84" s="675"/>
      <c r="BV84" s="675"/>
      <c r="BW84" s="675"/>
      <c r="DA84" s="585"/>
      <c r="DB84" s="587"/>
      <c r="DC84" s="1288"/>
      <c r="DD84" s="1288"/>
      <c r="DE84" s="1288"/>
      <c r="DF84" s="1288"/>
      <c r="DG84" s="1288"/>
      <c r="DH84" s="1288"/>
      <c r="DI84" s="1288"/>
      <c r="DJ84" s="1288"/>
      <c r="DK84" s="1288"/>
      <c r="DL84" s="1288"/>
      <c r="DM84" s="1288"/>
      <c r="DN84" s="1288"/>
      <c r="DO84" s="1288"/>
      <c r="DP84" s="1288"/>
      <c r="DQ84" s="1288"/>
      <c r="DR84" s="1288"/>
      <c r="DS84" s="1289"/>
    </row>
    <row r="85" spans="19:123" x14ac:dyDescent="0.2">
      <c r="S85" s="585"/>
      <c r="T85" s="663" t="str">
        <f t="shared" ref="T85:BC85" si="148">T16</f>
        <v/>
      </c>
      <c r="U85" s="664" t="str">
        <f t="shared" si="148"/>
        <v/>
      </c>
      <c r="V85" s="664" t="str">
        <f t="shared" si="148"/>
        <v/>
      </c>
      <c r="W85" s="664" t="str">
        <f t="shared" si="148"/>
        <v/>
      </c>
      <c r="X85" s="664" t="str">
        <f t="shared" si="148"/>
        <v/>
      </c>
      <c r="Y85" s="664" t="str">
        <f t="shared" si="148"/>
        <v/>
      </c>
      <c r="Z85" s="664" t="str">
        <f t="shared" si="148"/>
        <v/>
      </c>
      <c r="AA85" s="664" t="str">
        <f t="shared" si="148"/>
        <v/>
      </c>
      <c r="AB85" s="664" t="str">
        <f t="shared" si="148"/>
        <v/>
      </c>
      <c r="AC85" s="664" t="str">
        <f t="shared" si="148"/>
        <v/>
      </c>
      <c r="AD85" s="664" t="str">
        <f t="shared" si="148"/>
        <v/>
      </c>
      <c r="AE85" s="664" t="str">
        <f t="shared" si="148"/>
        <v/>
      </c>
      <c r="AF85" s="664" t="str">
        <f t="shared" si="148"/>
        <v/>
      </c>
      <c r="AG85" s="664" t="str">
        <f t="shared" si="148"/>
        <v/>
      </c>
      <c r="AH85" s="664" t="str">
        <f t="shared" si="148"/>
        <v/>
      </c>
      <c r="AI85" s="664" t="str">
        <f t="shared" si="148"/>
        <v/>
      </c>
      <c r="AJ85" s="664" t="str">
        <f t="shared" si="148"/>
        <v/>
      </c>
      <c r="AK85" s="664" t="str">
        <f t="shared" si="148"/>
        <v/>
      </c>
      <c r="AL85" s="664" t="str">
        <f t="shared" si="148"/>
        <v/>
      </c>
      <c r="AM85" s="664" t="str">
        <f t="shared" si="148"/>
        <v/>
      </c>
      <c r="AN85" s="664" t="str">
        <f t="shared" si="148"/>
        <v/>
      </c>
      <c r="AO85" s="664" t="str">
        <f t="shared" si="148"/>
        <v/>
      </c>
      <c r="AP85" s="664" t="str">
        <f t="shared" si="148"/>
        <v/>
      </c>
      <c r="AQ85" s="664" t="str">
        <f t="shared" si="148"/>
        <v/>
      </c>
      <c r="AR85" s="664" t="str">
        <f t="shared" si="148"/>
        <v/>
      </c>
      <c r="AS85" s="664" t="str">
        <f t="shared" si="148"/>
        <v/>
      </c>
      <c r="AT85" s="664" t="str">
        <f t="shared" si="148"/>
        <v/>
      </c>
      <c r="AU85" s="664" t="str">
        <f t="shared" si="148"/>
        <v/>
      </c>
      <c r="AV85" s="664" t="str">
        <f t="shared" si="148"/>
        <v/>
      </c>
      <c r="AW85" s="664" t="str">
        <f t="shared" si="148"/>
        <v/>
      </c>
      <c r="AX85" s="664" t="str">
        <f t="shared" si="148"/>
        <v/>
      </c>
      <c r="AY85" s="664" t="str">
        <f t="shared" si="148"/>
        <v/>
      </c>
      <c r="AZ85" s="664" t="str">
        <f t="shared" si="148"/>
        <v/>
      </c>
      <c r="BA85" s="664" t="str">
        <f t="shared" si="148"/>
        <v/>
      </c>
      <c r="BB85" s="664" t="str">
        <f t="shared" si="148"/>
        <v/>
      </c>
      <c r="BC85" s="665" t="str">
        <f t="shared" si="148"/>
        <v/>
      </c>
      <c r="BD85" s="577" t="str">
        <f>""</f>
        <v/>
      </c>
      <c r="BG85" s="772">
        <v>250</v>
      </c>
      <c r="BH85" s="785">
        <f>AR5</f>
        <v>9</v>
      </c>
      <c r="BI85" s="774" t="str">
        <f t="shared" si="123"/>
        <v>N</v>
      </c>
      <c r="BO85" s="675"/>
      <c r="BP85" s="675"/>
      <c r="BQ85" s="675"/>
      <c r="BR85" s="675"/>
      <c r="BS85" s="675"/>
      <c r="BT85" s="675"/>
      <c r="BU85" s="675"/>
      <c r="BV85" s="675"/>
      <c r="BW85" s="675"/>
      <c r="DA85" s="585"/>
      <c r="DB85" s="587"/>
      <c r="DC85" s="1288"/>
      <c r="DD85" s="1288"/>
      <c r="DE85" s="1288"/>
      <c r="DF85" s="1288"/>
      <c r="DG85" s="1288"/>
      <c r="DH85" s="1288"/>
      <c r="DI85" s="1288"/>
      <c r="DJ85" s="1288"/>
      <c r="DK85" s="1288"/>
      <c r="DL85" s="1288"/>
      <c r="DM85" s="1288"/>
      <c r="DN85" s="1288"/>
      <c r="DO85" s="1288"/>
      <c r="DP85" s="1288"/>
      <c r="DQ85" s="1288"/>
      <c r="DR85" s="1288"/>
      <c r="DS85" s="1289"/>
    </row>
    <row r="86" spans="19:123" ht="12.75" customHeight="1" thickBot="1" x14ac:dyDescent="0.25">
      <c r="S86" s="642" t="s">
        <v>500</v>
      </c>
      <c r="T86" s="654" t="str">
        <f t="shared" ref="T86:BC86" si="149">IF(T78="",T75,CONCATENATE(T75,T76,T77,T78,T79,T80,T81,T82,T83,T84,T85))</f>
        <v>{"direction":10,"fetchPoints":[{"left":{"latitude":0.00307203909640892,"longitude":0.000268768595102742},"right":{"latitude":0.00297869674290592,"longitude":0.0007981393863477</v>
      </c>
      <c r="U86" s="655" t="str">
        <f t="shared" si="149"/>
        <v>{"direction":20,"fetchPoints":[{"left":{"latitude":0.00297869674290592,"longitude":0.000798139387503729},"right":{"latitude":0.00279484819610047,"longitude":0.00130325911648073</v>
      </c>
      <c r="V86" s="655" t="str">
        <f t="shared" si="149"/>
        <v>{"direction":30,"fetchPoints":[{"left":{"latitude":0.00279484819610047,"longitude":0.00130325911836838},"right":{"latitude":0.00252607960109505,"longitude":0.00176877997766961</v>
      </c>
      <c r="W86" s="655" t="str">
        <f t="shared" si="149"/>
        <v>{"direction":40,"fetchPoints":[{"left":{"latitude":0.00252607960109505,"longitude":0.00176877998023152},"right":{"latitude":0.0021805573556912,"longitude":0.00218055735411203</v>
      </c>
      <c r="X86" s="655" t="str">
        <f t="shared" si="149"/>
        <v>{"direction":50,"fetchPoints":[{"left":{"latitude":0.0021805573556912,"longitude":0.00218055735727036},"right":{"latitude":0.00176877997851245,"longitude":0.00252607959863997</v>
      </c>
      <c r="Y86" s="655" t="str">
        <f t="shared" si="149"/>
        <v>{"direction":60,"fetchPoints":[{"left":{"latitude":0.00176877997851245,"longitude":0.00252607960229875},"right":{"latitude":0.00130325911681788,"longitude":0.00279484819277541</v>
      </c>
      <c r="Z86" s="655" t="str">
        <f t="shared" si="149"/>
        <v>{"direction":70,"fetchPoints":[{"left":{"latitude":0.00130325911681788,"longitude":0.00279484819682348},"right":{"latitude":0.000798139386425139,"longitude":0.00297869673888057</v>
      </c>
      <c r="AA86" s="655" t="str">
        <f t="shared" si="149"/>
        <v>{"direction":80,"fetchPoints":[{"left":{"latitude":0.000798139386425139,"longitude":0.00297869674319492},"right":{"latitude":0.000268768594716413,"longitude":0.00307203909199317</v>
      </c>
      <c r="AB86" s="655" t="str">
        <f t="shared" si="149"/>
        <v>{"direction":90,"fetchPoints":[{"left":{"latitude":0.000268768594716413,"longitude":0.00307203909644272},"right":{"latitude":-0.000268768594716414,"longitude":0.00307203909199317</v>
      </c>
      <c r="AC86" s="655" t="str">
        <f t="shared" si="149"/>
        <v>{"direction":100,"fetchPoints":[{"left":{"latitude":-0.000268768594716414,"longitude":0.00307203909644272},"right":{"latitude":-0.00079813938642514,"longitude":0.00297869673888057</v>
      </c>
      <c r="AD86" s="655" t="str">
        <f t="shared" si="149"/>
        <v>{"direction":110,"fetchPoints":[{"left":{"latitude":-0.00079813938642514,"longitude":0.00297869674319492},"right":{"latitude":-0.00130325911681788,"longitude":0.00279484819277541</v>
      </c>
      <c r="AE86" s="655" t="str">
        <f t="shared" si="149"/>
        <v>{"direction":120,"fetchPoints":[{"left":{"latitude":-0.00130325911681788,"longitude":0.00279484819682348},"right":{"latitude":-0.00176877997851245,"longitude":0.00252607959863997</v>
      </c>
      <c r="AF86" s="655" t="str">
        <f t="shared" si="149"/>
        <v>{"direction":130,"fetchPoints":[{"left":{"latitude":-0.00176877997851245,"longitude":0.00252607960229875},"right":{"latitude":-0.0021805573556912,"longitude":0.00218055735411203</v>
      </c>
      <c r="AG86" s="655" t="str">
        <f t="shared" si="149"/>
        <v>{"direction":140,"fetchPoints":[{"left":{"latitude":-0.0021805573556912,"longitude":0.00218055735727036},"right":{"latitude":-0.00252607960109505,"longitude":0.00176877997766961</v>
      </c>
      <c r="AH86" s="655" t="str">
        <f t="shared" si="149"/>
        <v>{"direction":150,"fetchPoints":[{"left":{"latitude":-0.00252607960109505,"longitude":0.00176877998023152},"right":{"latitude":-0.00279484819610047,"longitude":0.00130325911648073</v>
      </c>
      <c r="AI86" s="655" t="str">
        <f t="shared" si="149"/>
        <v>{"direction":160,"fetchPoints":[{"left":{"latitude":-0.00279484819610047,"longitude":0.00130325911836838},"right":{"latitude":-0.00297869674290592,"longitude":0.000798139386347701</v>
      </c>
      <c r="AJ86" s="655" t="str">
        <f t="shared" si="149"/>
        <v>{"direction":170,"fetchPoints":[{"left":{"latitude":-0.00297869674290592,"longitude":0.00079813938750373},"right":{"latitude":-0.00307203909640892,"longitude":0.000268768594713458</v>
      </c>
      <c r="AK86" s="655" t="str">
        <f t="shared" si="149"/>
        <v>{"direction":180,"fetchPoints":[{"left":{"latitude":-0.00307203909640892,"longitude":0.000268768595102743},"right":{"latitude":-0.00307203909640892,"longitude":-0.000268768594713456</v>
      </c>
      <c r="AL86" s="655" t="str">
        <f t="shared" si="149"/>
        <v>{"direction":190,"fetchPoints":[{"left":{"latitude":-0.00307203909640892,"longitude":-0.000268768595102741},"right":{"latitude":-0.00297869674290592,"longitude":-0.000798139386347699</v>
      </c>
      <c r="AM86" s="655" t="str">
        <f t="shared" si="149"/>
        <v>{"direction":200,"fetchPoints":[{"left":{"latitude":-0.00297869674290592,"longitude":-0.000798139387503727},"right":{"latitude":-0.00279484819610047,"longitude":-0.00130325911648073</v>
      </c>
      <c r="AN86" s="655" t="str">
        <f t="shared" si="149"/>
        <v>{"direction":210,"fetchPoints":[{"left":{"latitude":-0.00279484819610047,"longitude":-0.00130325911836838},"right":{"latitude":-0.00252607960109505,"longitude":-0.00176877997766961</v>
      </c>
      <c r="AO86" s="655" t="str">
        <f t="shared" si="149"/>
        <v>{"direction":220,"fetchPoints":[{"left":{"latitude":-0.00252607960109505,"longitude":-0.00176877998023152},"right":{"latitude":-0.0021805573556912,"longitude":-0.00218055735411203</v>
      </c>
      <c r="AP86" s="655" t="str">
        <f t="shared" si="149"/>
        <v>{"direction":230,"fetchPoints":[{"left":{"latitude":-0.0021805573556912,"longitude":-0.00218055735727036},"right":{"latitude":-0.00176877997851246,"longitude":-0.00252607959863997</v>
      </c>
      <c r="AQ86" s="655" t="str">
        <f t="shared" si="149"/>
        <v>{"direction":240,"fetchPoints":[{"left":{"latitude":-0.00176877997851246,"longitude":-0.00252607960229875},"right":{"latitude":-0.00130325911681788,"longitude":-0.00279484819277541</v>
      </c>
      <c r="AR86" s="655" t="str">
        <f t="shared" si="149"/>
        <v>{"direction":250,"fetchPoints":[{"left":{"latitude":-0.00130325911681788,"longitude":-0.00279484819682348},"right":{"latitude":-0.000798139386425139,"longitude":-0.00297869673888057</v>
      </c>
      <c r="AS86" s="655" t="str">
        <f t="shared" si="149"/>
        <v>{"direction":260,"fetchPoints":[{"left":{"latitude":-0.000798139386425139,"longitude":-0.00297869674319492},"right":{"latitude":-0.000268768594716414,"longitude":-0.00307203909199317</v>
      </c>
      <c r="AT86" s="655" t="str">
        <f t="shared" si="149"/>
        <v>{"direction":270,"fetchPoints":[{"left":{"latitude":-0.000268768594716414,"longitude":-0.00307203909644272},"right":{"latitude":0.000268768594716413,"longitude":-0.00307203909199317</v>
      </c>
      <c r="AU86" s="655" t="str">
        <f t="shared" si="149"/>
        <v>{"direction":280,"fetchPoints":[{"left":{"latitude":0.000268768594716413,"longitude":-0.00307203909644272},"right":{"latitude":0.00079813938642514,"longitude":-0.00297869673888057</v>
      </c>
      <c r="AV86" s="655" t="str">
        <f t="shared" si="149"/>
        <v>{"direction":290,"fetchPoints":[{"left":{"latitude":0.00079813938642514,"longitude":-0.00297869674319492},"right":{"latitude":0.00130325911681788,"longitude":-0.00279484819277541</v>
      </c>
      <c r="AW86" s="655" t="str">
        <f t="shared" si="149"/>
        <v>{"direction":300,"fetchPoints":[{"left":{"latitude":0.00130325911681788,"longitude":-0.00279484819682348},"right":{"latitude":0.00176877997851245,"longitude":-0.00252607959863997</v>
      </c>
      <c r="AX86" s="655" t="str">
        <f t="shared" si="149"/>
        <v>{"direction":310,"fetchPoints":[{"left":{"latitude":0.00176877997851245,"longitude":-0.00252607960229875},"right":{"latitude":0.0021805573556912,"longitude":-0.00218055735411203</v>
      </c>
      <c r="AY86" s="655" t="str">
        <f t="shared" si="149"/>
        <v>{"direction":320,"fetchPoints":[{"left":{"latitude":0.0021805573556912,"longitude":-0.00218055735727036},"right":{"latitude":0.00252607960109505,"longitude":-0.00176877997766961</v>
      </c>
      <c r="AZ86" s="655" t="str">
        <f t="shared" si="149"/>
        <v>{"direction":330,"fetchPoints":[{"left":{"latitude":0.00252607960109505,"longitude":-0.00176877998023152},"right":{"latitude":0.00279484819610047,"longitude":-0.00130325911648074</v>
      </c>
      <c r="BA86" s="655" t="str">
        <f t="shared" si="149"/>
        <v>{"direction":340,"fetchPoints":[{"left":{"latitude":0.00279484819610047,"longitude":-0.00130325911836838},"right":{"latitude":0.00297869674290592,"longitude":-0.0007981393863477</v>
      </c>
      <c r="BB86" s="655" t="str">
        <f t="shared" si="149"/>
        <v>{"direction":350,"fetchPoints":[{"left":{"latitude":0.00297869674290592,"longitude":-0.000798139387503728},"right":{"latitude":0.00307203909640892,"longitude":-0.000268768594713457</v>
      </c>
      <c r="BC86" s="656" t="str">
        <f t="shared" si="149"/>
        <v>{"direction":360,"fetchPoints":[{"left":{"latitude":0.00307203909640892,"longitude":-0.000268768595102742},"right":{"latitude":0.00307203909640892,"longitude":0.000268768594713458</v>
      </c>
      <c r="BD86" s="577" t="str">
        <f>""</f>
        <v/>
      </c>
      <c r="BG86" s="772">
        <v>260</v>
      </c>
      <c r="BH86" s="785">
        <f>AS5</f>
        <v>9</v>
      </c>
      <c r="BI86" s="774" t="str">
        <f t="shared" si="123"/>
        <v>N</v>
      </c>
      <c r="BO86" s="675"/>
      <c r="BP86" s="675"/>
      <c r="BQ86" s="675"/>
      <c r="BR86" s="675"/>
      <c r="BS86" s="675"/>
      <c r="BT86" s="675"/>
      <c r="BU86" s="675"/>
      <c r="BV86" s="675"/>
      <c r="DA86" s="585"/>
      <c r="DB86" s="587"/>
      <c r="DC86" s="1288"/>
      <c r="DD86" s="1288"/>
      <c r="DE86" s="1288"/>
      <c r="DF86" s="1288"/>
      <c r="DG86" s="1288"/>
      <c r="DH86" s="1288"/>
      <c r="DI86" s="1288"/>
      <c r="DJ86" s="1288"/>
      <c r="DK86" s="1288"/>
      <c r="DL86" s="1288"/>
      <c r="DM86" s="1288"/>
      <c r="DN86" s="1288"/>
      <c r="DO86" s="1288"/>
      <c r="DP86" s="1288"/>
      <c r="DQ86" s="1288"/>
      <c r="DR86" s="1288"/>
      <c r="DS86" s="1289"/>
    </row>
    <row r="87" spans="19:123" ht="13.5" customHeight="1" x14ac:dyDescent="0.4">
      <c r="S87" s="642" t="s">
        <v>446</v>
      </c>
      <c r="T87" s="666" t="str">
        <f>T76</f>
        <v>}},{"left":{</v>
      </c>
      <c r="U87" s="667" t="str">
        <f t="shared" ref="U87:BC87" si="150">T87</f>
        <v>}},{"left":{</v>
      </c>
      <c r="V87" s="667" t="str">
        <f t="shared" si="150"/>
        <v>}},{"left":{</v>
      </c>
      <c r="W87" s="667" t="str">
        <f t="shared" si="150"/>
        <v>}},{"left":{</v>
      </c>
      <c r="X87" s="667" t="str">
        <f t="shared" si="150"/>
        <v>}},{"left":{</v>
      </c>
      <c r="Y87" s="667" t="str">
        <f t="shared" si="150"/>
        <v>}},{"left":{</v>
      </c>
      <c r="Z87" s="667" t="str">
        <f t="shared" si="150"/>
        <v>}},{"left":{</v>
      </c>
      <c r="AA87" s="667" t="str">
        <f t="shared" si="150"/>
        <v>}},{"left":{</v>
      </c>
      <c r="AB87" s="667" t="str">
        <f t="shared" si="150"/>
        <v>}},{"left":{</v>
      </c>
      <c r="AC87" s="667" t="str">
        <f t="shared" si="150"/>
        <v>}},{"left":{</v>
      </c>
      <c r="AD87" s="667" t="str">
        <f t="shared" si="150"/>
        <v>}},{"left":{</v>
      </c>
      <c r="AE87" s="667" t="str">
        <f t="shared" si="150"/>
        <v>}},{"left":{</v>
      </c>
      <c r="AF87" s="667" t="str">
        <f t="shared" si="150"/>
        <v>}},{"left":{</v>
      </c>
      <c r="AG87" s="667" t="str">
        <f t="shared" si="150"/>
        <v>}},{"left":{</v>
      </c>
      <c r="AH87" s="667" t="str">
        <f t="shared" si="150"/>
        <v>}},{"left":{</v>
      </c>
      <c r="AI87" s="667" t="str">
        <f t="shared" si="150"/>
        <v>}},{"left":{</v>
      </c>
      <c r="AJ87" s="667" t="str">
        <f t="shared" si="150"/>
        <v>}},{"left":{</v>
      </c>
      <c r="AK87" s="667" t="str">
        <f t="shared" si="150"/>
        <v>}},{"left":{</v>
      </c>
      <c r="AL87" s="667" t="str">
        <f t="shared" si="150"/>
        <v>}},{"left":{</v>
      </c>
      <c r="AM87" s="667" t="str">
        <f t="shared" si="150"/>
        <v>}},{"left":{</v>
      </c>
      <c r="AN87" s="667" t="str">
        <f t="shared" si="150"/>
        <v>}},{"left":{</v>
      </c>
      <c r="AO87" s="667" t="str">
        <f t="shared" si="150"/>
        <v>}},{"left":{</v>
      </c>
      <c r="AP87" s="667" t="str">
        <f t="shared" si="150"/>
        <v>}},{"left":{</v>
      </c>
      <c r="AQ87" s="667" t="str">
        <f t="shared" si="150"/>
        <v>}},{"left":{</v>
      </c>
      <c r="AR87" s="667" t="str">
        <f t="shared" si="150"/>
        <v>}},{"left":{</v>
      </c>
      <c r="AS87" s="667" t="str">
        <f t="shared" si="150"/>
        <v>}},{"left":{</v>
      </c>
      <c r="AT87" s="667" t="str">
        <f t="shared" si="150"/>
        <v>}},{"left":{</v>
      </c>
      <c r="AU87" s="667" t="str">
        <f t="shared" si="150"/>
        <v>}},{"left":{</v>
      </c>
      <c r="AV87" s="667" t="str">
        <f t="shared" si="150"/>
        <v>}},{"left":{</v>
      </c>
      <c r="AW87" s="667" t="str">
        <f t="shared" si="150"/>
        <v>}},{"left":{</v>
      </c>
      <c r="AX87" s="667" t="str">
        <f t="shared" si="150"/>
        <v>}},{"left":{</v>
      </c>
      <c r="AY87" s="667" t="str">
        <f t="shared" si="150"/>
        <v>}},{"left":{</v>
      </c>
      <c r="AZ87" s="667" t="str">
        <f t="shared" si="150"/>
        <v>}},{"left":{</v>
      </c>
      <c r="BA87" s="667" t="str">
        <f t="shared" si="150"/>
        <v>}},{"left":{</v>
      </c>
      <c r="BB87" s="667" t="str">
        <f t="shared" si="150"/>
        <v>}},{"left":{</v>
      </c>
      <c r="BC87" s="668" t="str">
        <f t="shared" si="150"/>
        <v>}},{"left":{</v>
      </c>
      <c r="BD87" s="577" t="str">
        <f>""</f>
        <v/>
      </c>
      <c r="BG87" s="772">
        <v>270</v>
      </c>
      <c r="BH87" s="785">
        <f>AT5</f>
        <v>9</v>
      </c>
      <c r="BI87" s="774" t="str">
        <f t="shared" si="123"/>
        <v>N</v>
      </c>
      <c r="BO87" s="675"/>
      <c r="BP87" s="675"/>
      <c r="BQ87" s="675"/>
      <c r="BR87" s="675"/>
      <c r="BS87" s="675"/>
      <c r="BT87" s="675"/>
      <c r="BU87" s="675"/>
      <c r="BV87" s="675"/>
      <c r="DA87" s="585"/>
      <c r="DB87" s="825"/>
      <c r="DC87" s="1288"/>
      <c r="DD87" s="1288"/>
      <c r="DE87" s="1288"/>
      <c r="DF87" s="1288"/>
      <c r="DG87" s="1288"/>
      <c r="DH87" s="1288"/>
      <c r="DI87" s="1288"/>
      <c r="DJ87" s="1288"/>
      <c r="DK87" s="1288"/>
      <c r="DL87" s="1288"/>
      <c r="DM87" s="1288"/>
      <c r="DN87" s="1288"/>
      <c r="DO87" s="1288"/>
      <c r="DP87" s="1288"/>
      <c r="DQ87" s="1288"/>
      <c r="DR87" s="1288"/>
      <c r="DS87" s="1289"/>
    </row>
    <row r="88" spans="19:123" x14ac:dyDescent="0.2">
      <c r="S88" s="585"/>
      <c r="T88" s="669" t="str">
        <f>T77</f>
        <v>"latitude":</v>
      </c>
      <c r="U88" s="670" t="str">
        <f t="shared" ref="U88:BC88" si="151">T88</f>
        <v>"latitude":</v>
      </c>
      <c r="V88" s="670" t="str">
        <f t="shared" si="151"/>
        <v>"latitude":</v>
      </c>
      <c r="W88" s="670" t="str">
        <f t="shared" si="151"/>
        <v>"latitude":</v>
      </c>
      <c r="X88" s="670" t="str">
        <f t="shared" si="151"/>
        <v>"latitude":</v>
      </c>
      <c r="Y88" s="670" t="str">
        <f t="shared" si="151"/>
        <v>"latitude":</v>
      </c>
      <c r="Z88" s="670" t="str">
        <f t="shared" si="151"/>
        <v>"latitude":</v>
      </c>
      <c r="AA88" s="670" t="str">
        <f t="shared" si="151"/>
        <v>"latitude":</v>
      </c>
      <c r="AB88" s="670" t="str">
        <f t="shared" si="151"/>
        <v>"latitude":</v>
      </c>
      <c r="AC88" s="670" t="str">
        <f t="shared" si="151"/>
        <v>"latitude":</v>
      </c>
      <c r="AD88" s="670" t="str">
        <f t="shared" si="151"/>
        <v>"latitude":</v>
      </c>
      <c r="AE88" s="670" t="str">
        <f t="shared" si="151"/>
        <v>"latitude":</v>
      </c>
      <c r="AF88" s="670" t="str">
        <f t="shared" si="151"/>
        <v>"latitude":</v>
      </c>
      <c r="AG88" s="670" t="str">
        <f t="shared" si="151"/>
        <v>"latitude":</v>
      </c>
      <c r="AH88" s="670" t="str">
        <f t="shared" si="151"/>
        <v>"latitude":</v>
      </c>
      <c r="AI88" s="670" t="str">
        <f t="shared" si="151"/>
        <v>"latitude":</v>
      </c>
      <c r="AJ88" s="670" t="str">
        <f t="shared" si="151"/>
        <v>"latitude":</v>
      </c>
      <c r="AK88" s="670" t="str">
        <f t="shared" si="151"/>
        <v>"latitude":</v>
      </c>
      <c r="AL88" s="670" t="str">
        <f t="shared" si="151"/>
        <v>"latitude":</v>
      </c>
      <c r="AM88" s="670" t="str">
        <f t="shared" si="151"/>
        <v>"latitude":</v>
      </c>
      <c r="AN88" s="670" t="str">
        <f t="shared" si="151"/>
        <v>"latitude":</v>
      </c>
      <c r="AO88" s="670" t="str">
        <f t="shared" si="151"/>
        <v>"latitude":</v>
      </c>
      <c r="AP88" s="670" t="str">
        <f t="shared" si="151"/>
        <v>"latitude":</v>
      </c>
      <c r="AQ88" s="670" t="str">
        <f t="shared" si="151"/>
        <v>"latitude":</v>
      </c>
      <c r="AR88" s="670" t="str">
        <f t="shared" si="151"/>
        <v>"latitude":</v>
      </c>
      <c r="AS88" s="670" t="str">
        <f t="shared" si="151"/>
        <v>"latitude":</v>
      </c>
      <c r="AT88" s="670" t="str">
        <f t="shared" si="151"/>
        <v>"latitude":</v>
      </c>
      <c r="AU88" s="670" t="str">
        <f t="shared" si="151"/>
        <v>"latitude":</v>
      </c>
      <c r="AV88" s="670" t="str">
        <f t="shared" si="151"/>
        <v>"latitude":</v>
      </c>
      <c r="AW88" s="670" t="str">
        <f t="shared" si="151"/>
        <v>"latitude":</v>
      </c>
      <c r="AX88" s="670" t="str">
        <f t="shared" si="151"/>
        <v>"latitude":</v>
      </c>
      <c r="AY88" s="670" t="str">
        <f t="shared" si="151"/>
        <v>"latitude":</v>
      </c>
      <c r="AZ88" s="670" t="str">
        <f t="shared" si="151"/>
        <v>"latitude":</v>
      </c>
      <c r="BA88" s="670" t="str">
        <f t="shared" si="151"/>
        <v>"latitude":</v>
      </c>
      <c r="BB88" s="670" t="str">
        <f t="shared" si="151"/>
        <v>"latitude":</v>
      </c>
      <c r="BC88" s="671" t="str">
        <f t="shared" si="151"/>
        <v>"latitude":</v>
      </c>
      <c r="BD88" s="577" t="str">
        <f>""</f>
        <v/>
      </c>
      <c r="BG88" s="772">
        <v>280</v>
      </c>
      <c r="BH88" s="785">
        <f>AU5</f>
        <v>10</v>
      </c>
      <c r="BI88" s="774" t="str">
        <f t="shared" si="123"/>
        <v>O</v>
      </c>
      <c r="BO88" s="675"/>
      <c r="BP88" s="675"/>
      <c r="BQ88" s="675"/>
      <c r="BR88" s="675"/>
      <c r="BS88" s="675"/>
      <c r="BT88" s="675"/>
      <c r="BU88" s="675"/>
      <c r="BV88" s="675"/>
      <c r="DA88" s="585"/>
      <c r="DB88" s="587"/>
      <c r="DC88" s="1288"/>
      <c r="DD88" s="1288"/>
      <c r="DE88" s="1288"/>
      <c r="DF88" s="1288"/>
      <c r="DG88" s="1288"/>
      <c r="DH88" s="1288"/>
      <c r="DI88" s="1288"/>
      <c r="DJ88" s="1288"/>
      <c r="DK88" s="1288"/>
      <c r="DL88" s="1288"/>
      <c r="DM88" s="1288"/>
      <c r="DN88" s="1288"/>
      <c r="DO88" s="1288"/>
      <c r="DP88" s="1288"/>
      <c r="DQ88" s="1288"/>
      <c r="DR88" s="1288"/>
      <c r="DS88" s="1289"/>
    </row>
    <row r="89" spans="19:123" x14ac:dyDescent="0.2">
      <c r="S89" s="585"/>
      <c r="T89" s="672" t="str">
        <f t="shared" ref="T89:BC89" si="152">T18</f>
        <v/>
      </c>
      <c r="U89" s="673" t="str">
        <f t="shared" si="152"/>
        <v/>
      </c>
      <c r="V89" s="673" t="str">
        <f t="shared" si="152"/>
        <v/>
      </c>
      <c r="W89" s="673" t="str">
        <f t="shared" si="152"/>
        <v/>
      </c>
      <c r="X89" s="673" t="str">
        <f t="shared" si="152"/>
        <v/>
      </c>
      <c r="Y89" s="673" t="str">
        <f t="shared" si="152"/>
        <v/>
      </c>
      <c r="Z89" s="673" t="str">
        <f t="shared" si="152"/>
        <v/>
      </c>
      <c r="AA89" s="673" t="str">
        <f t="shared" si="152"/>
        <v/>
      </c>
      <c r="AB89" s="673" t="str">
        <f t="shared" si="152"/>
        <v/>
      </c>
      <c r="AC89" s="673" t="str">
        <f t="shared" si="152"/>
        <v/>
      </c>
      <c r="AD89" s="673" t="str">
        <f t="shared" si="152"/>
        <v/>
      </c>
      <c r="AE89" s="673" t="str">
        <f t="shared" si="152"/>
        <v/>
      </c>
      <c r="AF89" s="673" t="str">
        <f t="shared" si="152"/>
        <v/>
      </c>
      <c r="AG89" s="673" t="str">
        <f t="shared" si="152"/>
        <v/>
      </c>
      <c r="AH89" s="673" t="str">
        <f t="shared" si="152"/>
        <v/>
      </c>
      <c r="AI89" s="673" t="str">
        <f t="shared" si="152"/>
        <v/>
      </c>
      <c r="AJ89" s="673" t="str">
        <f t="shared" si="152"/>
        <v/>
      </c>
      <c r="AK89" s="673" t="str">
        <f t="shared" si="152"/>
        <v/>
      </c>
      <c r="AL89" s="673" t="str">
        <f t="shared" si="152"/>
        <v/>
      </c>
      <c r="AM89" s="673" t="str">
        <f t="shared" si="152"/>
        <v/>
      </c>
      <c r="AN89" s="673" t="str">
        <f t="shared" si="152"/>
        <v/>
      </c>
      <c r="AO89" s="673" t="str">
        <f t="shared" si="152"/>
        <v/>
      </c>
      <c r="AP89" s="673" t="str">
        <f t="shared" si="152"/>
        <v/>
      </c>
      <c r="AQ89" s="673" t="str">
        <f t="shared" si="152"/>
        <v/>
      </c>
      <c r="AR89" s="673" t="str">
        <f t="shared" si="152"/>
        <v/>
      </c>
      <c r="AS89" s="673" t="str">
        <f t="shared" si="152"/>
        <v/>
      </c>
      <c r="AT89" s="673" t="str">
        <f t="shared" si="152"/>
        <v/>
      </c>
      <c r="AU89" s="673" t="str">
        <f t="shared" si="152"/>
        <v/>
      </c>
      <c r="AV89" s="673" t="str">
        <f t="shared" si="152"/>
        <v/>
      </c>
      <c r="AW89" s="673" t="str">
        <f t="shared" si="152"/>
        <v/>
      </c>
      <c r="AX89" s="673" t="str">
        <f t="shared" si="152"/>
        <v/>
      </c>
      <c r="AY89" s="673" t="str">
        <f t="shared" si="152"/>
        <v/>
      </c>
      <c r="AZ89" s="673" t="str">
        <f t="shared" si="152"/>
        <v/>
      </c>
      <c r="BA89" s="673" t="str">
        <f t="shared" si="152"/>
        <v/>
      </c>
      <c r="BB89" s="673" t="str">
        <f t="shared" si="152"/>
        <v/>
      </c>
      <c r="BC89" s="674" t="str">
        <f t="shared" si="152"/>
        <v/>
      </c>
      <c r="BD89" s="577" t="str">
        <f>""</f>
        <v/>
      </c>
      <c r="BG89" s="772">
        <v>290</v>
      </c>
      <c r="BH89" s="785">
        <f>AV5</f>
        <v>10</v>
      </c>
      <c r="BI89" s="774" t="str">
        <f t="shared" si="123"/>
        <v>O</v>
      </c>
      <c r="BO89" s="675"/>
      <c r="BP89" s="675"/>
      <c r="BQ89" s="675"/>
      <c r="BR89" s="675"/>
      <c r="BS89" s="675"/>
      <c r="BT89" s="675"/>
      <c r="BU89" s="675"/>
      <c r="BV89" s="675"/>
      <c r="DA89" s="585"/>
      <c r="DB89" s="587"/>
      <c r="DC89" s="1288"/>
      <c r="DD89" s="1288"/>
      <c r="DE89" s="1288"/>
      <c r="DF89" s="1288"/>
      <c r="DG89" s="1288"/>
      <c r="DH89" s="1288"/>
      <c r="DI89" s="1288"/>
      <c r="DJ89" s="1288"/>
      <c r="DK89" s="1288"/>
      <c r="DL89" s="1288"/>
      <c r="DM89" s="1288"/>
      <c r="DN89" s="1288"/>
      <c r="DO89" s="1288"/>
      <c r="DP89" s="1288"/>
      <c r="DQ89" s="1288"/>
      <c r="DR89" s="1288"/>
      <c r="DS89" s="1289"/>
    </row>
    <row r="90" spans="19:123" x14ac:dyDescent="0.2">
      <c r="S90" s="585"/>
      <c r="T90" s="669" t="str">
        <f>T79</f>
        <v>,"longitude":</v>
      </c>
      <c r="U90" s="670" t="str">
        <f t="shared" ref="U90:BC90" si="153">T90</f>
        <v>,"longitude":</v>
      </c>
      <c r="V90" s="670" t="str">
        <f t="shared" si="153"/>
        <v>,"longitude":</v>
      </c>
      <c r="W90" s="670" t="str">
        <f t="shared" si="153"/>
        <v>,"longitude":</v>
      </c>
      <c r="X90" s="670" t="str">
        <f t="shared" si="153"/>
        <v>,"longitude":</v>
      </c>
      <c r="Y90" s="670" t="str">
        <f t="shared" si="153"/>
        <v>,"longitude":</v>
      </c>
      <c r="Z90" s="670" t="str">
        <f t="shared" si="153"/>
        <v>,"longitude":</v>
      </c>
      <c r="AA90" s="670" t="str">
        <f t="shared" si="153"/>
        <v>,"longitude":</v>
      </c>
      <c r="AB90" s="670" t="str">
        <f t="shared" si="153"/>
        <v>,"longitude":</v>
      </c>
      <c r="AC90" s="670" t="str">
        <f t="shared" si="153"/>
        <v>,"longitude":</v>
      </c>
      <c r="AD90" s="670" t="str">
        <f t="shared" si="153"/>
        <v>,"longitude":</v>
      </c>
      <c r="AE90" s="670" t="str">
        <f t="shared" si="153"/>
        <v>,"longitude":</v>
      </c>
      <c r="AF90" s="670" t="str">
        <f t="shared" si="153"/>
        <v>,"longitude":</v>
      </c>
      <c r="AG90" s="670" t="str">
        <f t="shared" si="153"/>
        <v>,"longitude":</v>
      </c>
      <c r="AH90" s="670" t="str">
        <f t="shared" si="153"/>
        <v>,"longitude":</v>
      </c>
      <c r="AI90" s="670" t="str">
        <f t="shared" si="153"/>
        <v>,"longitude":</v>
      </c>
      <c r="AJ90" s="670" t="str">
        <f t="shared" si="153"/>
        <v>,"longitude":</v>
      </c>
      <c r="AK90" s="670" t="str">
        <f t="shared" si="153"/>
        <v>,"longitude":</v>
      </c>
      <c r="AL90" s="670" t="str">
        <f t="shared" si="153"/>
        <v>,"longitude":</v>
      </c>
      <c r="AM90" s="670" t="str">
        <f t="shared" si="153"/>
        <v>,"longitude":</v>
      </c>
      <c r="AN90" s="670" t="str">
        <f t="shared" si="153"/>
        <v>,"longitude":</v>
      </c>
      <c r="AO90" s="670" t="str">
        <f t="shared" si="153"/>
        <v>,"longitude":</v>
      </c>
      <c r="AP90" s="670" t="str">
        <f t="shared" si="153"/>
        <v>,"longitude":</v>
      </c>
      <c r="AQ90" s="670" t="str">
        <f t="shared" si="153"/>
        <v>,"longitude":</v>
      </c>
      <c r="AR90" s="670" t="str">
        <f t="shared" si="153"/>
        <v>,"longitude":</v>
      </c>
      <c r="AS90" s="670" t="str">
        <f t="shared" si="153"/>
        <v>,"longitude":</v>
      </c>
      <c r="AT90" s="670" t="str">
        <f t="shared" si="153"/>
        <v>,"longitude":</v>
      </c>
      <c r="AU90" s="670" t="str">
        <f t="shared" si="153"/>
        <v>,"longitude":</v>
      </c>
      <c r="AV90" s="670" t="str">
        <f t="shared" si="153"/>
        <v>,"longitude":</v>
      </c>
      <c r="AW90" s="670" t="str">
        <f t="shared" si="153"/>
        <v>,"longitude":</v>
      </c>
      <c r="AX90" s="670" t="str">
        <f t="shared" si="153"/>
        <v>,"longitude":</v>
      </c>
      <c r="AY90" s="670" t="str">
        <f t="shared" si="153"/>
        <v>,"longitude":</v>
      </c>
      <c r="AZ90" s="670" t="str">
        <f t="shared" si="153"/>
        <v>,"longitude":</v>
      </c>
      <c r="BA90" s="670" t="str">
        <f t="shared" si="153"/>
        <v>,"longitude":</v>
      </c>
      <c r="BB90" s="670" t="str">
        <f t="shared" si="153"/>
        <v>,"longitude":</v>
      </c>
      <c r="BC90" s="671" t="str">
        <f t="shared" si="153"/>
        <v>,"longitude":</v>
      </c>
      <c r="BD90" s="577" t="str">
        <f>""</f>
        <v/>
      </c>
      <c r="BG90" s="772">
        <v>300</v>
      </c>
      <c r="BH90" s="785">
        <f>AW5</f>
        <v>10</v>
      </c>
      <c r="BI90" s="774" t="str">
        <f t="shared" si="123"/>
        <v>O</v>
      </c>
      <c r="BO90" s="675"/>
      <c r="BP90" s="675"/>
      <c r="BQ90" s="675"/>
      <c r="BR90" s="675"/>
      <c r="BS90" s="675"/>
      <c r="BT90" s="675"/>
      <c r="BU90" s="675"/>
      <c r="BV90" s="675"/>
      <c r="DA90" s="585"/>
      <c r="DB90" s="587"/>
      <c r="DC90" s="1288"/>
      <c r="DD90" s="1288"/>
      <c r="DE90" s="1288"/>
      <c r="DF90" s="1288"/>
      <c r="DG90" s="1288"/>
      <c r="DH90" s="1288"/>
      <c r="DI90" s="1288"/>
      <c r="DJ90" s="1288"/>
      <c r="DK90" s="1288"/>
      <c r="DL90" s="1288"/>
      <c r="DM90" s="1288"/>
      <c r="DN90" s="1288"/>
      <c r="DO90" s="1288"/>
      <c r="DP90" s="1288"/>
      <c r="DQ90" s="1288"/>
      <c r="DR90" s="1288"/>
      <c r="DS90" s="1289"/>
    </row>
    <row r="91" spans="19:123" x14ac:dyDescent="0.2">
      <c r="S91" s="585"/>
      <c r="T91" s="672" t="str">
        <f t="shared" ref="T91:BC91" si="154">T19</f>
        <v/>
      </c>
      <c r="U91" s="673" t="str">
        <f t="shared" si="154"/>
        <v/>
      </c>
      <c r="V91" s="673" t="str">
        <f t="shared" si="154"/>
        <v/>
      </c>
      <c r="W91" s="673" t="str">
        <f t="shared" si="154"/>
        <v/>
      </c>
      <c r="X91" s="673" t="str">
        <f t="shared" si="154"/>
        <v/>
      </c>
      <c r="Y91" s="673" t="str">
        <f t="shared" si="154"/>
        <v/>
      </c>
      <c r="Z91" s="673" t="str">
        <f t="shared" si="154"/>
        <v/>
      </c>
      <c r="AA91" s="673" t="str">
        <f t="shared" si="154"/>
        <v/>
      </c>
      <c r="AB91" s="673" t="str">
        <f t="shared" si="154"/>
        <v/>
      </c>
      <c r="AC91" s="673" t="str">
        <f t="shared" si="154"/>
        <v/>
      </c>
      <c r="AD91" s="673" t="str">
        <f t="shared" si="154"/>
        <v/>
      </c>
      <c r="AE91" s="673" t="str">
        <f t="shared" si="154"/>
        <v/>
      </c>
      <c r="AF91" s="673" t="str">
        <f t="shared" si="154"/>
        <v/>
      </c>
      <c r="AG91" s="673" t="str">
        <f t="shared" si="154"/>
        <v/>
      </c>
      <c r="AH91" s="673" t="str">
        <f t="shared" si="154"/>
        <v/>
      </c>
      <c r="AI91" s="673" t="str">
        <f t="shared" si="154"/>
        <v/>
      </c>
      <c r="AJ91" s="673" t="str">
        <f t="shared" si="154"/>
        <v/>
      </c>
      <c r="AK91" s="673" t="str">
        <f t="shared" si="154"/>
        <v/>
      </c>
      <c r="AL91" s="673" t="str">
        <f t="shared" si="154"/>
        <v/>
      </c>
      <c r="AM91" s="673" t="str">
        <f t="shared" si="154"/>
        <v/>
      </c>
      <c r="AN91" s="673" t="str">
        <f t="shared" si="154"/>
        <v/>
      </c>
      <c r="AO91" s="673" t="str">
        <f t="shared" si="154"/>
        <v/>
      </c>
      <c r="AP91" s="673" t="str">
        <f t="shared" si="154"/>
        <v/>
      </c>
      <c r="AQ91" s="673" t="str">
        <f t="shared" si="154"/>
        <v/>
      </c>
      <c r="AR91" s="673" t="str">
        <f t="shared" si="154"/>
        <v/>
      </c>
      <c r="AS91" s="673" t="str">
        <f t="shared" si="154"/>
        <v/>
      </c>
      <c r="AT91" s="673" t="str">
        <f t="shared" si="154"/>
        <v/>
      </c>
      <c r="AU91" s="673" t="str">
        <f t="shared" si="154"/>
        <v/>
      </c>
      <c r="AV91" s="673" t="str">
        <f t="shared" si="154"/>
        <v/>
      </c>
      <c r="AW91" s="673" t="str">
        <f t="shared" si="154"/>
        <v/>
      </c>
      <c r="AX91" s="673" t="str">
        <f t="shared" si="154"/>
        <v/>
      </c>
      <c r="AY91" s="673" t="str">
        <f t="shared" si="154"/>
        <v/>
      </c>
      <c r="AZ91" s="673" t="str">
        <f t="shared" si="154"/>
        <v/>
      </c>
      <c r="BA91" s="673" t="str">
        <f t="shared" si="154"/>
        <v/>
      </c>
      <c r="BB91" s="673" t="str">
        <f t="shared" si="154"/>
        <v/>
      </c>
      <c r="BC91" s="674" t="str">
        <f t="shared" si="154"/>
        <v/>
      </c>
      <c r="BD91" s="577" t="str">
        <f>""</f>
        <v/>
      </c>
      <c r="BG91" s="772">
        <v>310</v>
      </c>
      <c r="BH91" s="785">
        <f>AX5</f>
        <v>11</v>
      </c>
      <c r="BI91" s="774" t="str">
        <f t="shared" si="123"/>
        <v>P</v>
      </c>
      <c r="BO91" s="675"/>
      <c r="BP91" s="675"/>
      <c r="BQ91" s="675"/>
      <c r="BR91" s="675"/>
      <c r="BS91" s="675"/>
      <c r="BT91" s="675"/>
      <c r="BU91" s="675"/>
      <c r="BV91" s="675"/>
      <c r="DA91" s="585"/>
      <c r="DB91" s="587"/>
      <c r="DC91" s="1288"/>
      <c r="DD91" s="1288"/>
      <c r="DE91" s="1288"/>
      <c r="DF91" s="1288"/>
      <c r="DG91" s="1288"/>
      <c r="DH91" s="1288"/>
      <c r="DI91" s="1288"/>
      <c r="DJ91" s="1288"/>
      <c r="DK91" s="1288"/>
      <c r="DL91" s="1288"/>
      <c r="DM91" s="1288"/>
      <c r="DN91" s="1288"/>
      <c r="DO91" s="1288"/>
      <c r="DP91" s="1288"/>
      <c r="DQ91" s="1288"/>
      <c r="DR91" s="1288"/>
      <c r="DS91" s="1289"/>
    </row>
    <row r="92" spans="19:123" x14ac:dyDescent="0.2">
      <c r="S92" s="585"/>
      <c r="T92" s="669" t="str">
        <f>T81</f>
        <v>},"right":{</v>
      </c>
      <c r="U92" s="670" t="str">
        <f t="shared" ref="U92:BC92" si="155">T92</f>
        <v>},"right":{</v>
      </c>
      <c r="V92" s="670" t="str">
        <f t="shared" si="155"/>
        <v>},"right":{</v>
      </c>
      <c r="W92" s="670" t="str">
        <f t="shared" si="155"/>
        <v>},"right":{</v>
      </c>
      <c r="X92" s="670" t="str">
        <f t="shared" si="155"/>
        <v>},"right":{</v>
      </c>
      <c r="Y92" s="670" t="str">
        <f t="shared" si="155"/>
        <v>},"right":{</v>
      </c>
      <c r="Z92" s="670" t="str">
        <f t="shared" si="155"/>
        <v>},"right":{</v>
      </c>
      <c r="AA92" s="670" t="str">
        <f t="shared" si="155"/>
        <v>},"right":{</v>
      </c>
      <c r="AB92" s="670" t="str">
        <f t="shared" si="155"/>
        <v>},"right":{</v>
      </c>
      <c r="AC92" s="670" t="str">
        <f t="shared" si="155"/>
        <v>},"right":{</v>
      </c>
      <c r="AD92" s="670" t="str">
        <f t="shared" si="155"/>
        <v>},"right":{</v>
      </c>
      <c r="AE92" s="670" t="str">
        <f t="shared" si="155"/>
        <v>},"right":{</v>
      </c>
      <c r="AF92" s="670" t="str">
        <f t="shared" si="155"/>
        <v>},"right":{</v>
      </c>
      <c r="AG92" s="670" t="str">
        <f t="shared" si="155"/>
        <v>},"right":{</v>
      </c>
      <c r="AH92" s="670" t="str">
        <f t="shared" si="155"/>
        <v>},"right":{</v>
      </c>
      <c r="AI92" s="670" t="str">
        <f t="shared" si="155"/>
        <v>},"right":{</v>
      </c>
      <c r="AJ92" s="670" t="str">
        <f t="shared" si="155"/>
        <v>},"right":{</v>
      </c>
      <c r="AK92" s="670" t="str">
        <f t="shared" si="155"/>
        <v>},"right":{</v>
      </c>
      <c r="AL92" s="670" t="str">
        <f t="shared" si="155"/>
        <v>},"right":{</v>
      </c>
      <c r="AM92" s="670" t="str">
        <f t="shared" si="155"/>
        <v>},"right":{</v>
      </c>
      <c r="AN92" s="670" t="str">
        <f t="shared" si="155"/>
        <v>},"right":{</v>
      </c>
      <c r="AO92" s="670" t="str">
        <f t="shared" si="155"/>
        <v>},"right":{</v>
      </c>
      <c r="AP92" s="670" t="str">
        <f t="shared" si="155"/>
        <v>},"right":{</v>
      </c>
      <c r="AQ92" s="670" t="str">
        <f t="shared" si="155"/>
        <v>},"right":{</v>
      </c>
      <c r="AR92" s="670" t="str">
        <f t="shared" si="155"/>
        <v>},"right":{</v>
      </c>
      <c r="AS92" s="670" t="str">
        <f t="shared" si="155"/>
        <v>},"right":{</v>
      </c>
      <c r="AT92" s="670" t="str">
        <f t="shared" si="155"/>
        <v>},"right":{</v>
      </c>
      <c r="AU92" s="670" t="str">
        <f t="shared" si="155"/>
        <v>},"right":{</v>
      </c>
      <c r="AV92" s="670" t="str">
        <f t="shared" si="155"/>
        <v>},"right":{</v>
      </c>
      <c r="AW92" s="670" t="str">
        <f t="shared" si="155"/>
        <v>},"right":{</v>
      </c>
      <c r="AX92" s="670" t="str">
        <f t="shared" si="155"/>
        <v>},"right":{</v>
      </c>
      <c r="AY92" s="670" t="str">
        <f t="shared" si="155"/>
        <v>},"right":{</v>
      </c>
      <c r="AZ92" s="670" t="str">
        <f t="shared" si="155"/>
        <v>},"right":{</v>
      </c>
      <c r="BA92" s="670" t="str">
        <f t="shared" si="155"/>
        <v>},"right":{</v>
      </c>
      <c r="BB92" s="670" t="str">
        <f t="shared" si="155"/>
        <v>},"right":{</v>
      </c>
      <c r="BC92" s="671" t="str">
        <f t="shared" si="155"/>
        <v>},"right":{</v>
      </c>
      <c r="BD92" s="577" t="str">
        <f>""</f>
        <v/>
      </c>
      <c r="BG92" s="772">
        <v>320</v>
      </c>
      <c r="BH92" s="785">
        <f>AY5</f>
        <v>11</v>
      </c>
      <c r="BI92" s="774" t="str">
        <f t="shared" si="123"/>
        <v>P</v>
      </c>
      <c r="BO92" s="675"/>
      <c r="BP92" s="675"/>
      <c r="BQ92" s="675"/>
      <c r="BR92" s="675"/>
      <c r="BS92" s="675"/>
      <c r="BT92" s="675"/>
      <c r="BU92" s="675"/>
      <c r="BV92" s="675"/>
      <c r="DA92" s="585"/>
      <c r="DB92" s="587"/>
      <c r="DC92" s="1288"/>
      <c r="DD92" s="1288"/>
      <c r="DE92" s="1288"/>
      <c r="DF92" s="1288"/>
      <c r="DG92" s="1288"/>
      <c r="DH92" s="1288"/>
      <c r="DI92" s="1288"/>
      <c r="DJ92" s="1288"/>
      <c r="DK92" s="1288"/>
      <c r="DL92" s="1288"/>
      <c r="DM92" s="1288"/>
      <c r="DN92" s="1288"/>
      <c r="DO92" s="1288"/>
      <c r="DP92" s="1288"/>
      <c r="DQ92" s="1288"/>
      <c r="DR92" s="1288"/>
      <c r="DS92" s="1289"/>
    </row>
    <row r="93" spans="19:123" x14ac:dyDescent="0.2">
      <c r="S93" s="585"/>
      <c r="T93" s="669" t="str">
        <f>T82</f>
        <v>"latitude":</v>
      </c>
      <c r="U93" s="670" t="str">
        <f t="shared" ref="U93:BC93" si="156">T93</f>
        <v>"latitude":</v>
      </c>
      <c r="V93" s="670" t="str">
        <f t="shared" si="156"/>
        <v>"latitude":</v>
      </c>
      <c r="W93" s="670" t="str">
        <f t="shared" si="156"/>
        <v>"latitude":</v>
      </c>
      <c r="X93" s="670" t="str">
        <f t="shared" si="156"/>
        <v>"latitude":</v>
      </c>
      <c r="Y93" s="670" t="str">
        <f t="shared" si="156"/>
        <v>"latitude":</v>
      </c>
      <c r="Z93" s="670" t="str">
        <f t="shared" si="156"/>
        <v>"latitude":</v>
      </c>
      <c r="AA93" s="670" t="str">
        <f t="shared" si="156"/>
        <v>"latitude":</v>
      </c>
      <c r="AB93" s="670" t="str">
        <f t="shared" si="156"/>
        <v>"latitude":</v>
      </c>
      <c r="AC93" s="670" t="str">
        <f t="shared" si="156"/>
        <v>"latitude":</v>
      </c>
      <c r="AD93" s="670" t="str">
        <f t="shared" si="156"/>
        <v>"latitude":</v>
      </c>
      <c r="AE93" s="670" t="str">
        <f t="shared" si="156"/>
        <v>"latitude":</v>
      </c>
      <c r="AF93" s="670" t="str">
        <f t="shared" si="156"/>
        <v>"latitude":</v>
      </c>
      <c r="AG93" s="670" t="str">
        <f t="shared" si="156"/>
        <v>"latitude":</v>
      </c>
      <c r="AH93" s="670" t="str">
        <f t="shared" si="156"/>
        <v>"latitude":</v>
      </c>
      <c r="AI93" s="670" t="str">
        <f t="shared" si="156"/>
        <v>"latitude":</v>
      </c>
      <c r="AJ93" s="670" t="str">
        <f t="shared" si="156"/>
        <v>"latitude":</v>
      </c>
      <c r="AK93" s="670" t="str">
        <f t="shared" si="156"/>
        <v>"latitude":</v>
      </c>
      <c r="AL93" s="670" t="str">
        <f t="shared" si="156"/>
        <v>"latitude":</v>
      </c>
      <c r="AM93" s="670" t="str">
        <f t="shared" si="156"/>
        <v>"latitude":</v>
      </c>
      <c r="AN93" s="670" t="str">
        <f t="shared" si="156"/>
        <v>"latitude":</v>
      </c>
      <c r="AO93" s="670" t="str">
        <f t="shared" si="156"/>
        <v>"latitude":</v>
      </c>
      <c r="AP93" s="670" t="str">
        <f t="shared" si="156"/>
        <v>"latitude":</v>
      </c>
      <c r="AQ93" s="670" t="str">
        <f t="shared" si="156"/>
        <v>"latitude":</v>
      </c>
      <c r="AR93" s="670" t="str">
        <f t="shared" si="156"/>
        <v>"latitude":</v>
      </c>
      <c r="AS93" s="670" t="str">
        <f t="shared" si="156"/>
        <v>"latitude":</v>
      </c>
      <c r="AT93" s="670" t="str">
        <f t="shared" si="156"/>
        <v>"latitude":</v>
      </c>
      <c r="AU93" s="670" t="str">
        <f t="shared" si="156"/>
        <v>"latitude":</v>
      </c>
      <c r="AV93" s="670" t="str">
        <f t="shared" si="156"/>
        <v>"latitude":</v>
      </c>
      <c r="AW93" s="670" t="str">
        <f t="shared" si="156"/>
        <v>"latitude":</v>
      </c>
      <c r="AX93" s="670" t="str">
        <f t="shared" si="156"/>
        <v>"latitude":</v>
      </c>
      <c r="AY93" s="670" t="str">
        <f t="shared" si="156"/>
        <v>"latitude":</v>
      </c>
      <c r="AZ93" s="670" t="str">
        <f t="shared" si="156"/>
        <v>"latitude":</v>
      </c>
      <c r="BA93" s="670" t="str">
        <f t="shared" si="156"/>
        <v>"latitude":</v>
      </c>
      <c r="BB93" s="670" t="str">
        <f t="shared" si="156"/>
        <v>"latitude":</v>
      </c>
      <c r="BC93" s="671" t="str">
        <f t="shared" si="156"/>
        <v>"latitude":</v>
      </c>
      <c r="BD93" s="577" t="str">
        <f>""</f>
        <v/>
      </c>
      <c r="BG93" s="772">
        <v>330</v>
      </c>
      <c r="BH93" s="785">
        <f>AZ5</f>
        <v>11</v>
      </c>
      <c r="BI93" s="774" t="str">
        <f t="shared" si="123"/>
        <v>P</v>
      </c>
      <c r="BO93" s="675"/>
      <c r="BP93" s="675"/>
      <c r="BQ93" s="675"/>
      <c r="BR93" s="675"/>
      <c r="BS93" s="675"/>
      <c r="BT93" s="675"/>
      <c r="BU93" s="675"/>
      <c r="BV93" s="675"/>
      <c r="DA93" s="585"/>
      <c r="DB93" s="587"/>
      <c r="DC93" s="1288"/>
      <c r="DD93" s="1288"/>
      <c r="DE93" s="1288"/>
      <c r="DF93" s="1288"/>
      <c r="DG93" s="1288"/>
      <c r="DH93" s="1288"/>
      <c r="DI93" s="1288"/>
      <c r="DJ93" s="1288"/>
      <c r="DK93" s="1288"/>
      <c r="DL93" s="1288"/>
      <c r="DM93" s="1288"/>
      <c r="DN93" s="1288"/>
      <c r="DO93" s="1288"/>
      <c r="DP93" s="1288"/>
      <c r="DQ93" s="1288"/>
      <c r="DR93" s="1288"/>
      <c r="DS93" s="1289"/>
    </row>
    <row r="94" spans="19:123" x14ac:dyDescent="0.2">
      <c r="S94" s="585"/>
      <c r="T94" s="672" t="str">
        <f t="shared" ref="T94:BC94" si="157">T20</f>
        <v/>
      </c>
      <c r="U94" s="673" t="str">
        <f t="shared" si="157"/>
        <v/>
      </c>
      <c r="V94" s="673" t="str">
        <f t="shared" si="157"/>
        <v/>
      </c>
      <c r="W94" s="673" t="str">
        <f t="shared" si="157"/>
        <v/>
      </c>
      <c r="X94" s="673" t="str">
        <f t="shared" si="157"/>
        <v/>
      </c>
      <c r="Y94" s="673" t="str">
        <f t="shared" si="157"/>
        <v/>
      </c>
      <c r="Z94" s="673" t="str">
        <f t="shared" si="157"/>
        <v/>
      </c>
      <c r="AA94" s="673" t="str">
        <f t="shared" si="157"/>
        <v/>
      </c>
      <c r="AB94" s="673" t="str">
        <f t="shared" si="157"/>
        <v/>
      </c>
      <c r="AC94" s="673" t="str">
        <f t="shared" si="157"/>
        <v/>
      </c>
      <c r="AD94" s="673" t="str">
        <f t="shared" si="157"/>
        <v/>
      </c>
      <c r="AE94" s="673" t="str">
        <f t="shared" si="157"/>
        <v/>
      </c>
      <c r="AF94" s="673" t="str">
        <f t="shared" si="157"/>
        <v/>
      </c>
      <c r="AG94" s="673" t="str">
        <f t="shared" si="157"/>
        <v/>
      </c>
      <c r="AH94" s="673" t="str">
        <f t="shared" si="157"/>
        <v/>
      </c>
      <c r="AI94" s="673" t="str">
        <f t="shared" si="157"/>
        <v/>
      </c>
      <c r="AJ94" s="673" t="str">
        <f t="shared" si="157"/>
        <v/>
      </c>
      <c r="AK94" s="673" t="str">
        <f t="shared" si="157"/>
        <v/>
      </c>
      <c r="AL94" s="673" t="str">
        <f t="shared" si="157"/>
        <v/>
      </c>
      <c r="AM94" s="673" t="str">
        <f t="shared" si="157"/>
        <v/>
      </c>
      <c r="AN94" s="673" t="str">
        <f t="shared" si="157"/>
        <v/>
      </c>
      <c r="AO94" s="673" t="str">
        <f t="shared" si="157"/>
        <v/>
      </c>
      <c r="AP94" s="673" t="str">
        <f t="shared" si="157"/>
        <v/>
      </c>
      <c r="AQ94" s="673" t="str">
        <f t="shared" si="157"/>
        <v/>
      </c>
      <c r="AR94" s="673" t="str">
        <f t="shared" si="157"/>
        <v/>
      </c>
      <c r="AS94" s="673" t="str">
        <f t="shared" si="157"/>
        <v/>
      </c>
      <c r="AT94" s="673" t="str">
        <f t="shared" si="157"/>
        <v/>
      </c>
      <c r="AU94" s="673" t="str">
        <f t="shared" si="157"/>
        <v/>
      </c>
      <c r="AV94" s="673" t="str">
        <f t="shared" si="157"/>
        <v/>
      </c>
      <c r="AW94" s="673" t="str">
        <f t="shared" si="157"/>
        <v/>
      </c>
      <c r="AX94" s="673" t="str">
        <f t="shared" si="157"/>
        <v/>
      </c>
      <c r="AY94" s="673" t="str">
        <f t="shared" si="157"/>
        <v/>
      </c>
      <c r="AZ94" s="673" t="str">
        <f t="shared" si="157"/>
        <v/>
      </c>
      <c r="BA94" s="673" t="str">
        <f t="shared" si="157"/>
        <v/>
      </c>
      <c r="BB94" s="673" t="str">
        <f t="shared" si="157"/>
        <v/>
      </c>
      <c r="BC94" s="674" t="str">
        <f t="shared" si="157"/>
        <v/>
      </c>
      <c r="BD94" s="577" t="str">
        <f>""</f>
        <v/>
      </c>
      <c r="BG94" s="772">
        <v>340</v>
      </c>
      <c r="BH94" s="785">
        <f>BA5</f>
        <v>12</v>
      </c>
      <c r="BI94" s="774" t="str">
        <f t="shared" si="123"/>
        <v>Q</v>
      </c>
      <c r="BO94" s="675"/>
      <c r="BP94" s="675"/>
      <c r="BQ94" s="675"/>
      <c r="BR94" s="675"/>
      <c r="BS94" s="675"/>
      <c r="BT94" s="675"/>
      <c r="BU94" s="675"/>
      <c r="BV94" s="675"/>
      <c r="DA94" s="585"/>
      <c r="DB94" s="587"/>
      <c r="DC94" s="1288"/>
      <c r="DD94" s="1288"/>
      <c r="DE94" s="1288"/>
      <c r="DF94" s="1288"/>
      <c r="DG94" s="1288"/>
      <c r="DH94" s="1288"/>
      <c r="DI94" s="1288"/>
      <c r="DJ94" s="1288"/>
      <c r="DK94" s="1288"/>
      <c r="DL94" s="1288"/>
      <c r="DM94" s="1288"/>
      <c r="DN94" s="1288"/>
      <c r="DO94" s="1288"/>
      <c r="DP94" s="1288"/>
      <c r="DQ94" s="1288"/>
      <c r="DR94" s="1288"/>
      <c r="DS94" s="1289"/>
    </row>
    <row r="95" spans="19:123" x14ac:dyDescent="0.2">
      <c r="S95" s="585"/>
      <c r="T95" s="669" t="str">
        <f>T84</f>
        <v>,"longitude":</v>
      </c>
      <c r="U95" s="670" t="str">
        <f t="shared" ref="U95:BC95" si="158">T95</f>
        <v>,"longitude":</v>
      </c>
      <c r="V95" s="670" t="str">
        <f t="shared" si="158"/>
        <v>,"longitude":</v>
      </c>
      <c r="W95" s="670" t="str">
        <f t="shared" si="158"/>
        <v>,"longitude":</v>
      </c>
      <c r="X95" s="670" t="str">
        <f t="shared" si="158"/>
        <v>,"longitude":</v>
      </c>
      <c r="Y95" s="670" t="str">
        <f t="shared" si="158"/>
        <v>,"longitude":</v>
      </c>
      <c r="Z95" s="670" t="str">
        <f t="shared" si="158"/>
        <v>,"longitude":</v>
      </c>
      <c r="AA95" s="670" t="str">
        <f t="shared" si="158"/>
        <v>,"longitude":</v>
      </c>
      <c r="AB95" s="670" t="str">
        <f t="shared" si="158"/>
        <v>,"longitude":</v>
      </c>
      <c r="AC95" s="670" t="str">
        <f t="shared" si="158"/>
        <v>,"longitude":</v>
      </c>
      <c r="AD95" s="670" t="str">
        <f t="shared" si="158"/>
        <v>,"longitude":</v>
      </c>
      <c r="AE95" s="670" t="str">
        <f t="shared" si="158"/>
        <v>,"longitude":</v>
      </c>
      <c r="AF95" s="670" t="str">
        <f t="shared" si="158"/>
        <v>,"longitude":</v>
      </c>
      <c r="AG95" s="670" t="str">
        <f t="shared" si="158"/>
        <v>,"longitude":</v>
      </c>
      <c r="AH95" s="670" t="str">
        <f t="shared" si="158"/>
        <v>,"longitude":</v>
      </c>
      <c r="AI95" s="670" t="str">
        <f t="shared" si="158"/>
        <v>,"longitude":</v>
      </c>
      <c r="AJ95" s="670" t="str">
        <f t="shared" si="158"/>
        <v>,"longitude":</v>
      </c>
      <c r="AK95" s="670" t="str">
        <f t="shared" si="158"/>
        <v>,"longitude":</v>
      </c>
      <c r="AL95" s="670" t="str">
        <f t="shared" si="158"/>
        <v>,"longitude":</v>
      </c>
      <c r="AM95" s="670" t="str">
        <f t="shared" si="158"/>
        <v>,"longitude":</v>
      </c>
      <c r="AN95" s="670" t="str">
        <f t="shared" si="158"/>
        <v>,"longitude":</v>
      </c>
      <c r="AO95" s="670" t="str">
        <f t="shared" si="158"/>
        <v>,"longitude":</v>
      </c>
      <c r="AP95" s="670" t="str">
        <f t="shared" si="158"/>
        <v>,"longitude":</v>
      </c>
      <c r="AQ95" s="670" t="str">
        <f t="shared" si="158"/>
        <v>,"longitude":</v>
      </c>
      <c r="AR95" s="670" t="str">
        <f t="shared" si="158"/>
        <v>,"longitude":</v>
      </c>
      <c r="AS95" s="670" t="str">
        <f t="shared" si="158"/>
        <v>,"longitude":</v>
      </c>
      <c r="AT95" s="670" t="str">
        <f t="shared" si="158"/>
        <v>,"longitude":</v>
      </c>
      <c r="AU95" s="670" t="str">
        <f t="shared" si="158"/>
        <v>,"longitude":</v>
      </c>
      <c r="AV95" s="670" t="str">
        <f t="shared" si="158"/>
        <v>,"longitude":</v>
      </c>
      <c r="AW95" s="670" t="str">
        <f t="shared" si="158"/>
        <v>,"longitude":</v>
      </c>
      <c r="AX95" s="670" t="str">
        <f t="shared" si="158"/>
        <v>,"longitude":</v>
      </c>
      <c r="AY95" s="670" t="str">
        <f t="shared" si="158"/>
        <v>,"longitude":</v>
      </c>
      <c r="AZ95" s="670" t="str">
        <f t="shared" si="158"/>
        <v>,"longitude":</v>
      </c>
      <c r="BA95" s="670" t="str">
        <f t="shared" si="158"/>
        <v>,"longitude":</v>
      </c>
      <c r="BB95" s="670" t="str">
        <f t="shared" si="158"/>
        <v>,"longitude":</v>
      </c>
      <c r="BC95" s="671" t="str">
        <f t="shared" si="158"/>
        <v>,"longitude":</v>
      </c>
      <c r="BD95" s="577" t="str">
        <f>""</f>
        <v/>
      </c>
      <c r="BG95" s="772">
        <v>350</v>
      </c>
      <c r="BH95" s="785">
        <f>BB5</f>
        <v>12</v>
      </c>
      <c r="BI95" s="774" t="str">
        <f t="shared" si="123"/>
        <v>Q</v>
      </c>
      <c r="BO95" s="675"/>
      <c r="BP95" s="675"/>
      <c r="BQ95" s="675"/>
      <c r="BR95" s="675"/>
      <c r="BS95" s="675"/>
      <c r="BT95" s="675"/>
      <c r="BU95" s="675"/>
      <c r="BV95" s="675"/>
      <c r="DA95" s="585"/>
      <c r="DB95" s="587"/>
      <c r="DC95" s="1288"/>
      <c r="DD95" s="1288"/>
      <c r="DE95" s="1288"/>
      <c r="DF95" s="1288"/>
      <c r="DG95" s="1288"/>
      <c r="DH95" s="1288"/>
      <c r="DI95" s="1288"/>
      <c r="DJ95" s="1288"/>
      <c r="DK95" s="1288"/>
      <c r="DL95" s="1288"/>
      <c r="DM95" s="1288"/>
      <c r="DN95" s="1288"/>
      <c r="DO95" s="1288"/>
      <c r="DP95" s="1288"/>
      <c r="DQ95" s="1288"/>
      <c r="DR95" s="1288"/>
      <c r="DS95" s="1289"/>
    </row>
    <row r="96" spans="19:123" ht="12.75" customHeight="1" thickBot="1" x14ac:dyDescent="0.25">
      <c r="S96" s="585"/>
      <c r="T96" s="672" t="str">
        <f t="shared" ref="T96:BC96" si="159">T21</f>
        <v/>
      </c>
      <c r="U96" s="673" t="str">
        <f t="shared" si="159"/>
        <v/>
      </c>
      <c r="V96" s="673" t="str">
        <f t="shared" si="159"/>
        <v/>
      </c>
      <c r="W96" s="673" t="str">
        <f t="shared" si="159"/>
        <v/>
      </c>
      <c r="X96" s="673" t="str">
        <f t="shared" si="159"/>
        <v/>
      </c>
      <c r="Y96" s="673" t="str">
        <f t="shared" si="159"/>
        <v/>
      </c>
      <c r="Z96" s="673" t="str">
        <f t="shared" si="159"/>
        <v/>
      </c>
      <c r="AA96" s="673" t="str">
        <f t="shared" si="159"/>
        <v/>
      </c>
      <c r="AB96" s="673" t="str">
        <f t="shared" si="159"/>
        <v/>
      </c>
      <c r="AC96" s="673" t="str">
        <f t="shared" si="159"/>
        <v/>
      </c>
      <c r="AD96" s="673" t="str">
        <f t="shared" si="159"/>
        <v/>
      </c>
      <c r="AE96" s="673" t="str">
        <f t="shared" si="159"/>
        <v/>
      </c>
      <c r="AF96" s="673" t="str">
        <f t="shared" si="159"/>
        <v/>
      </c>
      <c r="AG96" s="673" t="str">
        <f t="shared" si="159"/>
        <v/>
      </c>
      <c r="AH96" s="673" t="str">
        <f t="shared" si="159"/>
        <v/>
      </c>
      <c r="AI96" s="673" t="str">
        <f t="shared" si="159"/>
        <v/>
      </c>
      <c r="AJ96" s="673" t="str">
        <f t="shared" si="159"/>
        <v/>
      </c>
      <c r="AK96" s="673" t="str">
        <f t="shared" si="159"/>
        <v/>
      </c>
      <c r="AL96" s="673" t="str">
        <f t="shared" si="159"/>
        <v/>
      </c>
      <c r="AM96" s="673" t="str">
        <f t="shared" si="159"/>
        <v/>
      </c>
      <c r="AN96" s="673" t="str">
        <f t="shared" si="159"/>
        <v/>
      </c>
      <c r="AO96" s="673" t="str">
        <f t="shared" si="159"/>
        <v/>
      </c>
      <c r="AP96" s="673" t="str">
        <f t="shared" si="159"/>
        <v/>
      </c>
      <c r="AQ96" s="673" t="str">
        <f t="shared" si="159"/>
        <v/>
      </c>
      <c r="AR96" s="673" t="str">
        <f t="shared" si="159"/>
        <v/>
      </c>
      <c r="AS96" s="673" t="str">
        <f t="shared" si="159"/>
        <v/>
      </c>
      <c r="AT96" s="673" t="str">
        <f t="shared" si="159"/>
        <v/>
      </c>
      <c r="AU96" s="673" t="str">
        <f t="shared" si="159"/>
        <v/>
      </c>
      <c r="AV96" s="673" t="str">
        <f t="shared" si="159"/>
        <v/>
      </c>
      <c r="AW96" s="673" t="str">
        <f t="shared" si="159"/>
        <v/>
      </c>
      <c r="AX96" s="673" t="str">
        <f t="shared" si="159"/>
        <v/>
      </c>
      <c r="AY96" s="673" t="str">
        <f t="shared" si="159"/>
        <v/>
      </c>
      <c r="AZ96" s="673" t="str">
        <f t="shared" si="159"/>
        <v/>
      </c>
      <c r="BA96" s="673" t="str">
        <f t="shared" si="159"/>
        <v/>
      </c>
      <c r="BB96" s="673" t="str">
        <f t="shared" si="159"/>
        <v/>
      </c>
      <c r="BC96" s="674" t="str">
        <f t="shared" si="159"/>
        <v/>
      </c>
      <c r="BD96" s="577" t="str">
        <f>""</f>
        <v/>
      </c>
      <c r="BG96" s="775">
        <v>360</v>
      </c>
      <c r="BH96" s="786">
        <f>BC5</f>
        <v>12</v>
      </c>
      <c r="BI96" s="776" t="str">
        <f t="shared" si="123"/>
        <v>Q</v>
      </c>
      <c r="BO96" s="675"/>
      <c r="BP96" s="675"/>
      <c r="BQ96" s="675"/>
      <c r="BR96" s="675"/>
      <c r="BS96" s="675"/>
      <c r="BT96" s="675"/>
      <c r="BU96" s="675"/>
      <c r="BV96" s="675"/>
      <c r="DA96" s="585"/>
      <c r="DB96" s="943"/>
      <c r="DC96" s="1288"/>
      <c r="DD96" s="1288"/>
      <c r="DE96" s="1288"/>
      <c r="DF96" s="1288"/>
      <c r="DG96" s="1288"/>
      <c r="DH96" s="1288"/>
      <c r="DI96" s="1288"/>
      <c r="DJ96" s="1288"/>
      <c r="DK96" s="1288"/>
      <c r="DL96" s="1288"/>
      <c r="DM96" s="1288"/>
      <c r="DN96" s="1288"/>
      <c r="DO96" s="1288"/>
      <c r="DP96" s="1288"/>
      <c r="DQ96" s="1288"/>
      <c r="DR96" s="1288"/>
      <c r="DS96" s="1289"/>
    </row>
    <row r="97" spans="19:125" ht="13.5" thickBot="1" x14ac:dyDescent="0.25">
      <c r="S97" s="642" t="s">
        <v>500</v>
      </c>
      <c r="T97" s="654" t="str">
        <f t="shared" ref="T97:BC97" si="160">IF(T89="",T86,CONCATENATE(T86,T87,T88,T89,T90,T91,T92,T93,T94,T95,T96))</f>
        <v>{"direction":10,"fetchPoints":[{"left":{"latitude":0.00307203909640892,"longitude":0.000268768595102742},"right":{"latitude":0.00297869674290592,"longitude":0.0007981393863477</v>
      </c>
      <c r="U97" s="655" t="str">
        <f t="shared" si="160"/>
        <v>{"direction":20,"fetchPoints":[{"left":{"latitude":0.00297869674290592,"longitude":0.000798139387503729},"right":{"latitude":0.00279484819610047,"longitude":0.00130325911648073</v>
      </c>
      <c r="V97" s="655" t="str">
        <f t="shared" si="160"/>
        <v>{"direction":30,"fetchPoints":[{"left":{"latitude":0.00279484819610047,"longitude":0.00130325911836838},"right":{"latitude":0.00252607960109505,"longitude":0.00176877997766961</v>
      </c>
      <c r="W97" s="655" t="str">
        <f t="shared" si="160"/>
        <v>{"direction":40,"fetchPoints":[{"left":{"latitude":0.00252607960109505,"longitude":0.00176877998023152},"right":{"latitude":0.0021805573556912,"longitude":0.00218055735411203</v>
      </c>
      <c r="X97" s="655" t="str">
        <f t="shared" si="160"/>
        <v>{"direction":50,"fetchPoints":[{"left":{"latitude":0.0021805573556912,"longitude":0.00218055735727036},"right":{"latitude":0.00176877997851245,"longitude":0.00252607959863997</v>
      </c>
      <c r="Y97" s="655" t="str">
        <f t="shared" si="160"/>
        <v>{"direction":60,"fetchPoints":[{"left":{"latitude":0.00176877997851245,"longitude":0.00252607960229875},"right":{"latitude":0.00130325911681788,"longitude":0.00279484819277541</v>
      </c>
      <c r="Z97" s="655" t="str">
        <f t="shared" si="160"/>
        <v>{"direction":70,"fetchPoints":[{"left":{"latitude":0.00130325911681788,"longitude":0.00279484819682348},"right":{"latitude":0.000798139386425139,"longitude":0.00297869673888057</v>
      </c>
      <c r="AA97" s="655" t="str">
        <f t="shared" si="160"/>
        <v>{"direction":80,"fetchPoints":[{"left":{"latitude":0.000798139386425139,"longitude":0.00297869674319492},"right":{"latitude":0.000268768594716413,"longitude":0.00307203909199317</v>
      </c>
      <c r="AB97" s="655" t="str">
        <f t="shared" si="160"/>
        <v>{"direction":90,"fetchPoints":[{"left":{"latitude":0.000268768594716413,"longitude":0.00307203909644272},"right":{"latitude":-0.000268768594716414,"longitude":0.00307203909199317</v>
      </c>
      <c r="AC97" s="655" t="str">
        <f t="shared" si="160"/>
        <v>{"direction":100,"fetchPoints":[{"left":{"latitude":-0.000268768594716414,"longitude":0.00307203909644272},"right":{"latitude":-0.00079813938642514,"longitude":0.00297869673888057</v>
      </c>
      <c r="AD97" s="655" t="str">
        <f t="shared" si="160"/>
        <v>{"direction":110,"fetchPoints":[{"left":{"latitude":-0.00079813938642514,"longitude":0.00297869674319492},"right":{"latitude":-0.00130325911681788,"longitude":0.00279484819277541</v>
      </c>
      <c r="AE97" s="655" t="str">
        <f t="shared" si="160"/>
        <v>{"direction":120,"fetchPoints":[{"left":{"latitude":-0.00130325911681788,"longitude":0.00279484819682348},"right":{"latitude":-0.00176877997851245,"longitude":0.00252607959863997</v>
      </c>
      <c r="AF97" s="655" t="str">
        <f t="shared" si="160"/>
        <v>{"direction":130,"fetchPoints":[{"left":{"latitude":-0.00176877997851245,"longitude":0.00252607960229875},"right":{"latitude":-0.0021805573556912,"longitude":0.00218055735411203</v>
      </c>
      <c r="AG97" s="655" t="str">
        <f t="shared" si="160"/>
        <v>{"direction":140,"fetchPoints":[{"left":{"latitude":-0.0021805573556912,"longitude":0.00218055735727036},"right":{"latitude":-0.00252607960109505,"longitude":0.00176877997766961</v>
      </c>
      <c r="AH97" s="655" t="str">
        <f t="shared" si="160"/>
        <v>{"direction":150,"fetchPoints":[{"left":{"latitude":-0.00252607960109505,"longitude":0.00176877998023152},"right":{"latitude":-0.00279484819610047,"longitude":0.00130325911648073</v>
      </c>
      <c r="AI97" s="655" t="str">
        <f t="shared" si="160"/>
        <v>{"direction":160,"fetchPoints":[{"left":{"latitude":-0.00279484819610047,"longitude":0.00130325911836838},"right":{"latitude":-0.00297869674290592,"longitude":0.000798139386347701</v>
      </c>
      <c r="AJ97" s="655" t="str">
        <f t="shared" si="160"/>
        <v>{"direction":170,"fetchPoints":[{"left":{"latitude":-0.00297869674290592,"longitude":0.00079813938750373},"right":{"latitude":-0.00307203909640892,"longitude":0.000268768594713458</v>
      </c>
      <c r="AK97" s="655" t="str">
        <f t="shared" si="160"/>
        <v>{"direction":180,"fetchPoints":[{"left":{"latitude":-0.00307203909640892,"longitude":0.000268768595102743},"right":{"latitude":-0.00307203909640892,"longitude":-0.000268768594713456</v>
      </c>
      <c r="AL97" s="655" t="str">
        <f t="shared" si="160"/>
        <v>{"direction":190,"fetchPoints":[{"left":{"latitude":-0.00307203909640892,"longitude":-0.000268768595102741},"right":{"latitude":-0.00297869674290592,"longitude":-0.000798139386347699</v>
      </c>
      <c r="AM97" s="655" t="str">
        <f t="shared" si="160"/>
        <v>{"direction":200,"fetchPoints":[{"left":{"latitude":-0.00297869674290592,"longitude":-0.000798139387503727},"right":{"latitude":-0.00279484819610047,"longitude":-0.00130325911648073</v>
      </c>
      <c r="AN97" s="655" t="str">
        <f t="shared" si="160"/>
        <v>{"direction":210,"fetchPoints":[{"left":{"latitude":-0.00279484819610047,"longitude":-0.00130325911836838},"right":{"latitude":-0.00252607960109505,"longitude":-0.00176877997766961</v>
      </c>
      <c r="AO97" s="655" t="str">
        <f t="shared" si="160"/>
        <v>{"direction":220,"fetchPoints":[{"left":{"latitude":-0.00252607960109505,"longitude":-0.00176877998023152},"right":{"latitude":-0.0021805573556912,"longitude":-0.00218055735411203</v>
      </c>
      <c r="AP97" s="655" t="str">
        <f t="shared" si="160"/>
        <v>{"direction":230,"fetchPoints":[{"left":{"latitude":-0.0021805573556912,"longitude":-0.00218055735727036},"right":{"latitude":-0.00176877997851246,"longitude":-0.00252607959863997</v>
      </c>
      <c r="AQ97" s="655" t="str">
        <f t="shared" si="160"/>
        <v>{"direction":240,"fetchPoints":[{"left":{"latitude":-0.00176877997851246,"longitude":-0.00252607960229875},"right":{"latitude":-0.00130325911681788,"longitude":-0.00279484819277541</v>
      </c>
      <c r="AR97" s="655" t="str">
        <f t="shared" si="160"/>
        <v>{"direction":250,"fetchPoints":[{"left":{"latitude":-0.00130325911681788,"longitude":-0.00279484819682348},"right":{"latitude":-0.000798139386425139,"longitude":-0.00297869673888057</v>
      </c>
      <c r="AS97" s="655" t="str">
        <f t="shared" si="160"/>
        <v>{"direction":260,"fetchPoints":[{"left":{"latitude":-0.000798139386425139,"longitude":-0.00297869674319492},"right":{"latitude":-0.000268768594716414,"longitude":-0.00307203909199317</v>
      </c>
      <c r="AT97" s="655" t="str">
        <f t="shared" si="160"/>
        <v>{"direction":270,"fetchPoints":[{"left":{"latitude":-0.000268768594716414,"longitude":-0.00307203909644272},"right":{"latitude":0.000268768594716413,"longitude":-0.00307203909199317</v>
      </c>
      <c r="AU97" s="655" t="str">
        <f t="shared" si="160"/>
        <v>{"direction":280,"fetchPoints":[{"left":{"latitude":0.000268768594716413,"longitude":-0.00307203909644272},"right":{"latitude":0.00079813938642514,"longitude":-0.00297869673888057</v>
      </c>
      <c r="AV97" s="655" t="str">
        <f t="shared" si="160"/>
        <v>{"direction":290,"fetchPoints":[{"left":{"latitude":0.00079813938642514,"longitude":-0.00297869674319492},"right":{"latitude":0.00130325911681788,"longitude":-0.00279484819277541</v>
      </c>
      <c r="AW97" s="655" t="str">
        <f t="shared" si="160"/>
        <v>{"direction":300,"fetchPoints":[{"left":{"latitude":0.00130325911681788,"longitude":-0.00279484819682348},"right":{"latitude":0.00176877997851245,"longitude":-0.00252607959863997</v>
      </c>
      <c r="AX97" s="655" t="str">
        <f t="shared" si="160"/>
        <v>{"direction":310,"fetchPoints":[{"left":{"latitude":0.00176877997851245,"longitude":-0.00252607960229875},"right":{"latitude":0.0021805573556912,"longitude":-0.00218055735411203</v>
      </c>
      <c r="AY97" s="655" t="str">
        <f t="shared" si="160"/>
        <v>{"direction":320,"fetchPoints":[{"left":{"latitude":0.0021805573556912,"longitude":-0.00218055735727036},"right":{"latitude":0.00252607960109505,"longitude":-0.00176877997766961</v>
      </c>
      <c r="AZ97" s="655" t="str">
        <f t="shared" si="160"/>
        <v>{"direction":330,"fetchPoints":[{"left":{"latitude":0.00252607960109505,"longitude":-0.00176877998023152},"right":{"latitude":0.00279484819610047,"longitude":-0.00130325911648074</v>
      </c>
      <c r="BA97" s="655" t="str">
        <f t="shared" si="160"/>
        <v>{"direction":340,"fetchPoints":[{"left":{"latitude":0.00279484819610047,"longitude":-0.00130325911836838},"right":{"latitude":0.00297869674290592,"longitude":-0.0007981393863477</v>
      </c>
      <c r="BB97" s="655" t="str">
        <f t="shared" si="160"/>
        <v>{"direction":350,"fetchPoints":[{"left":{"latitude":0.00297869674290592,"longitude":-0.000798139387503728},"right":{"latitude":0.00307203909640892,"longitude":-0.000268768594713457</v>
      </c>
      <c r="BC97" s="656" t="str">
        <f t="shared" si="160"/>
        <v>{"direction":360,"fetchPoints":[{"left":{"latitude":0.00307203909640892,"longitude":-0.000268768595102742},"right":{"latitude":0.00307203909640892,"longitude":0.000268768594713458</v>
      </c>
      <c r="BD97" s="577" t="str">
        <f>""</f>
        <v/>
      </c>
      <c r="BO97" s="675"/>
      <c r="BP97" s="675"/>
      <c r="BQ97" s="675"/>
      <c r="BR97" s="675"/>
      <c r="BS97" s="675"/>
      <c r="BT97" s="675"/>
      <c r="BU97" s="675"/>
      <c r="BV97" s="675"/>
      <c r="DA97" s="585"/>
      <c r="DB97" s="943"/>
      <c r="DC97" s="943"/>
      <c r="DD97" s="943"/>
      <c r="DE97" s="587"/>
      <c r="DF97" s="587"/>
      <c r="DG97" s="587"/>
      <c r="DH97" s="587"/>
      <c r="DI97" s="587"/>
      <c r="DJ97" s="587"/>
      <c r="DK97" s="587"/>
      <c r="DL97" s="587"/>
      <c r="DM97" s="587"/>
      <c r="DN97" s="587"/>
      <c r="DO97" s="587"/>
      <c r="DP97" s="587"/>
      <c r="DQ97" s="587"/>
      <c r="DR97" s="587"/>
      <c r="DS97" s="588"/>
    </row>
    <row r="98" spans="19:125" x14ac:dyDescent="0.2">
      <c r="S98" s="642" t="s">
        <v>446</v>
      </c>
      <c r="T98" s="677" t="str">
        <f>T87</f>
        <v>}},{"left":{</v>
      </c>
      <c r="U98" s="678" t="str">
        <f t="shared" ref="U98:BC98" si="161">T98</f>
        <v>}},{"left":{</v>
      </c>
      <c r="V98" s="678" t="str">
        <f t="shared" si="161"/>
        <v>}},{"left":{</v>
      </c>
      <c r="W98" s="678" t="str">
        <f t="shared" si="161"/>
        <v>}},{"left":{</v>
      </c>
      <c r="X98" s="678" t="str">
        <f t="shared" si="161"/>
        <v>}},{"left":{</v>
      </c>
      <c r="Y98" s="678" t="str">
        <f t="shared" si="161"/>
        <v>}},{"left":{</v>
      </c>
      <c r="Z98" s="678" t="str">
        <f t="shared" si="161"/>
        <v>}},{"left":{</v>
      </c>
      <c r="AA98" s="678" t="str">
        <f t="shared" si="161"/>
        <v>}},{"left":{</v>
      </c>
      <c r="AB98" s="678" t="str">
        <f t="shared" si="161"/>
        <v>}},{"left":{</v>
      </c>
      <c r="AC98" s="678" t="str">
        <f t="shared" si="161"/>
        <v>}},{"left":{</v>
      </c>
      <c r="AD98" s="678" t="str">
        <f t="shared" si="161"/>
        <v>}},{"left":{</v>
      </c>
      <c r="AE98" s="678" t="str">
        <f t="shared" si="161"/>
        <v>}},{"left":{</v>
      </c>
      <c r="AF98" s="678" t="str">
        <f t="shared" si="161"/>
        <v>}},{"left":{</v>
      </c>
      <c r="AG98" s="678" t="str">
        <f t="shared" si="161"/>
        <v>}},{"left":{</v>
      </c>
      <c r="AH98" s="678" t="str">
        <f t="shared" si="161"/>
        <v>}},{"left":{</v>
      </c>
      <c r="AI98" s="678" t="str">
        <f t="shared" si="161"/>
        <v>}},{"left":{</v>
      </c>
      <c r="AJ98" s="678" t="str">
        <f t="shared" si="161"/>
        <v>}},{"left":{</v>
      </c>
      <c r="AK98" s="678" t="str">
        <f t="shared" si="161"/>
        <v>}},{"left":{</v>
      </c>
      <c r="AL98" s="678" t="str">
        <f t="shared" si="161"/>
        <v>}},{"left":{</v>
      </c>
      <c r="AM98" s="678" t="str">
        <f t="shared" si="161"/>
        <v>}},{"left":{</v>
      </c>
      <c r="AN98" s="678" t="str">
        <f t="shared" si="161"/>
        <v>}},{"left":{</v>
      </c>
      <c r="AO98" s="678" t="str">
        <f t="shared" si="161"/>
        <v>}},{"left":{</v>
      </c>
      <c r="AP98" s="678" t="str">
        <f t="shared" si="161"/>
        <v>}},{"left":{</v>
      </c>
      <c r="AQ98" s="678" t="str">
        <f t="shared" si="161"/>
        <v>}},{"left":{</v>
      </c>
      <c r="AR98" s="678" t="str">
        <f t="shared" si="161"/>
        <v>}},{"left":{</v>
      </c>
      <c r="AS98" s="678" t="str">
        <f t="shared" si="161"/>
        <v>}},{"left":{</v>
      </c>
      <c r="AT98" s="678" t="str">
        <f t="shared" si="161"/>
        <v>}},{"left":{</v>
      </c>
      <c r="AU98" s="678" t="str">
        <f t="shared" si="161"/>
        <v>}},{"left":{</v>
      </c>
      <c r="AV98" s="678" t="str">
        <f t="shared" si="161"/>
        <v>}},{"left":{</v>
      </c>
      <c r="AW98" s="678" t="str">
        <f t="shared" si="161"/>
        <v>}},{"left":{</v>
      </c>
      <c r="AX98" s="678" t="str">
        <f t="shared" si="161"/>
        <v>}},{"left":{</v>
      </c>
      <c r="AY98" s="678" t="str">
        <f t="shared" si="161"/>
        <v>}},{"left":{</v>
      </c>
      <c r="AZ98" s="678" t="str">
        <f t="shared" si="161"/>
        <v>}},{"left":{</v>
      </c>
      <c r="BA98" s="678" t="str">
        <f t="shared" si="161"/>
        <v>}},{"left":{</v>
      </c>
      <c r="BB98" s="678" t="str">
        <f t="shared" si="161"/>
        <v>}},{"left":{</v>
      </c>
      <c r="BC98" s="679" t="str">
        <f t="shared" si="161"/>
        <v>}},{"left":{</v>
      </c>
      <c r="BD98" s="577" t="str">
        <f>""</f>
        <v/>
      </c>
      <c r="BO98" s="675"/>
      <c r="BP98" s="675"/>
      <c r="BQ98" s="675"/>
      <c r="BR98" s="675"/>
      <c r="BS98" s="675"/>
      <c r="BT98" s="675"/>
      <c r="BU98" s="675"/>
      <c r="BV98" s="675"/>
      <c r="DA98" s="642" t="s">
        <v>493</v>
      </c>
      <c r="DB98" s="587"/>
      <c r="DC98" s="587"/>
      <c r="DD98" s="943"/>
      <c r="DE98" s="587"/>
      <c r="DF98" s="587"/>
      <c r="DG98" s="587"/>
      <c r="DH98" s="587"/>
      <c r="DI98" s="587"/>
      <c r="DJ98" s="587"/>
      <c r="DK98" s="587"/>
      <c r="DL98" s="587"/>
      <c r="DM98" s="587"/>
      <c r="DN98" s="587"/>
      <c r="DO98" s="587"/>
      <c r="DP98" s="587"/>
      <c r="DQ98" s="587"/>
      <c r="DR98" s="587"/>
      <c r="DS98" s="588"/>
    </row>
    <row r="99" spans="19:125" x14ac:dyDescent="0.2">
      <c r="S99" s="585"/>
      <c r="T99" s="680" t="str">
        <f>T88</f>
        <v>"latitude":</v>
      </c>
      <c r="U99" s="681" t="str">
        <f t="shared" ref="U99:BC99" si="162">T99</f>
        <v>"latitude":</v>
      </c>
      <c r="V99" s="681" t="str">
        <f t="shared" si="162"/>
        <v>"latitude":</v>
      </c>
      <c r="W99" s="681" t="str">
        <f t="shared" si="162"/>
        <v>"latitude":</v>
      </c>
      <c r="X99" s="681" t="str">
        <f t="shared" si="162"/>
        <v>"latitude":</v>
      </c>
      <c r="Y99" s="681" t="str">
        <f t="shared" si="162"/>
        <v>"latitude":</v>
      </c>
      <c r="Z99" s="681" t="str">
        <f t="shared" si="162"/>
        <v>"latitude":</v>
      </c>
      <c r="AA99" s="681" t="str">
        <f t="shared" si="162"/>
        <v>"latitude":</v>
      </c>
      <c r="AB99" s="681" t="str">
        <f t="shared" si="162"/>
        <v>"latitude":</v>
      </c>
      <c r="AC99" s="681" t="str">
        <f t="shared" si="162"/>
        <v>"latitude":</v>
      </c>
      <c r="AD99" s="681" t="str">
        <f t="shared" si="162"/>
        <v>"latitude":</v>
      </c>
      <c r="AE99" s="681" t="str">
        <f t="shared" si="162"/>
        <v>"latitude":</v>
      </c>
      <c r="AF99" s="681" t="str">
        <f t="shared" si="162"/>
        <v>"latitude":</v>
      </c>
      <c r="AG99" s="681" t="str">
        <f t="shared" si="162"/>
        <v>"latitude":</v>
      </c>
      <c r="AH99" s="681" t="str">
        <f t="shared" si="162"/>
        <v>"latitude":</v>
      </c>
      <c r="AI99" s="681" t="str">
        <f t="shared" si="162"/>
        <v>"latitude":</v>
      </c>
      <c r="AJ99" s="681" t="str">
        <f t="shared" si="162"/>
        <v>"latitude":</v>
      </c>
      <c r="AK99" s="681" t="str">
        <f t="shared" si="162"/>
        <v>"latitude":</v>
      </c>
      <c r="AL99" s="681" t="str">
        <f t="shared" si="162"/>
        <v>"latitude":</v>
      </c>
      <c r="AM99" s="681" t="str">
        <f t="shared" si="162"/>
        <v>"latitude":</v>
      </c>
      <c r="AN99" s="681" t="str">
        <f t="shared" si="162"/>
        <v>"latitude":</v>
      </c>
      <c r="AO99" s="681" t="str">
        <f t="shared" si="162"/>
        <v>"latitude":</v>
      </c>
      <c r="AP99" s="681" t="str">
        <f t="shared" si="162"/>
        <v>"latitude":</v>
      </c>
      <c r="AQ99" s="681" t="str">
        <f t="shared" si="162"/>
        <v>"latitude":</v>
      </c>
      <c r="AR99" s="681" t="str">
        <f t="shared" si="162"/>
        <v>"latitude":</v>
      </c>
      <c r="AS99" s="681" t="str">
        <f t="shared" si="162"/>
        <v>"latitude":</v>
      </c>
      <c r="AT99" s="681" t="str">
        <f t="shared" si="162"/>
        <v>"latitude":</v>
      </c>
      <c r="AU99" s="681" t="str">
        <f t="shared" si="162"/>
        <v>"latitude":</v>
      </c>
      <c r="AV99" s="681" t="str">
        <f t="shared" si="162"/>
        <v>"latitude":</v>
      </c>
      <c r="AW99" s="681" t="str">
        <f t="shared" si="162"/>
        <v>"latitude":</v>
      </c>
      <c r="AX99" s="681" t="str">
        <f t="shared" si="162"/>
        <v>"latitude":</v>
      </c>
      <c r="AY99" s="681" t="str">
        <f t="shared" si="162"/>
        <v>"latitude":</v>
      </c>
      <c r="AZ99" s="681" t="str">
        <f t="shared" si="162"/>
        <v>"latitude":</v>
      </c>
      <c r="BA99" s="681" t="str">
        <f t="shared" si="162"/>
        <v>"latitude":</v>
      </c>
      <c r="BB99" s="681" t="str">
        <f t="shared" si="162"/>
        <v>"latitude":</v>
      </c>
      <c r="BC99" s="682" t="str">
        <f t="shared" si="162"/>
        <v>"latitude":</v>
      </c>
      <c r="BD99" s="577" t="str">
        <f>""</f>
        <v/>
      </c>
      <c r="BO99" s="675"/>
      <c r="BP99" s="675"/>
      <c r="BQ99" s="675"/>
      <c r="BR99" s="675"/>
      <c r="BS99" s="675"/>
      <c r="BT99" s="675"/>
      <c r="BU99" s="675"/>
      <c r="BV99" s="675"/>
      <c r="DA99" s="585"/>
      <c r="DB99" s="587"/>
      <c r="DC99" s="587"/>
      <c r="DD99" s="943"/>
      <c r="DE99" s="587"/>
      <c r="DF99" s="587"/>
      <c r="DG99" s="587"/>
      <c r="DH99" s="587"/>
      <c r="DI99" s="587"/>
      <c r="DJ99" s="587"/>
      <c r="DK99" s="587"/>
      <c r="DL99" s="587"/>
      <c r="DM99" s="587"/>
      <c r="DN99" s="587"/>
      <c r="DO99" s="587"/>
      <c r="DP99" s="587"/>
      <c r="DQ99" s="587"/>
      <c r="DR99" s="587"/>
      <c r="DS99" s="588"/>
    </row>
    <row r="100" spans="19:125" ht="13.5" thickBot="1" x14ac:dyDescent="0.25">
      <c r="S100" s="585"/>
      <c r="T100" s="683" t="str">
        <f t="shared" ref="T100:BC100" si="163">T23</f>
        <v/>
      </c>
      <c r="U100" s="684" t="str">
        <f t="shared" si="163"/>
        <v/>
      </c>
      <c r="V100" s="684" t="str">
        <f t="shared" si="163"/>
        <v/>
      </c>
      <c r="W100" s="684" t="str">
        <f t="shared" si="163"/>
        <v/>
      </c>
      <c r="X100" s="684" t="str">
        <f t="shared" si="163"/>
        <v/>
      </c>
      <c r="Y100" s="684" t="str">
        <f t="shared" si="163"/>
        <v/>
      </c>
      <c r="Z100" s="684" t="str">
        <f t="shared" si="163"/>
        <v/>
      </c>
      <c r="AA100" s="684" t="str">
        <f t="shared" si="163"/>
        <v/>
      </c>
      <c r="AB100" s="684" t="str">
        <f t="shared" si="163"/>
        <v/>
      </c>
      <c r="AC100" s="684" t="str">
        <f t="shared" si="163"/>
        <v/>
      </c>
      <c r="AD100" s="684" t="str">
        <f t="shared" si="163"/>
        <v/>
      </c>
      <c r="AE100" s="684" t="str">
        <f t="shared" si="163"/>
        <v/>
      </c>
      <c r="AF100" s="684" t="str">
        <f t="shared" si="163"/>
        <v/>
      </c>
      <c r="AG100" s="684" t="str">
        <f t="shared" si="163"/>
        <v/>
      </c>
      <c r="AH100" s="684" t="str">
        <f t="shared" si="163"/>
        <v/>
      </c>
      <c r="AI100" s="684" t="str">
        <f t="shared" si="163"/>
        <v/>
      </c>
      <c r="AJ100" s="684" t="str">
        <f t="shared" si="163"/>
        <v/>
      </c>
      <c r="AK100" s="684" t="str">
        <f t="shared" si="163"/>
        <v/>
      </c>
      <c r="AL100" s="684" t="str">
        <f t="shared" si="163"/>
        <v/>
      </c>
      <c r="AM100" s="684" t="str">
        <f t="shared" si="163"/>
        <v/>
      </c>
      <c r="AN100" s="684" t="str">
        <f t="shared" si="163"/>
        <v/>
      </c>
      <c r="AO100" s="684" t="str">
        <f t="shared" si="163"/>
        <v/>
      </c>
      <c r="AP100" s="684" t="str">
        <f t="shared" si="163"/>
        <v/>
      </c>
      <c r="AQ100" s="684" t="str">
        <f t="shared" si="163"/>
        <v/>
      </c>
      <c r="AR100" s="684" t="str">
        <f t="shared" si="163"/>
        <v/>
      </c>
      <c r="AS100" s="684" t="str">
        <f t="shared" si="163"/>
        <v/>
      </c>
      <c r="AT100" s="684" t="str">
        <f t="shared" si="163"/>
        <v/>
      </c>
      <c r="AU100" s="684" t="str">
        <f t="shared" si="163"/>
        <v/>
      </c>
      <c r="AV100" s="684" t="str">
        <f t="shared" si="163"/>
        <v/>
      </c>
      <c r="AW100" s="684" t="str">
        <f t="shared" si="163"/>
        <v/>
      </c>
      <c r="AX100" s="684" t="str">
        <f t="shared" si="163"/>
        <v/>
      </c>
      <c r="AY100" s="684" t="str">
        <f t="shared" si="163"/>
        <v/>
      </c>
      <c r="AZ100" s="684" t="str">
        <f t="shared" si="163"/>
        <v/>
      </c>
      <c r="BA100" s="684" t="str">
        <f t="shared" si="163"/>
        <v/>
      </c>
      <c r="BB100" s="684" t="str">
        <f t="shared" si="163"/>
        <v/>
      </c>
      <c r="BC100" s="685" t="str">
        <f t="shared" si="163"/>
        <v/>
      </c>
      <c r="BD100" s="577" t="str">
        <f>""</f>
        <v/>
      </c>
      <c r="BO100" s="675"/>
      <c r="BP100" s="675"/>
      <c r="BQ100" s="675"/>
      <c r="BR100" s="675"/>
      <c r="BS100" s="675"/>
      <c r="BT100" s="675"/>
      <c r="BU100" s="675"/>
      <c r="BV100" s="675"/>
      <c r="DA100" s="944"/>
      <c r="DB100" s="945"/>
      <c r="DC100" s="883" t="str">
        <f>CW79</f>
        <v>"sectorGroups":[[10,20,30,40,50,60,70,80,90,100,110,120,130,140,150,160,170,180,190,200,210,220,230,240,250,260,270,280,290,300,310,320,330,340,350,360]]}}</v>
      </c>
      <c r="DD100" s="946"/>
      <c r="DE100" s="883"/>
      <c r="DF100" s="883"/>
      <c r="DG100" s="883"/>
      <c r="DH100" s="883"/>
      <c r="DI100" s="883"/>
      <c r="DJ100" s="883"/>
      <c r="DK100" s="883"/>
      <c r="DL100" s="883"/>
      <c r="DM100" s="883"/>
      <c r="DN100" s="883"/>
      <c r="DO100" s="883"/>
      <c r="DP100" s="883"/>
      <c r="DQ100" s="883"/>
      <c r="DR100" s="883"/>
      <c r="DS100" s="884"/>
    </row>
    <row r="101" spans="19:125" x14ac:dyDescent="0.2">
      <c r="S101" s="585"/>
      <c r="T101" s="680" t="str">
        <f>T90</f>
        <v>,"longitude":</v>
      </c>
      <c r="U101" s="681" t="str">
        <f t="shared" ref="U101:BC101" si="164">T101</f>
        <v>,"longitude":</v>
      </c>
      <c r="V101" s="681" t="str">
        <f t="shared" si="164"/>
        <v>,"longitude":</v>
      </c>
      <c r="W101" s="681" t="str">
        <f t="shared" si="164"/>
        <v>,"longitude":</v>
      </c>
      <c r="X101" s="681" t="str">
        <f t="shared" si="164"/>
        <v>,"longitude":</v>
      </c>
      <c r="Y101" s="681" t="str">
        <f t="shared" si="164"/>
        <v>,"longitude":</v>
      </c>
      <c r="Z101" s="681" t="str">
        <f t="shared" si="164"/>
        <v>,"longitude":</v>
      </c>
      <c r="AA101" s="681" t="str">
        <f t="shared" si="164"/>
        <v>,"longitude":</v>
      </c>
      <c r="AB101" s="681" t="str">
        <f t="shared" si="164"/>
        <v>,"longitude":</v>
      </c>
      <c r="AC101" s="681" t="str">
        <f t="shared" si="164"/>
        <v>,"longitude":</v>
      </c>
      <c r="AD101" s="681" t="str">
        <f t="shared" si="164"/>
        <v>,"longitude":</v>
      </c>
      <c r="AE101" s="681" t="str">
        <f t="shared" si="164"/>
        <v>,"longitude":</v>
      </c>
      <c r="AF101" s="681" t="str">
        <f t="shared" si="164"/>
        <v>,"longitude":</v>
      </c>
      <c r="AG101" s="681" t="str">
        <f t="shared" si="164"/>
        <v>,"longitude":</v>
      </c>
      <c r="AH101" s="681" t="str">
        <f t="shared" si="164"/>
        <v>,"longitude":</v>
      </c>
      <c r="AI101" s="681" t="str">
        <f t="shared" si="164"/>
        <v>,"longitude":</v>
      </c>
      <c r="AJ101" s="681" t="str">
        <f t="shared" si="164"/>
        <v>,"longitude":</v>
      </c>
      <c r="AK101" s="681" t="str">
        <f t="shared" si="164"/>
        <v>,"longitude":</v>
      </c>
      <c r="AL101" s="681" t="str">
        <f t="shared" si="164"/>
        <v>,"longitude":</v>
      </c>
      <c r="AM101" s="681" t="str">
        <f t="shared" si="164"/>
        <v>,"longitude":</v>
      </c>
      <c r="AN101" s="681" t="str">
        <f t="shared" si="164"/>
        <v>,"longitude":</v>
      </c>
      <c r="AO101" s="681" t="str">
        <f t="shared" si="164"/>
        <v>,"longitude":</v>
      </c>
      <c r="AP101" s="681" t="str">
        <f t="shared" si="164"/>
        <v>,"longitude":</v>
      </c>
      <c r="AQ101" s="681" t="str">
        <f t="shared" si="164"/>
        <v>,"longitude":</v>
      </c>
      <c r="AR101" s="681" t="str">
        <f t="shared" si="164"/>
        <v>,"longitude":</v>
      </c>
      <c r="AS101" s="681" t="str">
        <f t="shared" si="164"/>
        <v>,"longitude":</v>
      </c>
      <c r="AT101" s="681" t="str">
        <f t="shared" si="164"/>
        <v>,"longitude":</v>
      </c>
      <c r="AU101" s="681" t="str">
        <f t="shared" si="164"/>
        <v>,"longitude":</v>
      </c>
      <c r="AV101" s="681" t="str">
        <f t="shared" si="164"/>
        <v>,"longitude":</v>
      </c>
      <c r="AW101" s="681" t="str">
        <f t="shared" si="164"/>
        <v>,"longitude":</v>
      </c>
      <c r="AX101" s="681" t="str">
        <f t="shared" si="164"/>
        <v>,"longitude":</v>
      </c>
      <c r="AY101" s="681" t="str">
        <f t="shared" si="164"/>
        <v>,"longitude":</v>
      </c>
      <c r="AZ101" s="681" t="str">
        <f t="shared" si="164"/>
        <v>,"longitude":</v>
      </c>
      <c r="BA101" s="681" t="str">
        <f t="shared" si="164"/>
        <v>,"longitude":</v>
      </c>
      <c r="BB101" s="681" t="str">
        <f t="shared" si="164"/>
        <v>,"longitude":</v>
      </c>
      <c r="BC101" s="682" t="str">
        <f t="shared" si="164"/>
        <v>,"longitude":</v>
      </c>
      <c r="BD101" s="577" t="str">
        <f>""</f>
        <v/>
      </c>
      <c r="BO101" s="675"/>
      <c r="BP101" s="675"/>
      <c r="BQ101" s="675"/>
      <c r="BR101" s="675"/>
      <c r="BS101" s="675"/>
      <c r="BT101" s="675"/>
      <c r="BU101" s="675"/>
      <c r="BV101" s="675"/>
      <c r="DS101" s="675"/>
      <c r="DT101" s="675"/>
      <c r="DU101" s="675"/>
    </row>
    <row r="102" spans="19:125" x14ac:dyDescent="0.2">
      <c r="S102" s="585"/>
      <c r="T102" s="683" t="str">
        <f t="shared" ref="T102:BC102" si="165">T24</f>
        <v/>
      </c>
      <c r="U102" s="684" t="str">
        <f t="shared" si="165"/>
        <v/>
      </c>
      <c r="V102" s="684" t="str">
        <f t="shared" si="165"/>
        <v/>
      </c>
      <c r="W102" s="684" t="str">
        <f t="shared" si="165"/>
        <v/>
      </c>
      <c r="X102" s="684" t="str">
        <f t="shared" si="165"/>
        <v/>
      </c>
      <c r="Y102" s="684" t="str">
        <f t="shared" si="165"/>
        <v/>
      </c>
      <c r="Z102" s="684" t="str">
        <f t="shared" si="165"/>
        <v/>
      </c>
      <c r="AA102" s="684" t="str">
        <f t="shared" si="165"/>
        <v/>
      </c>
      <c r="AB102" s="684" t="str">
        <f t="shared" si="165"/>
        <v/>
      </c>
      <c r="AC102" s="684" t="str">
        <f t="shared" si="165"/>
        <v/>
      </c>
      <c r="AD102" s="684" t="str">
        <f t="shared" si="165"/>
        <v/>
      </c>
      <c r="AE102" s="684" t="str">
        <f t="shared" si="165"/>
        <v/>
      </c>
      <c r="AF102" s="684" t="str">
        <f t="shared" si="165"/>
        <v/>
      </c>
      <c r="AG102" s="684" t="str">
        <f t="shared" si="165"/>
        <v/>
      </c>
      <c r="AH102" s="684" t="str">
        <f t="shared" si="165"/>
        <v/>
      </c>
      <c r="AI102" s="684" t="str">
        <f t="shared" si="165"/>
        <v/>
      </c>
      <c r="AJ102" s="684" t="str">
        <f t="shared" si="165"/>
        <v/>
      </c>
      <c r="AK102" s="684" t="str">
        <f t="shared" si="165"/>
        <v/>
      </c>
      <c r="AL102" s="684" t="str">
        <f t="shared" si="165"/>
        <v/>
      </c>
      <c r="AM102" s="684" t="str">
        <f t="shared" si="165"/>
        <v/>
      </c>
      <c r="AN102" s="684" t="str">
        <f t="shared" si="165"/>
        <v/>
      </c>
      <c r="AO102" s="684" t="str">
        <f t="shared" si="165"/>
        <v/>
      </c>
      <c r="AP102" s="684" t="str">
        <f t="shared" si="165"/>
        <v/>
      </c>
      <c r="AQ102" s="684" t="str">
        <f t="shared" si="165"/>
        <v/>
      </c>
      <c r="AR102" s="684" t="str">
        <f t="shared" si="165"/>
        <v/>
      </c>
      <c r="AS102" s="684" t="str">
        <f t="shared" si="165"/>
        <v/>
      </c>
      <c r="AT102" s="684" t="str">
        <f t="shared" si="165"/>
        <v/>
      </c>
      <c r="AU102" s="684" t="str">
        <f t="shared" si="165"/>
        <v/>
      </c>
      <c r="AV102" s="684" t="str">
        <f t="shared" si="165"/>
        <v/>
      </c>
      <c r="AW102" s="684" t="str">
        <f t="shared" si="165"/>
        <v/>
      </c>
      <c r="AX102" s="684" t="str">
        <f t="shared" si="165"/>
        <v/>
      </c>
      <c r="AY102" s="684" t="str">
        <f t="shared" si="165"/>
        <v/>
      </c>
      <c r="AZ102" s="684" t="str">
        <f t="shared" si="165"/>
        <v/>
      </c>
      <c r="BA102" s="684" t="str">
        <f t="shared" si="165"/>
        <v/>
      </c>
      <c r="BB102" s="684" t="str">
        <f t="shared" si="165"/>
        <v/>
      </c>
      <c r="BC102" s="685" t="str">
        <f t="shared" si="165"/>
        <v/>
      </c>
      <c r="BD102" s="577" t="str">
        <f>""</f>
        <v/>
      </c>
      <c r="BO102" s="675"/>
      <c r="BP102" s="675"/>
      <c r="BQ102" s="675"/>
      <c r="BR102" s="675"/>
      <c r="BS102" s="675"/>
      <c r="BT102" s="675"/>
      <c r="BU102" s="675"/>
      <c r="BV102" s="675"/>
      <c r="CP102" s="675"/>
      <c r="CQ102" s="675"/>
      <c r="CR102" s="675"/>
    </row>
    <row r="103" spans="19:125" x14ac:dyDescent="0.2">
      <c r="S103" s="585"/>
      <c r="T103" s="680" t="str">
        <f>T92</f>
        <v>},"right":{</v>
      </c>
      <c r="U103" s="681" t="str">
        <f t="shared" ref="U103:BC103" si="166">T103</f>
        <v>},"right":{</v>
      </c>
      <c r="V103" s="681" t="str">
        <f t="shared" si="166"/>
        <v>},"right":{</v>
      </c>
      <c r="W103" s="681" t="str">
        <f t="shared" si="166"/>
        <v>},"right":{</v>
      </c>
      <c r="X103" s="681" t="str">
        <f t="shared" si="166"/>
        <v>},"right":{</v>
      </c>
      <c r="Y103" s="681" t="str">
        <f t="shared" si="166"/>
        <v>},"right":{</v>
      </c>
      <c r="Z103" s="681" t="str">
        <f t="shared" si="166"/>
        <v>},"right":{</v>
      </c>
      <c r="AA103" s="681" t="str">
        <f t="shared" si="166"/>
        <v>},"right":{</v>
      </c>
      <c r="AB103" s="681" t="str">
        <f t="shared" si="166"/>
        <v>},"right":{</v>
      </c>
      <c r="AC103" s="681" t="str">
        <f t="shared" si="166"/>
        <v>},"right":{</v>
      </c>
      <c r="AD103" s="681" t="str">
        <f t="shared" si="166"/>
        <v>},"right":{</v>
      </c>
      <c r="AE103" s="681" t="str">
        <f t="shared" si="166"/>
        <v>},"right":{</v>
      </c>
      <c r="AF103" s="681" t="str">
        <f t="shared" si="166"/>
        <v>},"right":{</v>
      </c>
      <c r="AG103" s="681" t="str">
        <f t="shared" si="166"/>
        <v>},"right":{</v>
      </c>
      <c r="AH103" s="681" t="str">
        <f t="shared" si="166"/>
        <v>},"right":{</v>
      </c>
      <c r="AI103" s="681" t="str">
        <f t="shared" si="166"/>
        <v>},"right":{</v>
      </c>
      <c r="AJ103" s="681" t="str">
        <f t="shared" si="166"/>
        <v>},"right":{</v>
      </c>
      <c r="AK103" s="681" t="str">
        <f t="shared" si="166"/>
        <v>},"right":{</v>
      </c>
      <c r="AL103" s="681" t="str">
        <f t="shared" si="166"/>
        <v>},"right":{</v>
      </c>
      <c r="AM103" s="681" t="str">
        <f t="shared" si="166"/>
        <v>},"right":{</v>
      </c>
      <c r="AN103" s="681" t="str">
        <f t="shared" si="166"/>
        <v>},"right":{</v>
      </c>
      <c r="AO103" s="681" t="str">
        <f t="shared" si="166"/>
        <v>},"right":{</v>
      </c>
      <c r="AP103" s="681" t="str">
        <f t="shared" si="166"/>
        <v>},"right":{</v>
      </c>
      <c r="AQ103" s="681" t="str">
        <f t="shared" si="166"/>
        <v>},"right":{</v>
      </c>
      <c r="AR103" s="681" t="str">
        <f t="shared" si="166"/>
        <v>},"right":{</v>
      </c>
      <c r="AS103" s="681" t="str">
        <f t="shared" si="166"/>
        <v>},"right":{</v>
      </c>
      <c r="AT103" s="681" t="str">
        <f t="shared" si="166"/>
        <v>},"right":{</v>
      </c>
      <c r="AU103" s="681" t="str">
        <f t="shared" si="166"/>
        <v>},"right":{</v>
      </c>
      <c r="AV103" s="681" t="str">
        <f t="shared" si="166"/>
        <v>},"right":{</v>
      </c>
      <c r="AW103" s="681" t="str">
        <f t="shared" si="166"/>
        <v>},"right":{</v>
      </c>
      <c r="AX103" s="681" t="str">
        <f t="shared" si="166"/>
        <v>},"right":{</v>
      </c>
      <c r="AY103" s="681" t="str">
        <f t="shared" si="166"/>
        <v>},"right":{</v>
      </c>
      <c r="AZ103" s="681" t="str">
        <f t="shared" si="166"/>
        <v>},"right":{</v>
      </c>
      <c r="BA103" s="681" t="str">
        <f t="shared" si="166"/>
        <v>},"right":{</v>
      </c>
      <c r="BB103" s="681" t="str">
        <f t="shared" si="166"/>
        <v>},"right":{</v>
      </c>
      <c r="BC103" s="682" t="str">
        <f t="shared" si="166"/>
        <v>},"right":{</v>
      </c>
      <c r="BD103" s="577" t="str">
        <f>""</f>
        <v/>
      </c>
      <c r="BO103" s="675"/>
      <c r="BP103" s="675"/>
      <c r="BQ103" s="675"/>
      <c r="BR103" s="675"/>
      <c r="BS103" s="675"/>
      <c r="BT103" s="675"/>
      <c r="BU103" s="675"/>
      <c r="BV103" s="675"/>
      <c r="CP103" s="675"/>
      <c r="CQ103" s="675"/>
      <c r="CR103" s="675"/>
    </row>
    <row r="104" spans="19:125" x14ac:dyDescent="0.2">
      <c r="S104" s="585"/>
      <c r="T104" s="680" t="str">
        <f>T93</f>
        <v>"latitude":</v>
      </c>
      <c r="U104" s="681" t="str">
        <f t="shared" ref="U104:BC104" si="167">T104</f>
        <v>"latitude":</v>
      </c>
      <c r="V104" s="681" t="str">
        <f t="shared" si="167"/>
        <v>"latitude":</v>
      </c>
      <c r="W104" s="681" t="str">
        <f t="shared" si="167"/>
        <v>"latitude":</v>
      </c>
      <c r="X104" s="681" t="str">
        <f t="shared" si="167"/>
        <v>"latitude":</v>
      </c>
      <c r="Y104" s="681" t="str">
        <f t="shared" si="167"/>
        <v>"latitude":</v>
      </c>
      <c r="Z104" s="681" t="str">
        <f t="shared" si="167"/>
        <v>"latitude":</v>
      </c>
      <c r="AA104" s="681" t="str">
        <f t="shared" si="167"/>
        <v>"latitude":</v>
      </c>
      <c r="AB104" s="681" t="str">
        <f t="shared" si="167"/>
        <v>"latitude":</v>
      </c>
      <c r="AC104" s="681" t="str">
        <f t="shared" si="167"/>
        <v>"latitude":</v>
      </c>
      <c r="AD104" s="681" t="str">
        <f t="shared" si="167"/>
        <v>"latitude":</v>
      </c>
      <c r="AE104" s="681" t="str">
        <f t="shared" si="167"/>
        <v>"latitude":</v>
      </c>
      <c r="AF104" s="681" t="str">
        <f t="shared" si="167"/>
        <v>"latitude":</v>
      </c>
      <c r="AG104" s="681" t="str">
        <f t="shared" si="167"/>
        <v>"latitude":</v>
      </c>
      <c r="AH104" s="681" t="str">
        <f t="shared" si="167"/>
        <v>"latitude":</v>
      </c>
      <c r="AI104" s="681" t="str">
        <f t="shared" si="167"/>
        <v>"latitude":</v>
      </c>
      <c r="AJ104" s="681" t="str">
        <f t="shared" si="167"/>
        <v>"latitude":</v>
      </c>
      <c r="AK104" s="681" t="str">
        <f t="shared" si="167"/>
        <v>"latitude":</v>
      </c>
      <c r="AL104" s="681" t="str">
        <f t="shared" si="167"/>
        <v>"latitude":</v>
      </c>
      <c r="AM104" s="681" t="str">
        <f t="shared" si="167"/>
        <v>"latitude":</v>
      </c>
      <c r="AN104" s="681" t="str">
        <f t="shared" si="167"/>
        <v>"latitude":</v>
      </c>
      <c r="AO104" s="681" t="str">
        <f t="shared" si="167"/>
        <v>"latitude":</v>
      </c>
      <c r="AP104" s="681" t="str">
        <f t="shared" si="167"/>
        <v>"latitude":</v>
      </c>
      <c r="AQ104" s="681" t="str">
        <f t="shared" si="167"/>
        <v>"latitude":</v>
      </c>
      <c r="AR104" s="681" t="str">
        <f t="shared" si="167"/>
        <v>"latitude":</v>
      </c>
      <c r="AS104" s="681" t="str">
        <f t="shared" si="167"/>
        <v>"latitude":</v>
      </c>
      <c r="AT104" s="681" t="str">
        <f t="shared" si="167"/>
        <v>"latitude":</v>
      </c>
      <c r="AU104" s="681" t="str">
        <f t="shared" si="167"/>
        <v>"latitude":</v>
      </c>
      <c r="AV104" s="681" t="str">
        <f t="shared" si="167"/>
        <v>"latitude":</v>
      </c>
      <c r="AW104" s="681" t="str">
        <f t="shared" si="167"/>
        <v>"latitude":</v>
      </c>
      <c r="AX104" s="681" t="str">
        <f t="shared" si="167"/>
        <v>"latitude":</v>
      </c>
      <c r="AY104" s="681" t="str">
        <f t="shared" si="167"/>
        <v>"latitude":</v>
      </c>
      <c r="AZ104" s="681" t="str">
        <f t="shared" si="167"/>
        <v>"latitude":</v>
      </c>
      <c r="BA104" s="681" t="str">
        <f t="shared" si="167"/>
        <v>"latitude":</v>
      </c>
      <c r="BB104" s="681" t="str">
        <f t="shared" si="167"/>
        <v>"latitude":</v>
      </c>
      <c r="BC104" s="682" t="str">
        <f t="shared" si="167"/>
        <v>"latitude":</v>
      </c>
      <c r="BD104" s="577" t="str">
        <f>""</f>
        <v/>
      </c>
      <c r="BO104" s="675"/>
      <c r="BP104" s="675"/>
      <c r="BQ104" s="675"/>
      <c r="BR104" s="675"/>
      <c r="BS104" s="675"/>
      <c r="BT104" s="675"/>
      <c r="BU104" s="675"/>
      <c r="BV104" s="675"/>
      <c r="CP104" s="675"/>
      <c r="CQ104" s="675"/>
      <c r="CR104" s="675"/>
    </row>
    <row r="105" spans="19:125" x14ac:dyDescent="0.2">
      <c r="S105" s="585"/>
      <c r="T105" s="683" t="str">
        <f t="shared" ref="T105:BC105" si="168">T25</f>
        <v/>
      </c>
      <c r="U105" s="684" t="str">
        <f t="shared" si="168"/>
        <v/>
      </c>
      <c r="V105" s="684" t="str">
        <f t="shared" si="168"/>
        <v/>
      </c>
      <c r="W105" s="684" t="str">
        <f t="shared" si="168"/>
        <v/>
      </c>
      <c r="X105" s="684" t="str">
        <f t="shared" si="168"/>
        <v/>
      </c>
      <c r="Y105" s="684" t="str">
        <f t="shared" si="168"/>
        <v/>
      </c>
      <c r="Z105" s="684" t="str">
        <f t="shared" si="168"/>
        <v/>
      </c>
      <c r="AA105" s="684" t="str">
        <f t="shared" si="168"/>
        <v/>
      </c>
      <c r="AB105" s="684" t="str">
        <f t="shared" si="168"/>
        <v/>
      </c>
      <c r="AC105" s="684" t="str">
        <f t="shared" si="168"/>
        <v/>
      </c>
      <c r="AD105" s="684" t="str">
        <f t="shared" si="168"/>
        <v/>
      </c>
      <c r="AE105" s="684" t="str">
        <f t="shared" si="168"/>
        <v/>
      </c>
      <c r="AF105" s="684" t="str">
        <f t="shared" si="168"/>
        <v/>
      </c>
      <c r="AG105" s="684" t="str">
        <f t="shared" si="168"/>
        <v/>
      </c>
      <c r="AH105" s="684" t="str">
        <f t="shared" si="168"/>
        <v/>
      </c>
      <c r="AI105" s="684" t="str">
        <f t="shared" si="168"/>
        <v/>
      </c>
      <c r="AJ105" s="684" t="str">
        <f t="shared" si="168"/>
        <v/>
      </c>
      <c r="AK105" s="684" t="str">
        <f t="shared" si="168"/>
        <v/>
      </c>
      <c r="AL105" s="684" t="str">
        <f t="shared" si="168"/>
        <v/>
      </c>
      <c r="AM105" s="684" t="str">
        <f t="shared" si="168"/>
        <v/>
      </c>
      <c r="AN105" s="684" t="str">
        <f t="shared" si="168"/>
        <v/>
      </c>
      <c r="AO105" s="684" t="str">
        <f t="shared" si="168"/>
        <v/>
      </c>
      <c r="AP105" s="684" t="str">
        <f t="shared" si="168"/>
        <v/>
      </c>
      <c r="AQ105" s="684" t="str">
        <f t="shared" si="168"/>
        <v/>
      </c>
      <c r="AR105" s="684" t="str">
        <f t="shared" si="168"/>
        <v/>
      </c>
      <c r="AS105" s="684" t="str">
        <f t="shared" si="168"/>
        <v/>
      </c>
      <c r="AT105" s="684" t="str">
        <f t="shared" si="168"/>
        <v/>
      </c>
      <c r="AU105" s="684" t="str">
        <f t="shared" si="168"/>
        <v/>
      </c>
      <c r="AV105" s="684" t="str">
        <f t="shared" si="168"/>
        <v/>
      </c>
      <c r="AW105" s="684" t="str">
        <f t="shared" si="168"/>
        <v/>
      </c>
      <c r="AX105" s="684" t="str">
        <f t="shared" si="168"/>
        <v/>
      </c>
      <c r="AY105" s="684" t="str">
        <f t="shared" si="168"/>
        <v/>
      </c>
      <c r="AZ105" s="684" t="str">
        <f t="shared" si="168"/>
        <v/>
      </c>
      <c r="BA105" s="684" t="str">
        <f t="shared" si="168"/>
        <v/>
      </c>
      <c r="BB105" s="684" t="str">
        <f t="shared" si="168"/>
        <v/>
      </c>
      <c r="BC105" s="685" t="str">
        <f t="shared" si="168"/>
        <v/>
      </c>
      <c r="BD105" s="577" t="str">
        <f>""</f>
        <v/>
      </c>
      <c r="BO105" s="675"/>
      <c r="BP105" s="675"/>
      <c r="BQ105" s="675"/>
      <c r="BR105" s="675"/>
      <c r="BS105" s="675"/>
      <c r="BT105" s="675"/>
      <c r="BU105" s="675"/>
      <c r="BV105" s="675"/>
      <c r="CP105" s="675"/>
      <c r="CQ105" s="675"/>
      <c r="CR105" s="675"/>
    </row>
    <row r="106" spans="19:125" x14ac:dyDescent="0.2">
      <c r="S106" s="585"/>
      <c r="T106" s="680" t="str">
        <f>T95</f>
        <v>,"longitude":</v>
      </c>
      <c r="U106" s="681" t="str">
        <f t="shared" ref="U106:BC106" si="169">T106</f>
        <v>,"longitude":</v>
      </c>
      <c r="V106" s="681" t="str">
        <f t="shared" si="169"/>
        <v>,"longitude":</v>
      </c>
      <c r="W106" s="681" t="str">
        <f t="shared" si="169"/>
        <v>,"longitude":</v>
      </c>
      <c r="X106" s="681" t="str">
        <f t="shared" si="169"/>
        <v>,"longitude":</v>
      </c>
      <c r="Y106" s="681" t="str">
        <f t="shared" si="169"/>
        <v>,"longitude":</v>
      </c>
      <c r="Z106" s="681" t="str">
        <f t="shared" si="169"/>
        <v>,"longitude":</v>
      </c>
      <c r="AA106" s="681" t="str">
        <f t="shared" si="169"/>
        <v>,"longitude":</v>
      </c>
      <c r="AB106" s="681" t="str">
        <f t="shared" si="169"/>
        <v>,"longitude":</v>
      </c>
      <c r="AC106" s="681" t="str">
        <f t="shared" si="169"/>
        <v>,"longitude":</v>
      </c>
      <c r="AD106" s="681" t="str">
        <f t="shared" si="169"/>
        <v>,"longitude":</v>
      </c>
      <c r="AE106" s="681" t="str">
        <f t="shared" si="169"/>
        <v>,"longitude":</v>
      </c>
      <c r="AF106" s="681" t="str">
        <f t="shared" si="169"/>
        <v>,"longitude":</v>
      </c>
      <c r="AG106" s="681" t="str">
        <f t="shared" si="169"/>
        <v>,"longitude":</v>
      </c>
      <c r="AH106" s="681" t="str">
        <f t="shared" si="169"/>
        <v>,"longitude":</v>
      </c>
      <c r="AI106" s="681" t="str">
        <f t="shared" si="169"/>
        <v>,"longitude":</v>
      </c>
      <c r="AJ106" s="681" t="str">
        <f t="shared" si="169"/>
        <v>,"longitude":</v>
      </c>
      <c r="AK106" s="681" t="str">
        <f t="shared" si="169"/>
        <v>,"longitude":</v>
      </c>
      <c r="AL106" s="681" t="str">
        <f t="shared" si="169"/>
        <v>,"longitude":</v>
      </c>
      <c r="AM106" s="681" t="str">
        <f t="shared" si="169"/>
        <v>,"longitude":</v>
      </c>
      <c r="AN106" s="681" t="str">
        <f t="shared" si="169"/>
        <v>,"longitude":</v>
      </c>
      <c r="AO106" s="681" t="str">
        <f t="shared" si="169"/>
        <v>,"longitude":</v>
      </c>
      <c r="AP106" s="681" t="str">
        <f t="shared" si="169"/>
        <v>,"longitude":</v>
      </c>
      <c r="AQ106" s="681" t="str">
        <f t="shared" si="169"/>
        <v>,"longitude":</v>
      </c>
      <c r="AR106" s="681" t="str">
        <f t="shared" si="169"/>
        <v>,"longitude":</v>
      </c>
      <c r="AS106" s="681" t="str">
        <f t="shared" si="169"/>
        <v>,"longitude":</v>
      </c>
      <c r="AT106" s="681" t="str">
        <f t="shared" si="169"/>
        <v>,"longitude":</v>
      </c>
      <c r="AU106" s="681" t="str">
        <f t="shared" si="169"/>
        <v>,"longitude":</v>
      </c>
      <c r="AV106" s="681" t="str">
        <f t="shared" si="169"/>
        <v>,"longitude":</v>
      </c>
      <c r="AW106" s="681" t="str">
        <f t="shared" si="169"/>
        <v>,"longitude":</v>
      </c>
      <c r="AX106" s="681" t="str">
        <f t="shared" si="169"/>
        <v>,"longitude":</v>
      </c>
      <c r="AY106" s="681" t="str">
        <f t="shared" si="169"/>
        <v>,"longitude":</v>
      </c>
      <c r="AZ106" s="681" t="str">
        <f t="shared" si="169"/>
        <v>,"longitude":</v>
      </c>
      <c r="BA106" s="681" t="str">
        <f t="shared" si="169"/>
        <v>,"longitude":</v>
      </c>
      <c r="BB106" s="681" t="str">
        <f t="shared" si="169"/>
        <v>,"longitude":</v>
      </c>
      <c r="BC106" s="682" t="str">
        <f t="shared" si="169"/>
        <v>,"longitude":</v>
      </c>
      <c r="BD106" s="577" t="str">
        <f>""</f>
        <v/>
      </c>
      <c r="BO106" s="675"/>
      <c r="BP106" s="675"/>
      <c r="BQ106" s="675"/>
      <c r="BR106" s="675"/>
      <c r="BS106" s="675"/>
      <c r="BT106" s="675"/>
      <c r="BU106" s="675"/>
      <c r="BV106" s="675"/>
      <c r="CP106" s="675"/>
      <c r="CQ106" s="675"/>
      <c r="CR106" s="675"/>
    </row>
    <row r="107" spans="19:125" x14ac:dyDescent="0.2">
      <c r="S107" s="585"/>
      <c r="T107" s="683" t="str">
        <f t="shared" ref="T107:BC107" si="170">T26</f>
        <v/>
      </c>
      <c r="U107" s="684" t="str">
        <f t="shared" si="170"/>
        <v/>
      </c>
      <c r="V107" s="684" t="str">
        <f t="shared" si="170"/>
        <v/>
      </c>
      <c r="W107" s="684" t="str">
        <f t="shared" si="170"/>
        <v/>
      </c>
      <c r="X107" s="684" t="str">
        <f t="shared" si="170"/>
        <v/>
      </c>
      <c r="Y107" s="684" t="str">
        <f t="shared" si="170"/>
        <v/>
      </c>
      <c r="Z107" s="684" t="str">
        <f t="shared" si="170"/>
        <v/>
      </c>
      <c r="AA107" s="684" t="str">
        <f t="shared" si="170"/>
        <v/>
      </c>
      <c r="AB107" s="684" t="str">
        <f t="shared" si="170"/>
        <v/>
      </c>
      <c r="AC107" s="684" t="str">
        <f t="shared" si="170"/>
        <v/>
      </c>
      <c r="AD107" s="684" t="str">
        <f t="shared" si="170"/>
        <v/>
      </c>
      <c r="AE107" s="684" t="str">
        <f t="shared" si="170"/>
        <v/>
      </c>
      <c r="AF107" s="684" t="str">
        <f t="shared" si="170"/>
        <v/>
      </c>
      <c r="AG107" s="684" t="str">
        <f t="shared" si="170"/>
        <v/>
      </c>
      <c r="AH107" s="684" t="str">
        <f t="shared" si="170"/>
        <v/>
      </c>
      <c r="AI107" s="684" t="str">
        <f t="shared" si="170"/>
        <v/>
      </c>
      <c r="AJ107" s="684" t="str">
        <f t="shared" si="170"/>
        <v/>
      </c>
      <c r="AK107" s="684" t="str">
        <f t="shared" si="170"/>
        <v/>
      </c>
      <c r="AL107" s="684" t="str">
        <f t="shared" si="170"/>
        <v/>
      </c>
      <c r="AM107" s="684" t="str">
        <f t="shared" si="170"/>
        <v/>
      </c>
      <c r="AN107" s="684" t="str">
        <f t="shared" si="170"/>
        <v/>
      </c>
      <c r="AO107" s="684" t="str">
        <f t="shared" si="170"/>
        <v/>
      </c>
      <c r="AP107" s="684" t="str">
        <f t="shared" si="170"/>
        <v/>
      </c>
      <c r="AQ107" s="684" t="str">
        <f t="shared" si="170"/>
        <v/>
      </c>
      <c r="AR107" s="684" t="str">
        <f t="shared" si="170"/>
        <v/>
      </c>
      <c r="AS107" s="684" t="str">
        <f t="shared" si="170"/>
        <v/>
      </c>
      <c r="AT107" s="684" t="str">
        <f t="shared" si="170"/>
        <v/>
      </c>
      <c r="AU107" s="684" t="str">
        <f t="shared" si="170"/>
        <v/>
      </c>
      <c r="AV107" s="684" t="str">
        <f t="shared" si="170"/>
        <v/>
      </c>
      <c r="AW107" s="684" t="str">
        <f t="shared" si="170"/>
        <v/>
      </c>
      <c r="AX107" s="684" t="str">
        <f t="shared" si="170"/>
        <v/>
      </c>
      <c r="AY107" s="684" t="str">
        <f t="shared" si="170"/>
        <v/>
      </c>
      <c r="AZ107" s="684" t="str">
        <f t="shared" si="170"/>
        <v/>
      </c>
      <c r="BA107" s="684" t="str">
        <f t="shared" si="170"/>
        <v/>
      </c>
      <c r="BB107" s="684" t="str">
        <f t="shared" si="170"/>
        <v/>
      </c>
      <c r="BC107" s="685" t="str">
        <f t="shared" si="170"/>
        <v/>
      </c>
      <c r="BD107" s="577" t="str">
        <f>""</f>
        <v/>
      </c>
      <c r="BO107" s="675"/>
      <c r="BP107" s="675"/>
      <c r="BQ107" s="675"/>
      <c r="BR107" s="675"/>
      <c r="BS107" s="675"/>
      <c r="BT107" s="675"/>
      <c r="BU107" s="675"/>
      <c r="BV107" s="675"/>
      <c r="CP107" s="675"/>
      <c r="CQ107" s="675"/>
      <c r="CR107" s="675"/>
    </row>
    <row r="108" spans="19:125" ht="13.5" thickBot="1" x14ac:dyDescent="0.25">
      <c r="S108" s="642" t="s">
        <v>500</v>
      </c>
      <c r="T108" s="654" t="str">
        <f t="shared" ref="T108:BC108" si="171">IF(T100="",T97,CONCATENATE(T97,T98,T99,T100,T101,T102,T103,T104,T105,T106,T107))</f>
        <v>{"direction":10,"fetchPoints":[{"left":{"latitude":0.00307203909640892,"longitude":0.000268768595102742},"right":{"latitude":0.00297869674290592,"longitude":0.0007981393863477</v>
      </c>
      <c r="U108" s="655" t="str">
        <f t="shared" si="171"/>
        <v>{"direction":20,"fetchPoints":[{"left":{"latitude":0.00297869674290592,"longitude":0.000798139387503729},"right":{"latitude":0.00279484819610047,"longitude":0.00130325911648073</v>
      </c>
      <c r="V108" s="655" t="str">
        <f t="shared" si="171"/>
        <v>{"direction":30,"fetchPoints":[{"left":{"latitude":0.00279484819610047,"longitude":0.00130325911836838},"right":{"latitude":0.00252607960109505,"longitude":0.00176877997766961</v>
      </c>
      <c r="W108" s="655" t="str">
        <f t="shared" si="171"/>
        <v>{"direction":40,"fetchPoints":[{"left":{"latitude":0.00252607960109505,"longitude":0.00176877998023152},"right":{"latitude":0.0021805573556912,"longitude":0.00218055735411203</v>
      </c>
      <c r="X108" s="655" t="str">
        <f t="shared" si="171"/>
        <v>{"direction":50,"fetchPoints":[{"left":{"latitude":0.0021805573556912,"longitude":0.00218055735727036},"right":{"latitude":0.00176877997851245,"longitude":0.00252607959863997</v>
      </c>
      <c r="Y108" s="655" t="str">
        <f t="shared" si="171"/>
        <v>{"direction":60,"fetchPoints":[{"left":{"latitude":0.00176877997851245,"longitude":0.00252607960229875},"right":{"latitude":0.00130325911681788,"longitude":0.00279484819277541</v>
      </c>
      <c r="Z108" s="655" t="str">
        <f t="shared" si="171"/>
        <v>{"direction":70,"fetchPoints":[{"left":{"latitude":0.00130325911681788,"longitude":0.00279484819682348},"right":{"latitude":0.000798139386425139,"longitude":0.00297869673888057</v>
      </c>
      <c r="AA108" s="655" t="str">
        <f t="shared" si="171"/>
        <v>{"direction":80,"fetchPoints":[{"left":{"latitude":0.000798139386425139,"longitude":0.00297869674319492},"right":{"latitude":0.000268768594716413,"longitude":0.00307203909199317</v>
      </c>
      <c r="AB108" s="655" t="str">
        <f t="shared" si="171"/>
        <v>{"direction":90,"fetchPoints":[{"left":{"latitude":0.000268768594716413,"longitude":0.00307203909644272},"right":{"latitude":-0.000268768594716414,"longitude":0.00307203909199317</v>
      </c>
      <c r="AC108" s="655" t="str">
        <f t="shared" si="171"/>
        <v>{"direction":100,"fetchPoints":[{"left":{"latitude":-0.000268768594716414,"longitude":0.00307203909644272},"right":{"latitude":-0.00079813938642514,"longitude":0.00297869673888057</v>
      </c>
      <c r="AD108" s="655" t="str">
        <f t="shared" si="171"/>
        <v>{"direction":110,"fetchPoints":[{"left":{"latitude":-0.00079813938642514,"longitude":0.00297869674319492},"right":{"latitude":-0.00130325911681788,"longitude":0.00279484819277541</v>
      </c>
      <c r="AE108" s="655" t="str">
        <f t="shared" si="171"/>
        <v>{"direction":120,"fetchPoints":[{"left":{"latitude":-0.00130325911681788,"longitude":0.00279484819682348},"right":{"latitude":-0.00176877997851245,"longitude":0.00252607959863997</v>
      </c>
      <c r="AF108" s="655" t="str">
        <f t="shared" si="171"/>
        <v>{"direction":130,"fetchPoints":[{"left":{"latitude":-0.00176877997851245,"longitude":0.00252607960229875},"right":{"latitude":-0.0021805573556912,"longitude":0.00218055735411203</v>
      </c>
      <c r="AG108" s="655" t="str">
        <f t="shared" si="171"/>
        <v>{"direction":140,"fetchPoints":[{"left":{"latitude":-0.0021805573556912,"longitude":0.00218055735727036},"right":{"latitude":-0.00252607960109505,"longitude":0.00176877997766961</v>
      </c>
      <c r="AH108" s="655" t="str">
        <f t="shared" si="171"/>
        <v>{"direction":150,"fetchPoints":[{"left":{"latitude":-0.00252607960109505,"longitude":0.00176877998023152},"right":{"latitude":-0.00279484819610047,"longitude":0.00130325911648073</v>
      </c>
      <c r="AI108" s="655" t="str">
        <f t="shared" si="171"/>
        <v>{"direction":160,"fetchPoints":[{"left":{"latitude":-0.00279484819610047,"longitude":0.00130325911836838},"right":{"latitude":-0.00297869674290592,"longitude":0.000798139386347701</v>
      </c>
      <c r="AJ108" s="655" t="str">
        <f t="shared" si="171"/>
        <v>{"direction":170,"fetchPoints":[{"left":{"latitude":-0.00297869674290592,"longitude":0.00079813938750373},"right":{"latitude":-0.00307203909640892,"longitude":0.000268768594713458</v>
      </c>
      <c r="AK108" s="655" t="str">
        <f t="shared" si="171"/>
        <v>{"direction":180,"fetchPoints":[{"left":{"latitude":-0.00307203909640892,"longitude":0.000268768595102743},"right":{"latitude":-0.00307203909640892,"longitude":-0.000268768594713456</v>
      </c>
      <c r="AL108" s="655" t="str">
        <f t="shared" si="171"/>
        <v>{"direction":190,"fetchPoints":[{"left":{"latitude":-0.00307203909640892,"longitude":-0.000268768595102741},"right":{"latitude":-0.00297869674290592,"longitude":-0.000798139386347699</v>
      </c>
      <c r="AM108" s="655" t="str">
        <f t="shared" si="171"/>
        <v>{"direction":200,"fetchPoints":[{"left":{"latitude":-0.00297869674290592,"longitude":-0.000798139387503727},"right":{"latitude":-0.00279484819610047,"longitude":-0.00130325911648073</v>
      </c>
      <c r="AN108" s="655" t="str">
        <f t="shared" si="171"/>
        <v>{"direction":210,"fetchPoints":[{"left":{"latitude":-0.00279484819610047,"longitude":-0.00130325911836838},"right":{"latitude":-0.00252607960109505,"longitude":-0.00176877997766961</v>
      </c>
      <c r="AO108" s="655" t="str">
        <f t="shared" si="171"/>
        <v>{"direction":220,"fetchPoints":[{"left":{"latitude":-0.00252607960109505,"longitude":-0.00176877998023152},"right":{"latitude":-0.0021805573556912,"longitude":-0.00218055735411203</v>
      </c>
      <c r="AP108" s="655" t="str">
        <f t="shared" si="171"/>
        <v>{"direction":230,"fetchPoints":[{"left":{"latitude":-0.0021805573556912,"longitude":-0.00218055735727036},"right":{"latitude":-0.00176877997851246,"longitude":-0.00252607959863997</v>
      </c>
      <c r="AQ108" s="655" t="str">
        <f t="shared" si="171"/>
        <v>{"direction":240,"fetchPoints":[{"left":{"latitude":-0.00176877997851246,"longitude":-0.00252607960229875},"right":{"latitude":-0.00130325911681788,"longitude":-0.00279484819277541</v>
      </c>
      <c r="AR108" s="655" t="str">
        <f t="shared" si="171"/>
        <v>{"direction":250,"fetchPoints":[{"left":{"latitude":-0.00130325911681788,"longitude":-0.00279484819682348},"right":{"latitude":-0.000798139386425139,"longitude":-0.00297869673888057</v>
      </c>
      <c r="AS108" s="655" t="str">
        <f t="shared" si="171"/>
        <v>{"direction":260,"fetchPoints":[{"left":{"latitude":-0.000798139386425139,"longitude":-0.00297869674319492},"right":{"latitude":-0.000268768594716414,"longitude":-0.00307203909199317</v>
      </c>
      <c r="AT108" s="655" t="str">
        <f t="shared" si="171"/>
        <v>{"direction":270,"fetchPoints":[{"left":{"latitude":-0.000268768594716414,"longitude":-0.00307203909644272},"right":{"latitude":0.000268768594716413,"longitude":-0.00307203909199317</v>
      </c>
      <c r="AU108" s="655" t="str">
        <f t="shared" si="171"/>
        <v>{"direction":280,"fetchPoints":[{"left":{"latitude":0.000268768594716413,"longitude":-0.00307203909644272},"right":{"latitude":0.00079813938642514,"longitude":-0.00297869673888057</v>
      </c>
      <c r="AV108" s="655" t="str">
        <f t="shared" si="171"/>
        <v>{"direction":290,"fetchPoints":[{"left":{"latitude":0.00079813938642514,"longitude":-0.00297869674319492},"right":{"latitude":0.00130325911681788,"longitude":-0.00279484819277541</v>
      </c>
      <c r="AW108" s="655" t="str">
        <f t="shared" si="171"/>
        <v>{"direction":300,"fetchPoints":[{"left":{"latitude":0.00130325911681788,"longitude":-0.00279484819682348},"right":{"latitude":0.00176877997851245,"longitude":-0.00252607959863997</v>
      </c>
      <c r="AX108" s="655" t="str">
        <f t="shared" si="171"/>
        <v>{"direction":310,"fetchPoints":[{"left":{"latitude":0.00176877997851245,"longitude":-0.00252607960229875},"right":{"latitude":0.0021805573556912,"longitude":-0.00218055735411203</v>
      </c>
      <c r="AY108" s="655" t="str">
        <f t="shared" si="171"/>
        <v>{"direction":320,"fetchPoints":[{"left":{"latitude":0.0021805573556912,"longitude":-0.00218055735727036},"right":{"latitude":0.00252607960109505,"longitude":-0.00176877997766961</v>
      </c>
      <c r="AZ108" s="655" t="str">
        <f t="shared" si="171"/>
        <v>{"direction":330,"fetchPoints":[{"left":{"latitude":0.00252607960109505,"longitude":-0.00176877998023152},"right":{"latitude":0.00279484819610047,"longitude":-0.00130325911648074</v>
      </c>
      <c r="BA108" s="655" t="str">
        <f t="shared" si="171"/>
        <v>{"direction":340,"fetchPoints":[{"left":{"latitude":0.00279484819610047,"longitude":-0.00130325911836838},"right":{"latitude":0.00297869674290592,"longitude":-0.0007981393863477</v>
      </c>
      <c r="BB108" s="655" t="str">
        <f t="shared" si="171"/>
        <v>{"direction":350,"fetchPoints":[{"left":{"latitude":0.00297869674290592,"longitude":-0.000798139387503728},"right":{"latitude":0.00307203909640892,"longitude":-0.000268768594713457</v>
      </c>
      <c r="BC108" s="656" t="str">
        <f t="shared" si="171"/>
        <v>{"direction":360,"fetchPoints":[{"left":{"latitude":0.00307203909640892,"longitude":-0.000268768595102742},"right":{"latitude":0.00307203909640892,"longitude":0.000268768594713458</v>
      </c>
      <c r="BD108" s="577" t="str">
        <f>""</f>
        <v/>
      </c>
      <c r="BO108" s="675"/>
      <c r="BP108" s="675"/>
      <c r="BQ108" s="675"/>
      <c r="BR108" s="675"/>
      <c r="BS108" s="675"/>
      <c r="BT108" s="675"/>
      <c r="BU108" s="675"/>
      <c r="BV108" s="675"/>
      <c r="CP108" s="675"/>
      <c r="CQ108" s="675"/>
      <c r="CR108" s="675"/>
    </row>
    <row r="109" spans="19:125" x14ac:dyDescent="0.2">
      <c r="S109" s="642" t="s">
        <v>447</v>
      </c>
      <c r="T109" s="686" t="str">
        <f>T98</f>
        <v>}},{"left":{</v>
      </c>
      <c r="U109" s="687" t="str">
        <f t="shared" ref="U109:BC109" si="172">T109</f>
        <v>}},{"left":{</v>
      </c>
      <c r="V109" s="687" t="str">
        <f t="shared" si="172"/>
        <v>}},{"left":{</v>
      </c>
      <c r="W109" s="687" t="str">
        <f t="shared" si="172"/>
        <v>}},{"left":{</v>
      </c>
      <c r="X109" s="687" t="str">
        <f t="shared" si="172"/>
        <v>}},{"left":{</v>
      </c>
      <c r="Y109" s="687" t="str">
        <f t="shared" si="172"/>
        <v>}},{"left":{</v>
      </c>
      <c r="Z109" s="687" t="str">
        <f t="shared" si="172"/>
        <v>}},{"left":{</v>
      </c>
      <c r="AA109" s="687" t="str">
        <f t="shared" si="172"/>
        <v>}},{"left":{</v>
      </c>
      <c r="AB109" s="687" t="str">
        <f t="shared" si="172"/>
        <v>}},{"left":{</v>
      </c>
      <c r="AC109" s="687" t="str">
        <f t="shared" si="172"/>
        <v>}},{"left":{</v>
      </c>
      <c r="AD109" s="687" t="str">
        <f t="shared" si="172"/>
        <v>}},{"left":{</v>
      </c>
      <c r="AE109" s="687" t="str">
        <f t="shared" si="172"/>
        <v>}},{"left":{</v>
      </c>
      <c r="AF109" s="687" t="str">
        <f t="shared" si="172"/>
        <v>}},{"left":{</v>
      </c>
      <c r="AG109" s="687" t="str">
        <f t="shared" si="172"/>
        <v>}},{"left":{</v>
      </c>
      <c r="AH109" s="687" t="str">
        <f t="shared" si="172"/>
        <v>}},{"left":{</v>
      </c>
      <c r="AI109" s="687" t="str">
        <f t="shared" si="172"/>
        <v>}},{"left":{</v>
      </c>
      <c r="AJ109" s="687" t="str">
        <f t="shared" si="172"/>
        <v>}},{"left":{</v>
      </c>
      <c r="AK109" s="687" t="str">
        <f t="shared" si="172"/>
        <v>}},{"left":{</v>
      </c>
      <c r="AL109" s="687" t="str">
        <f t="shared" si="172"/>
        <v>}},{"left":{</v>
      </c>
      <c r="AM109" s="687" t="str">
        <f t="shared" si="172"/>
        <v>}},{"left":{</v>
      </c>
      <c r="AN109" s="687" t="str">
        <f t="shared" si="172"/>
        <v>}},{"left":{</v>
      </c>
      <c r="AO109" s="687" t="str">
        <f t="shared" si="172"/>
        <v>}},{"left":{</v>
      </c>
      <c r="AP109" s="687" t="str">
        <f t="shared" si="172"/>
        <v>}},{"left":{</v>
      </c>
      <c r="AQ109" s="687" t="str">
        <f t="shared" si="172"/>
        <v>}},{"left":{</v>
      </c>
      <c r="AR109" s="687" t="str">
        <f t="shared" si="172"/>
        <v>}},{"left":{</v>
      </c>
      <c r="AS109" s="687" t="str">
        <f t="shared" si="172"/>
        <v>}},{"left":{</v>
      </c>
      <c r="AT109" s="687" t="str">
        <f t="shared" si="172"/>
        <v>}},{"left":{</v>
      </c>
      <c r="AU109" s="687" t="str">
        <f t="shared" si="172"/>
        <v>}},{"left":{</v>
      </c>
      <c r="AV109" s="687" t="str">
        <f t="shared" si="172"/>
        <v>}},{"left":{</v>
      </c>
      <c r="AW109" s="687" t="str">
        <f t="shared" si="172"/>
        <v>}},{"left":{</v>
      </c>
      <c r="AX109" s="687" t="str">
        <f t="shared" si="172"/>
        <v>}},{"left":{</v>
      </c>
      <c r="AY109" s="687" t="str">
        <f t="shared" si="172"/>
        <v>}},{"left":{</v>
      </c>
      <c r="AZ109" s="687" t="str">
        <f t="shared" si="172"/>
        <v>}},{"left":{</v>
      </c>
      <c r="BA109" s="687" t="str">
        <f t="shared" si="172"/>
        <v>}},{"left":{</v>
      </c>
      <c r="BB109" s="687" t="str">
        <f t="shared" si="172"/>
        <v>}},{"left":{</v>
      </c>
      <c r="BC109" s="688" t="str">
        <f t="shared" si="172"/>
        <v>}},{"left":{</v>
      </c>
      <c r="BD109" s="577" t="str">
        <f>""</f>
        <v/>
      </c>
      <c r="BO109" s="675"/>
      <c r="BP109" s="675"/>
      <c r="BQ109" s="675"/>
      <c r="BR109" s="675"/>
      <c r="BS109" s="675"/>
      <c r="BT109" s="675"/>
      <c r="BU109" s="675"/>
      <c r="BV109" s="675"/>
      <c r="CP109" s="675"/>
      <c r="CQ109" s="675"/>
      <c r="CR109" s="675"/>
    </row>
    <row r="110" spans="19:125" x14ac:dyDescent="0.2">
      <c r="S110" s="585"/>
      <c r="T110" s="689" t="str">
        <f>T99</f>
        <v>"latitude":</v>
      </c>
      <c r="U110" s="690" t="str">
        <f t="shared" ref="U110:BC110" si="173">T110</f>
        <v>"latitude":</v>
      </c>
      <c r="V110" s="690" t="str">
        <f t="shared" si="173"/>
        <v>"latitude":</v>
      </c>
      <c r="W110" s="690" t="str">
        <f t="shared" si="173"/>
        <v>"latitude":</v>
      </c>
      <c r="X110" s="690" t="str">
        <f t="shared" si="173"/>
        <v>"latitude":</v>
      </c>
      <c r="Y110" s="690" t="str">
        <f t="shared" si="173"/>
        <v>"latitude":</v>
      </c>
      <c r="Z110" s="690" t="str">
        <f t="shared" si="173"/>
        <v>"latitude":</v>
      </c>
      <c r="AA110" s="690" t="str">
        <f t="shared" si="173"/>
        <v>"latitude":</v>
      </c>
      <c r="AB110" s="690" t="str">
        <f t="shared" si="173"/>
        <v>"latitude":</v>
      </c>
      <c r="AC110" s="690" t="str">
        <f t="shared" si="173"/>
        <v>"latitude":</v>
      </c>
      <c r="AD110" s="690" t="str">
        <f t="shared" si="173"/>
        <v>"latitude":</v>
      </c>
      <c r="AE110" s="690" t="str">
        <f t="shared" si="173"/>
        <v>"latitude":</v>
      </c>
      <c r="AF110" s="690" t="str">
        <f t="shared" si="173"/>
        <v>"latitude":</v>
      </c>
      <c r="AG110" s="690" t="str">
        <f t="shared" si="173"/>
        <v>"latitude":</v>
      </c>
      <c r="AH110" s="690" t="str">
        <f t="shared" si="173"/>
        <v>"latitude":</v>
      </c>
      <c r="AI110" s="690" t="str">
        <f t="shared" si="173"/>
        <v>"latitude":</v>
      </c>
      <c r="AJ110" s="690" t="str">
        <f t="shared" si="173"/>
        <v>"latitude":</v>
      </c>
      <c r="AK110" s="690" t="str">
        <f t="shared" si="173"/>
        <v>"latitude":</v>
      </c>
      <c r="AL110" s="690" t="str">
        <f t="shared" si="173"/>
        <v>"latitude":</v>
      </c>
      <c r="AM110" s="690" t="str">
        <f t="shared" si="173"/>
        <v>"latitude":</v>
      </c>
      <c r="AN110" s="690" t="str">
        <f t="shared" si="173"/>
        <v>"latitude":</v>
      </c>
      <c r="AO110" s="690" t="str">
        <f t="shared" si="173"/>
        <v>"latitude":</v>
      </c>
      <c r="AP110" s="690" t="str">
        <f t="shared" si="173"/>
        <v>"latitude":</v>
      </c>
      <c r="AQ110" s="690" t="str">
        <f t="shared" si="173"/>
        <v>"latitude":</v>
      </c>
      <c r="AR110" s="690" t="str">
        <f t="shared" si="173"/>
        <v>"latitude":</v>
      </c>
      <c r="AS110" s="690" t="str">
        <f t="shared" si="173"/>
        <v>"latitude":</v>
      </c>
      <c r="AT110" s="690" t="str">
        <f t="shared" si="173"/>
        <v>"latitude":</v>
      </c>
      <c r="AU110" s="690" t="str">
        <f t="shared" si="173"/>
        <v>"latitude":</v>
      </c>
      <c r="AV110" s="690" t="str">
        <f t="shared" si="173"/>
        <v>"latitude":</v>
      </c>
      <c r="AW110" s="690" t="str">
        <f t="shared" si="173"/>
        <v>"latitude":</v>
      </c>
      <c r="AX110" s="690" t="str">
        <f t="shared" si="173"/>
        <v>"latitude":</v>
      </c>
      <c r="AY110" s="690" t="str">
        <f t="shared" si="173"/>
        <v>"latitude":</v>
      </c>
      <c r="AZ110" s="690" t="str">
        <f t="shared" si="173"/>
        <v>"latitude":</v>
      </c>
      <c r="BA110" s="690" t="str">
        <f t="shared" si="173"/>
        <v>"latitude":</v>
      </c>
      <c r="BB110" s="690" t="str">
        <f t="shared" si="173"/>
        <v>"latitude":</v>
      </c>
      <c r="BC110" s="691" t="str">
        <f t="shared" si="173"/>
        <v>"latitude":</v>
      </c>
      <c r="BD110" s="577" t="str">
        <f>""</f>
        <v/>
      </c>
    </row>
    <row r="111" spans="19:125" x14ac:dyDescent="0.2">
      <c r="S111" s="585"/>
      <c r="T111" s="692" t="str">
        <f t="shared" ref="T111:BC111" si="174">T28</f>
        <v/>
      </c>
      <c r="U111" s="693" t="str">
        <f t="shared" si="174"/>
        <v/>
      </c>
      <c r="V111" s="693" t="str">
        <f t="shared" si="174"/>
        <v/>
      </c>
      <c r="W111" s="693" t="str">
        <f t="shared" si="174"/>
        <v/>
      </c>
      <c r="X111" s="693" t="str">
        <f t="shared" si="174"/>
        <v/>
      </c>
      <c r="Y111" s="693" t="str">
        <f t="shared" si="174"/>
        <v/>
      </c>
      <c r="Z111" s="693" t="str">
        <f t="shared" si="174"/>
        <v/>
      </c>
      <c r="AA111" s="693" t="str">
        <f t="shared" si="174"/>
        <v/>
      </c>
      <c r="AB111" s="693" t="str">
        <f t="shared" si="174"/>
        <v/>
      </c>
      <c r="AC111" s="693" t="str">
        <f t="shared" si="174"/>
        <v/>
      </c>
      <c r="AD111" s="693" t="str">
        <f t="shared" si="174"/>
        <v/>
      </c>
      <c r="AE111" s="693" t="str">
        <f t="shared" si="174"/>
        <v/>
      </c>
      <c r="AF111" s="693" t="str">
        <f t="shared" si="174"/>
        <v/>
      </c>
      <c r="AG111" s="693" t="str">
        <f t="shared" si="174"/>
        <v/>
      </c>
      <c r="AH111" s="693" t="str">
        <f t="shared" si="174"/>
        <v/>
      </c>
      <c r="AI111" s="693" t="str">
        <f t="shared" si="174"/>
        <v/>
      </c>
      <c r="AJ111" s="693" t="str">
        <f t="shared" si="174"/>
        <v/>
      </c>
      <c r="AK111" s="693" t="str">
        <f t="shared" si="174"/>
        <v/>
      </c>
      <c r="AL111" s="693" t="str">
        <f t="shared" si="174"/>
        <v/>
      </c>
      <c r="AM111" s="693" t="str">
        <f t="shared" si="174"/>
        <v/>
      </c>
      <c r="AN111" s="693" t="str">
        <f t="shared" si="174"/>
        <v/>
      </c>
      <c r="AO111" s="693" t="str">
        <f t="shared" si="174"/>
        <v/>
      </c>
      <c r="AP111" s="693" t="str">
        <f t="shared" si="174"/>
        <v/>
      </c>
      <c r="AQ111" s="693" t="str">
        <f t="shared" si="174"/>
        <v/>
      </c>
      <c r="AR111" s="693" t="str">
        <f t="shared" si="174"/>
        <v/>
      </c>
      <c r="AS111" s="693" t="str">
        <f t="shared" si="174"/>
        <v/>
      </c>
      <c r="AT111" s="693" t="str">
        <f t="shared" si="174"/>
        <v/>
      </c>
      <c r="AU111" s="693" t="str">
        <f t="shared" si="174"/>
        <v/>
      </c>
      <c r="AV111" s="693" t="str">
        <f t="shared" si="174"/>
        <v/>
      </c>
      <c r="AW111" s="693" t="str">
        <f t="shared" si="174"/>
        <v/>
      </c>
      <c r="AX111" s="693" t="str">
        <f t="shared" si="174"/>
        <v/>
      </c>
      <c r="AY111" s="693" t="str">
        <f t="shared" si="174"/>
        <v/>
      </c>
      <c r="AZ111" s="693" t="str">
        <f t="shared" si="174"/>
        <v/>
      </c>
      <c r="BA111" s="693" t="str">
        <f t="shared" si="174"/>
        <v/>
      </c>
      <c r="BB111" s="693" t="str">
        <f t="shared" si="174"/>
        <v/>
      </c>
      <c r="BC111" s="694" t="str">
        <f t="shared" si="174"/>
        <v/>
      </c>
      <c r="BD111" s="577" t="str">
        <f>""</f>
        <v/>
      </c>
    </row>
    <row r="112" spans="19:125" x14ac:dyDescent="0.2">
      <c r="S112" s="585"/>
      <c r="T112" s="689" t="str">
        <f>T101</f>
        <v>,"longitude":</v>
      </c>
      <c r="U112" s="690" t="str">
        <f t="shared" ref="U112:BC112" si="175">T112</f>
        <v>,"longitude":</v>
      </c>
      <c r="V112" s="690" t="str">
        <f t="shared" si="175"/>
        <v>,"longitude":</v>
      </c>
      <c r="W112" s="690" t="str">
        <f t="shared" si="175"/>
        <v>,"longitude":</v>
      </c>
      <c r="X112" s="690" t="str">
        <f t="shared" si="175"/>
        <v>,"longitude":</v>
      </c>
      <c r="Y112" s="690" t="str">
        <f t="shared" si="175"/>
        <v>,"longitude":</v>
      </c>
      <c r="Z112" s="690" t="str">
        <f t="shared" si="175"/>
        <v>,"longitude":</v>
      </c>
      <c r="AA112" s="690" t="str">
        <f t="shared" si="175"/>
        <v>,"longitude":</v>
      </c>
      <c r="AB112" s="690" t="str">
        <f t="shared" si="175"/>
        <v>,"longitude":</v>
      </c>
      <c r="AC112" s="690" t="str">
        <f t="shared" si="175"/>
        <v>,"longitude":</v>
      </c>
      <c r="AD112" s="690" t="str">
        <f t="shared" si="175"/>
        <v>,"longitude":</v>
      </c>
      <c r="AE112" s="690" t="str">
        <f t="shared" si="175"/>
        <v>,"longitude":</v>
      </c>
      <c r="AF112" s="690" t="str">
        <f t="shared" si="175"/>
        <v>,"longitude":</v>
      </c>
      <c r="AG112" s="690" t="str">
        <f t="shared" si="175"/>
        <v>,"longitude":</v>
      </c>
      <c r="AH112" s="690" t="str">
        <f t="shared" si="175"/>
        <v>,"longitude":</v>
      </c>
      <c r="AI112" s="690" t="str">
        <f t="shared" si="175"/>
        <v>,"longitude":</v>
      </c>
      <c r="AJ112" s="690" t="str">
        <f t="shared" si="175"/>
        <v>,"longitude":</v>
      </c>
      <c r="AK112" s="690" t="str">
        <f t="shared" si="175"/>
        <v>,"longitude":</v>
      </c>
      <c r="AL112" s="690" t="str">
        <f t="shared" si="175"/>
        <v>,"longitude":</v>
      </c>
      <c r="AM112" s="690" t="str">
        <f t="shared" si="175"/>
        <v>,"longitude":</v>
      </c>
      <c r="AN112" s="690" t="str">
        <f t="shared" si="175"/>
        <v>,"longitude":</v>
      </c>
      <c r="AO112" s="690" t="str">
        <f t="shared" si="175"/>
        <v>,"longitude":</v>
      </c>
      <c r="AP112" s="690" t="str">
        <f t="shared" si="175"/>
        <v>,"longitude":</v>
      </c>
      <c r="AQ112" s="690" t="str">
        <f t="shared" si="175"/>
        <v>,"longitude":</v>
      </c>
      <c r="AR112" s="690" t="str">
        <f t="shared" si="175"/>
        <v>,"longitude":</v>
      </c>
      <c r="AS112" s="690" t="str">
        <f t="shared" si="175"/>
        <v>,"longitude":</v>
      </c>
      <c r="AT112" s="690" t="str">
        <f t="shared" si="175"/>
        <v>,"longitude":</v>
      </c>
      <c r="AU112" s="690" t="str">
        <f t="shared" si="175"/>
        <v>,"longitude":</v>
      </c>
      <c r="AV112" s="690" t="str">
        <f t="shared" si="175"/>
        <v>,"longitude":</v>
      </c>
      <c r="AW112" s="690" t="str">
        <f t="shared" si="175"/>
        <v>,"longitude":</v>
      </c>
      <c r="AX112" s="690" t="str">
        <f t="shared" si="175"/>
        <v>,"longitude":</v>
      </c>
      <c r="AY112" s="690" t="str">
        <f t="shared" si="175"/>
        <v>,"longitude":</v>
      </c>
      <c r="AZ112" s="690" t="str">
        <f t="shared" si="175"/>
        <v>,"longitude":</v>
      </c>
      <c r="BA112" s="690" t="str">
        <f t="shared" si="175"/>
        <v>,"longitude":</v>
      </c>
      <c r="BB112" s="690" t="str">
        <f t="shared" si="175"/>
        <v>,"longitude":</v>
      </c>
      <c r="BC112" s="691" t="str">
        <f t="shared" si="175"/>
        <v>,"longitude":</v>
      </c>
      <c r="BD112" s="577" t="str">
        <f>""</f>
        <v/>
      </c>
    </row>
    <row r="113" spans="19:126" x14ac:dyDescent="0.2">
      <c r="S113" s="585"/>
      <c r="T113" s="692" t="str">
        <f t="shared" ref="T113:BC113" si="176">T29</f>
        <v/>
      </c>
      <c r="U113" s="693" t="str">
        <f t="shared" si="176"/>
        <v/>
      </c>
      <c r="V113" s="693" t="str">
        <f t="shared" si="176"/>
        <v/>
      </c>
      <c r="W113" s="693" t="str">
        <f t="shared" si="176"/>
        <v/>
      </c>
      <c r="X113" s="693" t="str">
        <f t="shared" si="176"/>
        <v/>
      </c>
      <c r="Y113" s="693" t="str">
        <f t="shared" si="176"/>
        <v/>
      </c>
      <c r="Z113" s="693" t="str">
        <f t="shared" si="176"/>
        <v/>
      </c>
      <c r="AA113" s="693" t="str">
        <f t="shared" si="176"/>
        <v/>
      </c>
      <c r="AB113" s="693" t="str">
        <f t="shared" si="176"/>
        <v/>
      </c>
      <c r="AC113" s="693" t="str">
        <f t="shared" si="176"/>
        <v/>
      </c>
      <c r="AD113" s="693" t="str">
        <f t="shared" si="176"/>
        <v/>
      </c>
      <c r="AE113" s="693" t="str">
        <f t="shared" si="176"/>
        <v/>
      </c>
      <c r="AF113" s="693" t="str">
        <f t="shared" si="176"/>
        <v/>
      </c>
      <c r="AG113" s="693" t="str">
        <f t="shared" si="176"/>
        <v/>
      </c>
      <c r="AH113" s="693" t="str">
        <f t="shared" si="176"/>
        <v/>
      </c>
      <c r="AI113" s="693" t="str">
        <f t="shared" si="176"/>
        <v/>
      </c>
      <c r="AJ113" s="693" t="str">
        <f t="shared" si="176"/>
        <v/>
      </c>
      <c r="AK113" s="693" t="str">
        <f t="shared" si="176"/>
        <v/>
      </c>
      <c r="AL113" s="693" t="str">
        <f t="shared" si="176"/>
        <v/>
      </c>
      <c r="AM113" s="693" t="str">
        <f t="shared" si="176"/>
        <v/>
      </c>
      <c r="AN113" s="693" t="str">
        <f t="shared" si="176"/>
        <v/>
      </c>
      <c r="AO113" s="693" t="str">
        <f t="shared" si="176"/>
        <v/>
      </c>
      <c r="AP113" s="693" t="str">
        <f t="shared" si="176"/>
        <v/>
      </c>
      <c r="AQ113" s="693" t="str">
        <f t="shared" si="176"/>
        <v/>
      </c>
      <c r="AR113" s="693" t="str">
        <f t="shared" si="176"/>
        <v/>
      </c>
      <c r="AS113" s="693" t="str">
        <f t="shared" si="176"/>
        <v/>
      </c>
      <c r="AT113" s="693" t="str">
        <f t="shared" si="176"/>
        <v/>
      </c>
      <c r="AU113" s="693" t="str">
        <f t="shared" si="176"/>
        <v/>
      </c>
      <c r="AV113" s="693" t="str">
        <f t="shared" si="176"/>
        <v/>
      </c>
      <c r="AW113" s="693" t="str">
        <f t="shared" si="176"/>
        <v/>
      </c>
      <c r="AX113" s="693" t="str">
        <f t="shared" si="176"/>
        <v/>
      </c>
      <c r="AY113" s="693" t="str">
        <f t="shared" si="176"/>
        <v/>
      </c>
      <c r="AZ113" s="693" t="str">
        <f t="shared" si="176"/>
        <v/>
      </c>
      <c r="BA113" s="693" t="str">
        <f t="shared" si="176"/>
        <v/>
      </c>
      <c r="BB113" s="693" t="str">
        <f t="shared" si="176"/>
        <v/>
      </c>
      <c r="BC113" s="694" t="str">
        <f t="shared" si="176"/>
        <v/>
      </c>
      <c r="BD113" s="577" t="str">
        <f>""</f>
        <v/>
      </c>
    </row>
    <row r="114" spans="19:126" x14ac:dyDescent="0.2">
      <c r="S114" s="585"/>
      <c r="T114" s="689" t="str">
        <f>T103</f>
        <v>},"right":{</v>
      </c>
      <c r="U114" s="690" t="str">
        <f t="shared" ref="U114:BC114" si="177">T114</f>
        <v>},"right":{</v>
      </c>
      <c r="V114" s="690" t="str">
        <f t="shared" si="177"/>
        <v>},"right":{</v>
      </c>
      <c r="W114" s="690" t="str">
        <f t="shared" si="177"/>
        <v>},"right":{</v>
      </c>
      <c r="X114" s="690" t="str">
        <f t="shared" si="177"/>
        <v>},"right":{</v>
      </c>
      <c r="Y114" s="690" t="str">
        <f t="shared" si="177"/>
        <v>},"right":{</v>
      </c>
      <c r="Z114" s="690" t="str">
        <f t="shared" si="177"/>
        <v>},"right":{</v>
      </c>
      <c r="AA114" s="690" t="str">
        <f t="shared" si="177"/>
        <v>},"right":{</v>
      </c>
      <c r="AB114" s="690" t="str">
        <f t="shared" si="177"/>
        <v>},"right":{</v>
      </c>
      <c r="AC114" s="690" t="str">
        <f t="shared" si="177"/>
        <v>},"right":{</v>
      </c>
      <c r="AD114" s="690" t="str">
        <f t="shared" si="177"/>
        <v>},"right":{</v>
      </c>
      <c r="AE114" s="690" t="str">
        <f t="shared" si="177"/>
        <v>},"right":{</v>
      </c>
      <c r="AF114" s="690" t="str">
        <f t="shared" si="177"/>
        <v>},"right":{</v>
      </c>
      <c r="AG114" s="690" t="str">
        <f t="shared" si="177"/>
        <v>},"right":{</v>
      </c>
      <c r="AH114" s="690" t="str">
        <f t="shared" si="177"/>
        <v>},"right":{</v>
      </c>
      <c r="AI114" s="690" t="str">
        <f t="shared" si="177"/>
        <v>},"right":{</v>
      </c>
      <c r="AJ114" s="690" t="str">
        <f t="shared" si="177"/>
        <v>},"right":{</v>
      </c>
      <c r="AK114" s="690" t="str">
        <f t="shared" si="177"/>
        <v>},"right":{</v>
      </c>
      <c r="AL114" s="690" t="str">
        <f t="shared" si="177"/>
        <v>},"right":{</v>
      </c>
      <c r="AM114" s="690" t="str">
        <f t="shared" si="177"/>
        <v>},"right":{</v>
      </c>
      <c r="AN114" s="690" t="str">
        <f t="shared" si="177"/>
        <v>},"right":{</v>
      </c>
      <c r="AO114" s="690" t="str">
        <f t="shared" si="177"/>
        <v>},"right":{</v>
      </c>
      <c r="AP114" s="690" t="str">
        <f t="shared" si="177"/>
        <v>},"right":{</v>
      </c>
      <c r="AQ114" s="690" t="str">
        <f t="shared" si="177"/>
        <v>},"right":{</v>
      </c>
      <c r="AR114" s="690" t="str">
        <f t="shared" si="177"/>
        <v>},"right":{</v>
      </c>
      <c r="AS114" s="690" t="str">
        <f t="shared" si="177"/>
        <v>},"right":{</v>
      </c>
      <c r="AT114" s="690" t="str">
        <f t="shared" si="177"/>
        <v>},"right":{</v>
      </c>
      <c r="AU114" s="690" t="str">
        <f t="shared" si="177"/>
        <v>},"right":{</v>
      </c>
      <c r="AV114" s="690" t="str">
        <f t="shared" si="177"/>
        <v>},"right":{</v>
      </c>
      <c r="AW114" s="690" t="str">
        <f t="shared" si="177"/>
        <v>},"right":{</v>
      </c>
      <c r="AX114" s="690" t="str">
        <f t="shared" si="177"/>
        <v>},"right":{</v>
      </c>
      <c r="AY114" s="690" t="str">
        <f t="shared" si="177"/>
        <v>},"right":{</v>
      </c>
      <c r="AZ114" s="690" t="str">
        <f t="shared" si="177"/>
        <v>},"right":{</v>
      </c>
      <c r="BA114" s="690" t="str">
        <f t="shared" si="177"/>
        <v>},"right":{</v>
      </c>
      <c r="BB114" s="690" t="str">
        <f t="shared" si="177"/>
        <v>},"right":{</v>
      </c>
      <c r="BC114" s="691" t="str">
        <f t="shared" si="177"/>
        <v>},"right":{</v>
      </c>
      <c r="BD114" s="577" t="str">
        <f>""</f>
        <v/>
      </c>
    </row>
    <row r="115" spans="19:126" x14ac:dyDescent="0.2">
      <c r="S115" s="585"/>
      <c r="T115" s="689" t="str">
        <f>T104</f>
        <v>"latitude":</v>
      </c>
      <c r="U115" s="690" t="str">
        <f t="shared" ref="U115:BC115" si="178">T115</f>
        <v>"latitude":</v>
      </c>
      <c r="V115" s="690" t="str">
        <f t="shared" si="178"/>
        <v>"latitude":</v>
      </c>
      <c r="W115" s="690" t="str">
        <f t="shared" si="178"/>
        <v>"latitude":</v>
      </c>
      <c r="X115" s="690" t="str">
        <f t="shared" si="178"/>
        <v>"latitude":</v>
      </c>
      <c r="Y115" s="690" t="str">
        <f t="shared" si="178"/>
        <v>"latitude":</v>
      </c>
      <c r="Z115" s="690" t="str">
        <f t="shared" si="178"/>
        <v>"latitude":</v>
      </c>
      <c r="AA115" s="690" t="str">
        <f t="shared" si="178"/>
        <v>"latitude":</v>
      </c>
      <c r="AB115" s="690" t="str">
        <f t="shared" si="178"/>
        <v>"latitude":</v>
      </c>
      <c r="AC115" s="690" t="str">
        <f t="shared" si="178"/>
        <v>"latitude":</v>
      </c>
      <c r="AD115" s="690" t="str">
        <f t="shared" si="178"/>
        <v>"latitude":</v>
      </c>
      <c r="AE115" s="690" t="str">
        <f t="shared" si="178"/>
        <v>"latitude":</v>
      </c>
      <c r="AF115" s="690" t="str">
        <f t="shared" si="178"/>
        <v>"latitude":</v>
      </c>
      <c r="AG115" s="690" t="str">
        <f t="shared" si="178"/>
        <v>"latitude":</v>
      </c>
      <c r="AH115" s="690" t="str">
        <f t="shared" si="178"/>
        <v>"latitude":</v>
      </c>
      <c r="AI115" s="690" t="str">
        <f t="shared" si="178"/>
        <v>"latitude":</v>
      </c>
      <c r="AJ115" s="690" t="str">
        <f t="shared" si="178"/>
        <v>"latitude":</v>
      </c>
      <c r="AK115" s="690" t="str">
        <f t="shared" si="178"/>
        <v>"latitude":</v>
      </c>
      <c r="AL115" s="690" t="str">
        <f t="shared" si="178"/>
        <v>"latitude":</v>
      </c>
      <c r="AM115" s="690" t="str">
        <f t="shared" si="178"/>
        <v>"latitude":</v>
      </c>
      <c r="AN115" s="690" t="str">
        <f t="shared" si="178"/>
        <v>"latitude":</v>
      </c>
      <c r="AO115" s="690" t="str">
        <f t="shared" si="178"/>
        <v>"latitude":</v>
      </c>
      <c r="AP115" s="690" t="str">
        <f t="shared" si="178"/>
        <v>"latitude":</v>
      </c>
      <c r="AQ115" s="690" t="str">
        <f t="shared" si="178"/>
        <v>"latitude":</v>
      </c>
      <c r="AR115" s="690" t="str">
        <f t="shared" si="178"/>
        <v>"latitude":</v>
      </c>
      <c r="AS115" s="690" t="str">
        <f t="shared" si="178"/>
        <v>"latitude":</v>
      </c>
      <c r="AT115" s="690" t="str">
        <f t="shared" si="178"/>
        <v>"latitude":</v>
      </c>
      <c r="AU115" s="690" t="str">
        <f t="shared" si="178"/>
        <v>"latitude":</v>
      </c>
      <c r="AV115" s="690" t="str">
        <f t="shared" si="178"/>
        <v>"latitude":</v>
      </c>
      <c r="AW115" s="690" t="str">
        <f t="shared" si="178"/>
        <v>"latitude":</v>
      </c>
      <c r="AX115" s="690" t="str">
        <f t="shared" si="178"/>
        <v>"latitude":</v>
      </c>
      <c r="AY115" s="690" t="str">
        <f t="shared" si="178"/>
        <v>"latitude":</v>
      </c>
      <c r="AZ115" s="690" t="str">
        <f t="shared" si="178"/>
        <v>"latitude":</v>
      </c>
      <c r="BA115" s="690" t="str">
        <f t="shared" si="178"/>
        <v>"latitude":</v>
      </c>
      <c r="BB115" s="690" t="str">
        <f t="shared" si="178"/>
        <v>"latitude":</v>
      </c>
      <c r="BC115" s="691" t="str">
        <f t="shared" si="178"/>
        <v>"latitude":</v>
      </c>
      <c r="BD115" s="577" t="str">
        <f>""</f>
        <v/>
      </c>
    </row>
    <row r="116" spans="19:126" x14ac:dyDescent="0.2">
      <c r="S116" s="585"/>
      <c r="T116" s="692" t="str">
        <f t="shared" ref="T116:BC116" si="179">T30</f>
        <v/>
      </c>
      <c r="U116" s="693" t="str">
        <f t="shared" si="179"/>
        <v/>
      </c>
      <c r="V116" s="693" t="str">
        <f t="shared" si="179"/>
        <v/>
      </c>
      <c r="W116" s="693" t="str">
        <f t="shared" si="179"/>
        <v/>
      </c>
      <c r="X116" s="693" t="str">
        <f t="shared" si="179"/>
        <v/>
      </c>
      <c r="Y116" s="693" t="str">
        <f t="shared" si="179"/>
        <v/>
      </c>
      <c r="Z116" s="693" t="str">
        <f t="shared" si="179"/>
        <v/>
      </c>
      <c r="AA116" s="693" t="str">
        <f t="shared" si="179"/>
        <v/>
      </c>
      <c r="AB116" s="693" t="str">
        <f t="shared" si="179"/>
        <v/>
      </c>
      <c r="AC116" s="693" t="str">
        <f t="shared" si="179"/>
        <v/>
      </c>
      <c r="AD116" s="693" t="str">
        <f t="shared" si="179"/>
        <v/>
      </c>
      <c r="AE116" s="693" t="str">
        <f t="shared" si="179"/>
        <v/>
      </c>
      <c r="AF116" s="693" t="str">
        <f t="shared" si="179"/>
        <v/>
      </c>
      <c r="AG116" s="693" t="str">
        <f t="shared" si="179"/>
        <v/>
      </c>
      <c r="AH116" s="693" t="str">
        <f t="shared" si="179"/>
        <v/>
      </c>
      <c r="AI116" s="693" t="str">
        <f t="shared" si="179"/>
        <v/>
      </c>
      <c r="AJ116" s="693" t="str">
        <f t="shared" si="179"/>
        <v/>
      </c>
      <c r="AK116" s="693" t="str">
        <f t="shared" si="179"/>
        <v/>
      </c>
      <c r="AL116" s="693" t="str">
        <f t="shared" si="179"/>
        <v/>
      </c>
      <c r="AM116" s="693" t="str">
        <f t="shared" si="179"/>
        <v/>
      </c>
      <c r="AN116" s="693" t="str">
        <f t="shared" si="179"/>
        <v/>
      </c>
      <c r="AO116" s="693" t="str">
        <f t="shared" si="179"/>
        <v/>
      </c>
      <c r="AP116" s="693" t="str">
        <f t="shared" si="179"/>
        <v/>
      </c>
      <c r="AQ116" s="693" t="str">
        <f t="shared" si="179"/>
        <v/>
      </c>
      <c r="AR116" s="693" t="str">
        <f t="shared" si="179"/>
        <v/>
      </c>
      <c r="AS116" s="693" t="str">
        <f t="shared" si="179"/>
        <v/>
      </c>
      <c r="AT116" s="693" t="str">
        <f t="shared" si="179"/>
        <v/>
      </c>
      <c r="AU116" s="693" t="str">
        <f t="shared" si="179"/>
        <v/>
      </c>
      <c r="AV116" s="693" t="str">
        <f t="shared" si="179"/>
        <v/>
      </c>
      <c r="AW116" s="693" t="str">
        <f t="shared" si="179"/>
        <v/>
      </c>
      <c r="AX116" s="693" t="str">
        <f t="shared" si="179"/>
        <v/>
      </c>
      <c r="AY116" s="693" t="str">
        <f t="shared" si="179"/>
        <v/>
      </c>
      <c r="AZ116" s="693" t="str">
        <f t="shared" si="179"/>
        <v/>
      </c>
      <c r="BA116" s="693" t="str">
        <f t="shared" si="179"/>
        <v/>
      </c>
      <c r="BB116" s="693" t="str">
        <f t="shared" si="179"/>
        <v/>
      </c>
      <c r="BC116" s="694" t="str">
        <f t="shared" si="179"/>
        <v/>
      </c>
      <c r="BD116" s="577" t="str">
        <f>""</f>
        <v/>
      </c>
    </row>
    <row r="117" spans="19:126" x14ac:dyDescent="0.2">
      <c r="S117" s="585"/>
      <c r="T117" s="689" t="str">
        <f>T106</f>
        <v>,"longitude":</v>
      </c>
      <c r="U117" s="690" t="str">
        <f t="shared" ref="U117:BC117" si="180">T117</f>
        <v>,"longitude":</v>
      </c>
      <c r="V117" s="690" t="str">
        <f t="shared" si="180"/>
        <v>,"longitude":</v>
      </c>
      <c r="W117" s="690" t="str">
        <f t="shared" si="180"/>
        <v>,"longitude":</v>
      </c>
      <c r="X117" s="690" t="str">
        <f t="shared" si="180"/>
        <v>,"longitude":</v>
      </c>
      <c r="Y117" s="690" t="str">
        <f t="shared" si="180"/>
        <v>,"longitude":</v>
      </c>
      <c r="Z117" s="690" t="str">
        <f t="shared" si="180"/>
        <v>,"longitude":</v>
      </c>
      <c r="AA117" s="690" t="str">
        <f t="shared" si="180"/>
        <v>,"longitude":</v>
      </c>
      <c r="AB117" s="690" t="str">
        <f t="shared" si="180"/>
        <v>,"longitude":</v>
      </c>
      <c r="AC117" s="690" t="str">
        <f t="shared" si="180"/>
        <v>,"longitude":</v>
      </c>
      <c r="AD117" s="690" t="str">
        <f t="shared" si="180"/>
        <v>,"longitude":</v>
      </c>
      <c r="AE117" s="690" t="str">
        <f t="shared" si="180"/>
        <v>,"longitude":</v>
      </c>
      <c r="AF117" s="690" t="str">
        <f t="shared" si="180"/>
        <v>,"longitude":</v>
      </c>
      <c r="AG117" s="690" t="str">
        <f t="shared" si="180"/>
        <v>,"longitude":</v>
      </c>
      <c r="AH117" s="690" t="str">
        <f t="shared" si="180"/>
        <v>,"longitude":</v>
      </c>
      <c r="AI117" s="690" t="str">
        <f t="shared" si="180"/>
        <v>,"longitude":</v>
      </c>
      <c r="AJ117" s="690" t="str">
        <f t="shared" si="180"/>
        <v>,"longitude":</v>
      </c>
      <c r="AK117" s="690" t="str">
        <f t="shared" si="180"/>
        <v>,"longitude":</v>
      </c>
      <c r="AL117" s="690" t="str">
        <f t="shared" si="180"/>
        <v>,"longitude":</v>
      </c>
      <c r="AM117" s="690" t="str">
        <f t="shared" si="180"/>
        <v>,"longitude":</v>
      </c>
      <c r="AN117" s="690" t="str">
        <f t="shared" si="180"/>
        <v>,"longitude":</v>
      </c>
      <c r="AO117" s="690" t="str">
        <f t="shared" si="180"/>
        <v>,"longitude":</v>
      </c>
      <c r="AP117" s="690" t="str">
        <f t="shared" si="180"/>
        <v>,"longitude":</v>
      </c>
      <c r="AQ117" s="690" t="str">
        <f t="shared" si="180"/>
        <v>,"longitude":</v>
      </c>
      <c r="AR117" s="690" t="str">
        <f t="shared" si="180"/>
        <v>,"longitude":</v>
      </c>
      <c r="AS117" s="690" t="str">
        <f t="shared" si="180"/>
        <v>,"longitude":</v>
      </c>
      <c r="AT117" s="690" t="str">
        <f t="shared" si="180"/>
        <v>,"longitude":</v>
      </c>
      <c r="AU117" s="690" t="str">
        <f t="shared" si="180"/>
        <v>,"longitude":</v>
      </c>
      <c r="AV117" s="690" t="str">
        <f t="shared" si="180"/>
        <v>,"longitude":</v>
      </c>
      <c r="AW117" s="690" t="str">
        <f t="shared" si="180"/>
        <v>,"longitude":</v>
      </c>
      <c r="AX117" s="690" t="str">
        <f t="shared" si="180"/>
        <v>,"longitude":</v>
      </c>
      <c r="AY117" s="690" t="str">
        <f t="shared" si="180"/>
        <v>,"longitude":</v>
      </c>
      <c r="AZ117" s="690" t="str">
        <f t="shared" si="180"/>
        <v>,"longitude":</v>
      </c>
      <c r="BA117" s="690" t="str">
        <f t="shared" si="180"/>
        <v>,"longitude":</v>
      </c>
      <c r="BB117" s="690" t="str">
        <f t="shared" si="180"/>
        <v>,"longitude":</v>
      </c>
      <c r="BC117" s="691" t="str">
        <f t="shared" si="180"/>
        <v>,"longitude":</v>
      </c>
      <c r="BD117" s="577" t="str">
        <f>""</f>
        <v/>
      </c>
    </row>
    <row r="118" spans="19:126" x14ac:dyDescent="0.2">
      <c r="S118" s="585"/>
      <c r="T118" s="692" t="str">
        <f t="shared" ref="T118:BC118" si="181">T31</f>
        <v/>
      </c>
      <c r="U118" s="693" t="str">
        <f t="shared" si="181"/>
        <v/>
      </c>
      <c r="V118" s="693" t="str">
        <f t="shared" si="181"/>
        <v/>
      </c>
      <c r="W118" s="693" t="str">
        <f t="shared" si="181"/>
        <v/>
      </c>
      <c r="X118" s="693" t="str">
        <f t="shared" si="181"/>
        <v/>
      </c>
      <c r="Y118" s="693" t="str">
        <f t="shared" si="181"/>
        <v/>
      </c>
      <c r="Z118" s="693" t="str">
        <f t="shared" si="181"/>
        <v/>
      </c>
      <c r="AA118" s="693" t="str">
        <f t="shared" si="181"/>
        <v/>
      </c>
      <c r="AB118" s="693" t="str">
        <f t="shared" si="181"/>
        <v/>
      </c>
      <c r="AC118" s="693" t="str">
        <f t="shared" si="181"/>
        <v/>
      </c>
      <c r="AD118" s="693" t="str">
        <f t="shared" si="181"/>
        <v/>
      </c>
      <c r="AE118" s="693" t="str">
        <f t="shared" si="181"/>
        <v/>
      </c>
      <c r="AF118" s="693" t="str">
        <f t="shared" si="181"/>
        <v/>
      </c>
      <c r="AG118" s="693" t="str">
        <f t="shared" si="181"/>
        <v/>
      </c>
      <c r="AH118" s="693" t="str">
        <f t="shared" si="181"/>
        <v/>
      </c>
      <c r="AI118" s="693" t="str">
        <f t="shared" si="181"/>
        <v/>
      </c>
      <c r="AJ118" s="693" t="str">
        <f t="shared" si="181"/>
        <v/>
      </c>
      <c r="AK118" s="693" t="str">
        <f t="shared" si="181"/>
        <v/>
      </c>
      <c r="AL118" s="693" t="str">
        <f t="shared" si="181"/>
        <v/>
      </c>
      <c r="AM118" s="693" t="str">
        <f t="shared" si="181"/>
        <v/>
      </c>
      <c r="AN118" s="693" t="str">
        <f t="shared" si="181"/>
        <v/>
      </c>
      <c r="AO118" s="693" t="str">
        <f t="shared" si="181"/>
        <v/>
      </c>
      <c r="AP118" s="693" t="str">
        <f t="shared" si="181"/>
        <v/>
      </c>
      <c r="AQ118" s="693" t="str">
        <f t="shared" si="181"/>
        <v/>
      </c>
      <c r="AR118" s="693" t="str">
        <f t="shared" si="181"/>
        <v/>
      </c>
      <c r="AS118" s="693" t="str">
        <f t="shared" si="181"/>
        <v/>
      </c>
      <c r="AT118" s="693" t="str">
        <f t="shared" si="181"/>
        <v/>
      </c>
      <c r="AU118" s="693" t="str">
        <f t="shared" si="181"/>
        <v/>
      </c>
      <c r="AV118" s="693" t="str">
        <f t="shared" si="181"/>
        <v/>
      </c>
      <c r="AW118" s="693" t="str">
        <f t="shared" si="181"/>
        <v/>
      </c>
      <c r="AX118" s="693" t="str">
        <f t="shared" si="181"/>
        <v/>
      </c>
      <c r="AY118" s="693" t="str">
        <f t="shared" si="181"/>
        <v/>
      </c>
      <c r="AZ118" s="693" t="str">
        <f t="shared" si="181"/>
        <v/>
      </c>
      <c r="BA118" s="693" t="str">
        <f t="shared" si="181"/>
        <v/>
      </c>
      <c r="BB118" s="693" t="str">
        <f t="shared" si="181"/>
        <v/>
      </c>
      <c r="BC118" s="694" t="str">
        <f t="shared" si="181"/>
        <v/>
      </c>
      <c r="BD118" s="577" t="str">
        <f>""</f>
        <v/>
      </c>
    </row>
    <row r="119" spans="19:126" ht="13.5" thickBot="1" x14ac:dyDescent="0.25">
      <c r="S119" s="642" t="s">
        <v>500</v>
      </c>
      <c r="T119" s="654" t="str">
        <f t="shared" ref="T119:BC119" si="182">IF(T111="",T108,CONCATENATE(T108,T109,T110,T111,T112,T113,T114,T115,T116,T117,T118))</f>
        <v>{"direction":10,"fetchPoints":[{"left":{"latitude":0.00307203909640892,"longitude":0.000268768595102742},"right":{"latitude":0.00297869674290592,"longitude":0.0007981393863477</v>
      </c>
      <c r="U119" s="655" t="str">
        <f t="shared" si="182"/>
        <v>{"direction":20,"fetchPoints":[{"left":{"latitude":0.00297869674290592,"longitude":0.000798139387503729},"right":{"latitude":0.00279484819610047,"longitude":0.00130325911648073</v>
      </c>
      <c r="V119" s="655" t="str">
        <f t="shared" si="182"/>
        <v>{"direction":30,"fetchPoints":[{"left":{"latitude":0.00279484819610047,"longitude":0.00130325911836838},"right":{"latitude":0.00252607960109505,"longitude":0.00176877997766961</v>
      </c>
      <c r="W119" s="655" t="str">
        <f t="shared" si="182"/>
        <v>{"direction":40,"fetchPoints":[{"left":{"latitude":0.00252607960109505,"longitude":0.00176877998023152},"right":{"latitude":0.0021805573556912,"longitude":0.00218055735411203</v>
      </c>
      <c r="X119" s="655" t="str">
        <f t="shared" si="182"/>
        <v>{"direction":50,"fetchPoints":[{"left":{"latitude":0.0021805573556912,"longitude":0.00218055735727036},"right":{"latitude":0.00176877997851245,"longitude":0.00252607959863997</v>
      </c>
      <c r="Y119" s="655" t="str">
        <f t="shared" si="182"/>
        <v>{"direction":60,"fetchPoints":[{"left":{"latitude":0.00176877997851245,"longitude":0.00252607960229875},"right":{"latitude":0.00130325911681788,"longitude":0.00279484819277541</v>
      </c>
      <c r="Z119" s="655" t="str">
        <f t="shared" si="182"/>
        <v>{"direction":70,"fetchPoints":[{"left":{"latitude":0.00130325911681788,"longitude":0.00279484819682348},"right":{"latitude":0.000798139386425139,"longitude":0.00297869673888057</v>
      </c>
      <c r="AA119" s="655" t="str">
        <f t="shared" si="182"/>
        <v>{"direction":80,"fetchPoints":[{"left":{"latitude":0.000798139386425139,"longitude":0.00297869674319492},"right":{"latitude":0.000268768594716413,"longitude":0.00307203909199317</v>
      </c>
      <c r="AB119" s="655" t="str">
        <f t="shared" si="182"/>
        <v>{"direction":90,"fetchPoints":[{"left":{"latitude":0.000268768594716413,"longitude":0.00307203909644272},"right":{"latitude":-0.000268768594716414,"longitude":0.00307203909199317</v>
      </c>
      <c r="AC119" s="655" t="str">
        <f t="shared" si="182"/>
        <v>{"direction":100,"fetchPoints":[{"left":{"latitude":-0.000268768594716414,"longitude":0.00307203909644272},"right":{"latitude":-0.00079813938642514,"longitude":0.00297869673888057</v>
      </c>
      <c r="AD119" s="655" t="str">
        <f t="shared" si="182"/>
        <v>{"direction":110,"fetchPoints":[{"left":{"latitude":-0.00079813938642514,"longitude":0.00297869674319492},"right":{"latitude":-0.00130325911681788,"longitude":0.00279484819277541</v>
      </c>
      <c r="AE119" s="655" t="str">
        <f t="shared" si="182"/>
        <v>{"direction":120,"fetchPoints":[{"left":{"latitude":-0.00130325911681788,"longitude":0.00279484819682348},"right":{"latitude":-0.00176877997851245,"longitude":0.00252607959863997</v>
      </c>
      <c r="AF119" s="655" t="str">
        <f t="shared" si="182"/>
        <v>{"direction":130,"fetchPoints":[{"left":{"latitude":-0.00176877997851245,"longitude":0.00252607960229875},"right":{"latitude":-0.0021805573556912,"longitude":0.00218055735411203</v>
      </c>
      <c r="AG119" s="655" t="str">
        <f t="shared" si="182"/>
        <v>{"direction":140,"fetchPoints":[{"left":{"latitude":-0.0021805573556912,"longitude":0.00218055735727036},"right":{"latitude":-0.00252607960109505,"longitude":0.00176877997766961</v>
      </c>
      <c r="AH119" s="655" t="str">
        <f t="shared" si="182"/>
        <v>{"direction":150,"fetchPoints":[{"left":{"latitude":-0.00252607960109505,"longitude":0.00176877998023152},"right":{"latitude":-0.00279484819610047,"longitude":0.00130325911648073</v>
      </c>
      <c r="AI119" s="655" t="str">
        <f t="shared" si="182"/>
        <v>{"direction":160,"fetchPoints":[{"left":{"latitude":-0.00279484819610047,"longitude":0.00130325911836838},"right":{"latitude":-0.00297869674290592,"longitude":0.000798139386347701</v>
      </c>
      <c r="AJ119" s="655" t="str">
        <f t="shared" si="182"/>
        <v>{"direction":170,"fetchPoints":[{"left":{"latitude":-0.00297869674290592,"longitude":0.00079813938750373},"right":{"latitude":-0.00307203909640892,"longitude":0.000268768594713458</v>
      </c>
      <c r="AK119" s="655" t="str">
        <f t="shared" si="182"/>
        <v>{"direction":180,"fetchPoints":[{"left":{"latitude":-0.00307203909640892,"longitude":0.000268768595102743},"right":{"latitude":-0.00307203909640892,"longitude":-0.000268768594713456</v>
      </c>
      <c r="AL119" s="655" t="str">
        <f t="shared" si="182"/>
        <v>{"direction":190,"fetchPoints":[{"left":{"latitude":-0.00307203909640892,"longitude":-0.000268768595102741},"right":{"latitude":-0.00297869674290592,"longitude":-0.000798139386347699</v>
      </c>
      <c r="AM119" s="655" t="str">
        <f t="shared" si="182"/>
        <v>{"direction":200,"fetchPoints":[{"left":{"latitude":-0.00297869674290592,"longitude":-0.000798139387503727},"right":{"latitude":-0.00279484819610047,"longitude":-0.00130325911648073</v>
      </c>
      <c r="AN119" s="655" t="str">
        <f t="shared" si="182"/>
        <v>{"direction":210,"fetchPoints":[{"left":{"latitude":-0.00279484819610047,"longitude":-0.00130325911836838},"right":{"latitude":-0.00252607960109505,"longitude":-0.00176877997766961</v>
      </c>
      <c r="AO119" s="655" t="str">
        <f t="shared" si="182"/>
        <v>{"direction":220,"fetchPoints":[{"left":{"latitude":-0.00252607960109505,"longitude":-0.00176877998023152},"right":{"latitude":-0.0021805573556912,"longitude":-0.00218055735411203</v>
      </c>
      <c r="AP119" s="655" t="str">
        <f t="shared" si="182"/>
        <v>{"direction":230,"fetchPoints":[{"left":{"latitude":-0.0021805573556912,"longitude":-0.00218055735727036},"right":{"latitude":-0.00176877997851246,"longitude":-0.00252607959863997</v>
      </c>
      <c r="AQ119" s="655" t="str">
        <f t="shared" si="182"/>
        <v>{"direction":240,"fetchPoints":[{"left":{"latitude":-0.00176877997851246,"longitude":-0.00252607960229875},"right":{"latitude":-0.00130325911681788,"longitude":-0.00279484819277541</v>
      </c>
      <c r="AR119" s="655" t="str">
        <f t="shared" si="182"/>
        <v>{"direction":250,"fetchPoints":[{"left":{"latitude":-0.00130325911681788,"longitude":-0.00279484819682348},"right":{"latitude":-0.000798139386425139,"longitude":-0.00297869673888057</v>
      </c>
      <c r="AS119" s="655" t="str">
        <f t="shared" si="182"/>
        <v>{"direction":260,"fetchPoints":[{"left":{"latitude":-0.000798139386425139,"longitude":-0.00297869674319492},"right":{"latitude":-0.000268768594716414,"longitude":-0.00307203909199317</v>
      </c>
      <c r="AT119" s="655" t="str">
        <f t="shared" si="182"/>
        <v>{"direction":270,"fetchPoints":[{"left":{"latitude":-0.000268768594716414,"longitude":-0.00307203909644272},"right":{"latitude":0.000268768594716413,"longitude":-0.00307203909199317</v>
      </c>
      <c r="AU119" s="655" t="str">
        <f t="shared" si="182"/>
        <v>{"direction":280,"fetchPoints":[{"left":{"latitude":0.000268768594716413,"longitude":-0.00307203909644272},"right":{"latitude":0.00079813938642514,"longitude":-0.00297869673888057</v>
      </c>
      <c r="AV119" s="655" t="str">
        <f t="shared" si="182"/>
        <v>{"direction":290,"fetchPoints":[{"left":{"latitude":0.00079813938642514,"longitude":-0.00297869674319492},"right":{"latitude":0.00130325911681788,"longitude":-0.00279484819277541</v>
      </c>
      <c r="AW119" s="655" t="str">
        <f t="shared" si="182"/>
        <v>{"direction":300,"fetchPoints":[{"left":{"latitude":0.00130325911681788,"longitude":-0.00279484819682348},"right":{"latitude":0.00176877997851245,"longitude":-0.00252607959863997</v>
      </c>
      <c r="AX119" s="655" t="str">
        <f t="shared" si="182"/>
        <v>{"direction":310,"fetchPoints":[{"left":{"latitude":0.00176877997851245,"longitude":-0.00252607960229875},"right":{"latitude":0.0021805573556912,"longitude":-0.00218055735411203</v>
      </c>
      <c r="AY119" s="655" t="str">
        <f t="shared" si="182"/>
        <v>{"direction":320,"fetchPoints":[{"left":{"latitude":0.0021805573556912,"longitude":-0.00218055735727036},"right":{"latitude":0.00252607960109505,"longitude":-0.00176877997766961</v>
      </c>
      <c r="AZ119" s="655" t="str">
        <f t="shared" si="182"/>
        <v>{"direction":330,"fetchPoints":[{"left":{"latitude":0.00252607960109505,"longitude":-0.00176877998023152},"right":{"latitude":0.00279484819610047,"longitude":-0.00130325911648074</v>
      </c>
      <c r="BA119" s="655" t="str">
        <f t="shared" si="182"/>
        <v>{"direction":340,"fetchPoints":[{"left":{"latitude":0.00279484819610047,"longitude":-0.00130325911836838},"right":{"latitude":0.00297869674290592,"longitude":-0.0007981393863477</v>
      </c>
      <c r="BB119" s="655" t="str">
        <f t="shared" si="182"/>
        <v>{"direction":350,"fetchPoints":[{"left":{"latitude":0.00297869674290592,"longitude":-0.000798139387503728},"right":{"latitude":0.00307203909640892,"longitude":-0.000268768594713457</v>
      </c>
      <c r="BC119" s="656" t="str">
        <f t="shared" si="182"/>
        <v>{"direction":360,"fetchPoints":[{"left":{"latitude":0.00307203909640892,"longitude":-0.000268768595102742},"right":{"latitude":0.00307203909640892,"longitude":0.000268768594713458</v>
      </c>
      <c r="BD119" s="577" t="str">
        <f>""</f>
        <v/>
      </c>
    </row>
    <row r="120" spans="19:126" ht="13.5" thickBot="1" x14ac:dyDescent="0.25">
      <c r="S120" s="642" t="s">
        <v>448</v>
      </c>
      <c r="T120" s="695" t="str">
        <f>T109</f>
        <v>}},{"left":{</v>
      </c>
      <c r="U120" s="696" t="str">
        <f t="shared" ref="U120:BC120" si="183">T120</f>
        <v>}},{"left":{</v>
      </c>
      <c r="V120" s="696" t="str">
        <f t="shared" si="183"/>
        <v>}},{"left":{</v>
      </c>
      <c r="W120" s="696" t="str">
        <f t="shared" si="183"/>
        <v>}},{"left":{</v>
      </c>
      <c r="X120" s="696" t="str">
        <f t="shared" si="183"/>
        <v>}},{"left":{</v>
      </c>
      <c r="Y120" s="696" t="str">
        <f t="shared" si="183"/>
        <v>}},{"left":{</v>
      </c>
      <c r="Z120" s="696" t="str">
        <f t="shared" si="183"/>
        <v>}},{"left":{</v>
      </c>
      <c r="AA120" s="696" t="str">
        <f t="shared" si="183"/>
        <v>}},{"left":{</v>
      </c>
      <c r="AB120" s="696" t="str">
        <f t="shared" si="183"/>
        <v>}},{"left":{</v>
      </c>
      <c r="AC120" s="696" t="str">
        <f t="shared" si="183"/>
        <v>}},{"left":{</v>
      </c>
      <c r="AD120" s="696" t="str">
        <f t="shared" si="183"/>
        <v>}},{"left":{</v>
      </c>
      <c r="AE120" s="696" t="str">
        <f t="shared" si="183"/>
        <v>}},{"left":{</v>
      </c>
      <c r="AF120" s="696" t="str">
        <f t="shared" si="183"/>
        <v>}},{"left":{</v>
      </c>
      <c r="AG120" s="696" t="str">
        <f t="shared" si="183"/>
        <v>}},{"left":{</v>
      </c>
      <c r="AH120" s="696" t="str">
        <f t="shared" si="183"/>
        <v>}},{"left":{</v>
      </c>
      <c r="AI120" s="696" t="str">
        <f t="shared" si="183"/>
        <v>}},{"left":{</v>
      </c>
      <c r="AJ120" s="696" t="str">
        <f t="shared" si="183"/>
        <v>}},{"left":{</v>
      </c>
      <c r="AK120" s="696" t="str">
        <f t="shared" si="183"/>
        <v>}},{"left":{</v>
      </c>
      <c r="AL120" s="696" t="str">
        <f t="shared" si="183"/>
        <v>}},{"left":{</v>
      </c>
      <c r="AM120" s="696" t="str">
        <f t="shared" si="183"/>
        <v>}},{"left":{</v>
      </c>
      <c r="AN120" s="696" t="str">
        <f t="shared" si="183"/>
        <v>}},{"left":{</v>
      </c>
      <c r="AO120" s="696" t="str">
        <f t="shared" si="183"/>
        <v>}},{"left":{</v>
      </c>
      <c r="AP120" s="696" t="str">
        <f t="shared" si="183"/>
        <v>}},{"left":{</v>
      </c>
      <c r="AQ120" s="696" t="str">
        <f t="shared" si="183"/>
        <v>}},{"left":{</v>
      </c>
      <c r="AR120" s="696" t="str">
        <f t="shared" si="183"/>
        <v>}},{"left":{</v>
      </c>
      <c r="AS120" s="696" t="str">
        <f t="shared" si="183"/>
        <v>}},{"left":{</v>
      </c>
      <c r="AT120" s="696" t="str">
        <f t="shared" si="183"/>
        <v>}},{"left":{</v>
      </c>
      <c r="AU120" s="696" t="str">
        <f t="shared" si="183"/>
        <v>}},{"left":{</v>
      </c>
      <c r="AV120" s="696" t="str">
        <f t="shared" si="183"/>
        <v>}},{"left":{</v>
      </c>
      <c r="AW120" s="696" t="str">
        <f t="shared" si="183"/>
        <v>}},{"left":{</v>
      </c>
      <c r="AX120" s="696" t="str">
        <f t="shared" si="183"/>
        <v>}},{"left":{</v>
      </c>
      <c r="AY120" s="696" t="str">
        <f t="shared" si="183"/>
        <v>}},{"left":{</v>
      </c>
      <c r="AZ120" s="696" t="str">
        <f t="shared" si="183"/>
        <v>}},{"left":{</v>
      </c>
      <c r="BA120" s="696" t="str">
        <f t="shared" si="183"/>
        <v>}},{"left":{</v>
      </c>
      <c r="BB120" s="696" t="str">
        <f t="shared" si="183"/>
        <v>}},{"left":{</v>
      </c>
      <c r="BC120" s="697" t="str">
        <f t="shared" si="183"/>
        <v>}},{"left":{</v>
      </c>
      <c r="BD120" s="577" t="str">
        <f>""</f>
        <v/>
      </c>
    </row>
    <row r="121" spans="19:126" ht="13.5" thickBot="1" x14ac:dyDescent="0.25">
      <c r="S121" s="585"/>
      <c r="T121" s="698" t="str">
        <f>T110</f>
        <v>"latitude":</v>
      </c>
      <c r="U121" s="699" t="str">
        <f t="shared" ref="U121:BC121" si="184">T121</f>
        <v>"latitude":</v>
      </c>
      <c r="V121" s="699" t="str">
        <f t="shared" si="184"/>
        <v>"latitude":</v>
      </c>
      <c r="W121" s="699" t="str">
        <f t="shared" si="184"/>
        <v>"latitude":</v>
      </c>
      <c r="X121" s="699" t="str">
        <f t="shared" si="184"/>
        <v>"latitude":</v>
      </c>
      <c r="Y121" s="699" t="str">
        <f t="shared" si="184"/>
        <v>"latitude":</v>
      </c>
      <c r="Z121" s="699" t="str">
        <f t="shared" si="184"/>
        <v>"latitude":</v>
      </c>
      <c r="AA121" s="699" t="str">
        <f t="shared" si="184"/>
        <v>"latitude":</v>
      </c>
      <c r="AB121" s="699" t="str">
        <f t="shared" si="184"/>
        <v>"latitude":</v>
      </c>
      <c r="AC121" s="699" t="str">
        <f t="shared" si="184"/>
        <v>"latitude":</v>
      </c>
      <c r="AD121" s="699" t="str">
        <f t="shared" si="184"/>
        <v>"latitude":</v>
      </c>
      <c r="AE121" s="699" t="str">
        <f t="shared" si="184"/>
        <v>"latitude":</v>
      </c>
      <c r="AF121" s="699" t="str">
        <f t="shared" si="184"/>
        <v>"latitude":</v>
      </c>
      <c r="AG121" s="699" t="str">
        <f t="shared" si="184"/>
        <v>"latitude":</v>
      </c>
      <c r="AH121" s="699" t="str">
        <f t="shared" si="184"/>
        <v>"latitude":</v>
      </c>
      <c r="AI121" s="699" t="str">
        <f t="shared" si="184"/>
        <v>"latitude":</v>
      </c>
      <c r="AJ121" s="699" t="str">
        <f t="shared" si="184"/>
        <v>"latitude":</v>
      </c>
      <c r="AK121" s="699" t="str">
        <f t="shared" si="184"/>
        <v>"latitude":</v>
      </c>
      <c r="AL121" s="699" t="str">
        <f t="shared" si="184"/>
        <v>"latitude":</v>
      </c>
      <c r="AM121" s="699" t="str">
        <f t="shared" si="184"/>
        <v>"latitude":</v>
      </c>
      <c r="AN121" s="699" t="str">
        <f t="shared" si="184"/>
        <v>"latitude":</v>
      </c>
      <c r="AO121" s="699" t="str">
        <f t="shared" si="184"/>
        <v>"latitude":</v>
      </c>
      <c r="AP121" s="699" t="str">
        <f t="shared" si="184"/>
        <v>"latitude":</v>
      </c>
      <c r="AQ121" s="699" t="str">
        <f t="shared" si="184"/>
        <v>"latitude":</v>
      </c>
      <c r="AR121" s="699" t="str">
        <f t="shared" si="184"/>
        <v>"latitude":</v>
      </c>
      <c r="AS121" s="699" t="str">
        <f t="shared" si="184"/>
        <v>"latitude":</v>
      </c>
      <c r="AT121" s="699" t="str">
        <f t="shared" si="184"/>
        <v>"latitude":</v>
      </c>
      <c r="AU121" s="699" t="str">
        <f t="shared" si="184"/>
        <v>"latitude":</v>
      </c>
      <c r="AV121" s="699" t="str">
        <f t="shared" si="184"/>
        <v>"latitude":</v>
      </c>
      <c r="AW121" s="699" t="str">
        <f t="shared" si="184"/>
        <v>"latitude":</v>
      </c>
      <c r="AX121" s="699" t="str">
        <f t="shared" si="184"/>
        <v>"latitude":</v>
      </c>
      <c r="AY121" s="699" t="str">
        <f t="shared" si="184"/>
        <v>"latitude":</v>
      </c>
      <c r="AZ121" s="699" t="str">
        <f t="shared" si="184"/>
        <v>"latitude":</v>
      </c>
      <c r="BA121" s="699" t="str">
        <f t="shared" si="184"/>
        <v>"latitude":</v>
      </c>
      <c r="BB121" s="699" t="str">
        <f t="shared" si="184"/>
        <v>"latitude":</v>
      </c>
      <c r="BC121" s="700" t="str">
        <f t="shared" si="184"/>
        <v>"latitude":</v>
      </c>
      <c r="BD121" s="577" t="str">
        <f>""</f>
        <v/>
      </c>
      <c r="CF121" s="967"/>
      <c r="CG121" s="967"/>
      <c r="CH121" s="967"/>
      <c r="CI121" s="967"/>
      <c r="CJ121" s="967"/>
      <c r="CK121" s="967"/>
      <c r="CM121" s="1256" t="s">
        <v>581</v>
      </c>
      <c r="CN121" s="1257"/>
      <c r="CO121" s="1257"/>
      <c r="CP121" s="1257"/>
      <c r="CQ121" s="1257"/>
      <c r="CR121" s="1257"/>
      <c r="CS121" s="1257"/>
      <c r="CT121" s="1257"/>
      <c r="CU121" s="1257"/>
      <c r="CV121" s="1257"/>
      <c r="CW121" s="1257"/>
      <c r="CX121" s="1257"/>
      <c r="CY121" s="1257"/>
      <c r="CZ121" s="1257"/>
      <c r="DA121" s="1257"/>
      <c r="DB121" s="1257"/>
      <c r="DC121" s="1257"/>
      <c r="DD121" s="1257"/>
      <c r="DE121" s="1257"/>
      <c r="DF121" s="1257"/>
      <c r="DG121" s="1257"/>
      <c r="DH121" s="1257"/>
      <c r="DI121" s="1257"/>
      <c r="DJ121" s="1257"/>
      <c r="DK121" s="1257"/>
      <c r="DL121" s="1257"/>
      <c r="DM121" s="1257"/>
      <c r="DN121" s="1257"/>
      <c r="DO121" s="1257"/>
      <c r="DP121" s="1257"/>
      <c r="DQ121" s="1257"/>
      <c r="DR121" s="1257"/>
      <c r="DS121" s="1257"/>
      <c r="DT121" s="1257"/>
      <c r="DU121" s="1257"/>
      <c r="DV121" s="1258"/>
    </row>
    <row r="122" spans="19:126" ht="13.5" thickBot="1" x14ac:dyDescent="0.25">
      <c r="S122" s="585"/>
      <c r="T122" s="701" t="str">
        <f t="shared" ref="T122:BC122" si="185">T33</f>
        <v/>
      </c>
      <c r="U122" s="702" t="str">
        <f t="shared" si="185"/>
        <v/>
      </c>
      <c r="V122" s="702" t="str">
        <f t="shared" si="185"/>
        <v/>
      </c>
      <c r="W122" s="702" t="str">
        <f t="shared" si="185"/>
        <v/>
      </c>
      <c r="X122" s="702" t="str">
        <f t="shared" si="185"/>
        <v/>
      </c>
      <c r="Y122" s="702" t="str">
        <f t="shared" si="185"/>
        <v/>
      </c>
      <c r="Z122" s="702" t="str">
        <f t="shared" si="185"/>
        <v/>
      </c>
      <c r="AA122" s="702" t="str">
        <f t="shared" si="185"/>
        <v/>
      </c>
      <c r="AB122" s="702" t="str">
        <f t="shared" si="185"/>
        <v/>
      </c>
      <c r="AC122" s="702" t="str">
        <f t="shared" si="185"/>
        <v/>
      </c>
      <c r="AD122" s="702" t="str">
        <f t="shared" si="185"/>
        <v/>
      </c>
      <c r="AE122" s="702" t="str">
        <f t="shared" si="185"/>
        <v/>
      </c>
      <c r="AF122" s="702" t="str">
        <f t="shared" si="185"/>
        <v/>
      </c>
      <c r="AG122" s="702" t="str">
        <f t="shared" si="185"/>
        <v/>
      </c>
      <c r="AH122" s="702" t="str">
        <f t="shared" si="185"/>
        <v/>
      </c>
      <c r="AI122" s="702" t="str">
        <f t="shared" si="185"/>
        <v/>
      </c>
      <c r="AJ122" s="702" t="str">
        <f t="shared" si="185"/>
        <v/>
      </c>
      <c r="AK122" s="702" t="str">
        <f t="shared" si="185"/>
        <v/>
      </c>
      <c r="AL122" s="702" t="str">
        <f t="shared" si="185"/>
        <v/>
      </c>
      <c r="AM122" s="702" t="str">
        <f t="shared" si="185"/>
        <v/>
      </c>
      <c r="AN122" s="702" t="str">
        <f t="shared" si="185"/>
        <v/>
      </c>
      <c r="AO122" s="702" t="str">
        <f t="shared" si="185"/>
        <v/>
      </c>
      <c r="AP122" s="702" t="str">
        <f t="shared" si="185"/>
        <v/>
      </c>
      <c r="AQ122" s="702" t="str">
        <f t="shared" si="185"/>
        <v/>
      </c>
      <c r="AR122" s="702" t="str">
        <f t="shared" si="185"/>
        <v/>
      </c>
      <c r="AS122" s="702" t="str">
        <f t="shared" si="185"/>
        <v/>
      </c>
      <c r="AT122" s="702" t="str">
        <f t="shared" si="185"/>
        <v/>
      </c>
      <c r="AU122" s="702" t="str">
        <f t="shared" si="185"/>
        <v/>
      </c>
      <c r="AV122" s="702" t="str">
        <f t="shared" si="185"/>
        <v/>
      </c>
      <c r="AW122" s="702" t="str">
        <f t="shared" si="185"/>
        <v/>
      </c>
      <c r="AX122" s="702" t="str">
        <f t="shared" si="185"/>
        <v/>
      </c>
      <c r="AY122" s="702" t="str">
        <f t="shared" si="185"/>
        <v/>
      </c>
      <c r="AZ122" s="702" t="str">
        <f t="shared" si="185"/>
        <v/>
      </c>
      <c r="BA122" s="702" t="str">
        <f t="shared" si="185"/>
        <v/>
      </c>
      <c r="BB122" s="702" t="str">
        <f t="shared" si="185"/>
        <v/>
      </c>
      <c r="BC122" s="703" t="str">
        <f t="shared" si="185"/>
        <v/>
      </c>
      <c r="BD122" s="577" t="str">
        <f>""</f>
        <v/>
      </c>
      <c r="BF122" s="1256" t="s">
        <v>435</v>
      </c>
      <c r="BG122" s="1258"/>
      <c r="BH122" s="1290" t="s">
        <v>596</v>
      </c>
      <c r="BI122" s="1291"/>
      <c r="BJ122" s="1291"/>
      <c r="BK122" s="1291"/>
      <c r="BL122" s="1291"/>
      <c r="BM122" s="1292"/>
      <c r="BN122" s="1256" t="s">
        <v>578</v>
      </c>
      <c r="BO122" s="1257"/>
      <c r="BP122" s="1257"/>
      <c r="BQ122" s="1257"/>
      <c r="BR122" s="1257"/>
      <c r="BS122" s="1258"/>
      <c r="BT122" s="1247" t="s">
        <v>573</v>
      </c>
      <c r="BU122" s="1248"/>
      <c r="BV122" s="1248"/>
      <c r="BW122" s="1248"/>
      <c r="BX122" s="1248"/>
      <c r="BY122" s="1249"/>
      <c r="BZ122" s="1253" t="s">
        <v>576</v>
      </c>
      <c r="CA122" s="1254"/>
      <c r="CB122" s="1254"/>
      <c r="CC122" s="1254"/>
      <c r="CD122" s="1254"/>
      <c r="CE122" s="1255"/>
      <c r="CF122" s="1250" t="s">
        <v>577</v>
      </c>
      <c r="CG122" s="1251"/>
      <c r="CH122" s="1250" t="s">
        <v>579</v>
      </c>
      <c r="CI122" s="1252"/>
      <c r="CJ122" s="1251" t="s">
        <v>580</v>
      </c>
      <c r="CK122" s="1252"/>
      <c r="CL122" s="971"/>
      <c r="CM122" s="968">
        <f>IF(COUNT(CM124:CM139)=1,SUM(CM124:CM139),"!!")</f>
        <v>1</v>
      </c>
      <c r="CN122" s="969">
        <f t="shared" ref="CN122:DV122" si="186">IF(COUNT(CN124:CN139)=1,SUM(CN124:CN139),"!!")</f>
        <v>1</v>
      </c>
      <c r="CO122" s="969">
        <f t="shared" si="186"/>
        <v>1</v>
      </c>
      <c r="CP122" s="969">
        <f t="shared" si="186"/>
        <v>2</v>
      </c>
      <c r="CQ122" s="969">
        <f t="shared" si="186"/>
        <v>2</v>
      </c>
      <c r="CR122" s="969">
        <f t="shared" si="186"/>
        <v>2</v>
      </c>
      <c r="CS122" s="969">
        <f t="shared" si="186"/>
        <v>3</v>
      </c>
      <c r="CT122" s="969">
        <f t="shared" si="186"/>
        <v>3</v>
      </c>
      <c r="CU122" s="969">
        <f t="shared" si="186"/>
        <v>3</v>
      </c>
      <c r="CV122" s="969">
        <f t="shared" si="186"/>
        <v>4</v>
      </c>
      <c r="CW122" s="969">
        <f t="shared" si="186"/>
        <v>4</v>
      </c>
      <c r="CX122" s="969">
        <f t="shared" si="186"/>
        <v>4</v>
      </c>
      <c r="CY122" s="969">
        <f t="shared" si="186"/>
        <v>5</v>
      </c>
      <c r="CZ122" s="969">
        <f t="shared" si="186"/>
        <v>5</v>
      </c>
      <c r="DA122" s="969">
        <f t="shared" si="186"/>
        <v>5</v>
      </c>
      <c r="DB122" s="969">
        <f t="shared" si="186"/>
        <v>6</v>
      </c>
      <c r="DC122" s="969">
        <f t="shared" si="186"/>
        <v>6</v>
      </c>
      <c r="DD122" s="969">
        <f t="shared" si="186"/>
        <v>6</v>
      </c>
      <c r="DE122" s="969">
        <f t="shared" si="186"/>
        <v>7</v>
      </c>
      <c r="DF122" s="969">
        <f t="shared" si="186"/>
        <v>7</v>
      </c>
      <c r="DG122" s="969">
        <f t="shared" si="186"/>
        <v>7</v>
      </c>
      <c r="DH122" s="969">
        <f t="shared" si="186"/>
        <v>8</v>
      </c>
      <c r="DI122" s="969">
        <f t="shared" si="186"/>
        <v>8</v>
      </c>
      <c r="DJ122" s="969">
        <f t="shared" si="186"/>
        <v>8</v>
      </c>
      <c r="DK122" s="969">
        <f t="shared" si="186"/>
        <v>9</v>
      </c>
      <c r="DL122" s="969">
        <f t="shared" si="186"/>
        <v>9</v>
      </c>
      <c r="DM122" s="969">
        <f t="shared" si="186"/>
        <v>9</v>
      </c>
      <c r="DN122" s="969">
        <f t="shared" si="186"/>
        <v>10</v>
      </c>
      <c r="DO122" s="969">
        <f t="shared" si="186"/>
        <v>10</v>
      </c>
      <c r="DP122" s="969">
        <f t="shared" si="186"/>
        <v>10</v>
      </c>
      <c r="DQ122" s="969">
        <f t="shared" si="186"/>
        <v>11</v>
      </c>
      <c r="DR122" s="969">
        <f t="shared" si="186"/>
        <v>11</v>
      </c>
      <c r="DS122" s="969">
        <f t="shared" si="186"/>
        <v>11</v>
      </c>
      <c r="DT122" s="969">
        <f t="shared" si="186"/>
        <v>12</v>
      </c>
      <c r="DU122" s="969">
        <f t="shared" si="186"/>
        <v>12</v>
      </c>
      <c r="DV122" s="970">
        <f t="shared" si="186"/>
        <v>12</v>
      </c>
    </row>
    <row r="123" spans="19:126" ht="51.75" thickBot="1" x14ac:dyDescent="0.25">
      <c r="S123" s="585"/>
      <c r="T123" s="698" t="str">
        <f>T112</f>
        <v>,"longitude":</v>
      </c>
      <c r="U123" s="699" t="str">
        <f t="shared" ref="U123:BC123" si="187">T123</f>
        <v>,"longitude":</v>
      </c>
      <c r="V123" s="699" t="str">
        <f t="shared" si="187"/>
        <v>,"longitude":</v>
      </c>
      <c r="W123" s="699" t="str">
        <f t="shared" si="187"/>
        <v>,"longitude":</v>
      </c>
      <c r="X123" s="699" t="str">
        <f t="shared" si="187"/>
        <v>,"longitude":</v>
      </c>
      <c r="Y123" s="699" t="str">
        <f t="shared" si="187"/>
        <v>,"longitude":</v>
      </c>
      <c r="Z123" s="699" t="str">
        <f t="shared" si="187"/>
        <v>,"longitude":</v>
      </c>
      <c r="AA123" s="699" t="str">
        <f t="shared" si="187"/>
        <v>,"longitude":</v>
      </c>
      <c r="AB123" s="699" t="str">
        <f t="shared" si="187"/>
        <v>,"longitude":</v>
      </c>
      <c r="AC123" s="699" t="str">
        <f t="shared" si="187"/>
        <v>,"longitude":</v>
      </c>
      <c r="AD123" s="699" t="str">
        <f t="shared" si="187"/>
        <v>,"longitude":</v>
      </c>
      <c r="AE123" s="699" t="str">
        <f t="shared" si="187"/>
        <v>,"longitude":</v>
      </c>
      <c r="AF123" s="699" t="str">
        <f t="shared" si="187"/>
        <v>,"longitude":</v>
      </c>
      <c r="AG123" s="699" t="str">
        <f t="shared" si="187"/>
        <v>,"longitude":</v>
      </c>
      <c r="AH123" s="699" t="str">
        <f t="shared" si="187"/>
        <v>,"longitude":</v>
      </c>
      <c r="AI123" s="699" t="str">
        <f t="shared" si="187"/>
        <v>,"longitude":</v>
      </c>
      <c r="AJ123" s="699" t="str">
        <f t="shared" si="187"/>
        <v>,"longitude":</v>
      </c>
      <c r="AK123" s="699" t="str">
        <f t="shared" si="187"/>
        <v>,"longitude":</v>
      </c>
      <c r="AL123" s="699" t="str">
        <f t="shared" si="187"/>
        <v>,"longitude":</v>
      </c>
      <c r="AM123" s="699" t="str">
        <f t="shared" si="187"/>
        <v>,"longitude":</v>
      </c>
      <c r="AN123" s="699" t="str">
        <f t="shared" si="187"/>
        <v>,"longitude":</v>
      </c>
      <c r="AO123" s="699" t="str">
        <f t="shared" si="187"/>
        <v>,"longitude":</v>
      </c>
      <c r="AP123" s="699" t="str">
        <f t="shared" si="187"/>
        <v>,"longitude":</v>
      </c>
      <c r="AQ123" s="699" t="str">
        <f t="shared" si="187"/>
        <v>,"longitude":</v>
      </c>
      <c r="AR123" s="699" t="str">
        <f t="shared" si="187"/>
        <v>,"longitude":</v>
      </c>
      <c r="AS123" s="699" t="str">
        <f t="shared" si="187"/>
        <v>,"longitude":</v>
      </c>
      <c r="AT123" s="699" t="str">
        <f t="shared" si="187"/>
        <v>,"longitude":</v>
      </c>
      <c r="AU123" s="699" t="str">
        <f t="shared" si="187"/>
        <v>,"longitude":</v>
      </c>
      <c r="AV123" s="699" t="str">
        <f t="shared" si="187"/>
        <v>,"longitude":</v>
      </c>
      <c r="AW123" s="699" t="str">
        <f t="shared" si="187"/>
        <v>,"longitude":</v>
      </c>
      <c r="AX123" s="699" t="str">
        <f t="shared" si="187"/>
        <v>,"longitude":</v>
      </c>
      <c r="AY123" s="699" t="str">
        <f t="shared" si="187"/>
        <v>,"longitude":</v>
      </c>
      <c r="AZ123" s="699" t="str">
        <f t="shared" si="187"/>
        <v>,"longitude":</v>
      </c>
      <c r="BA123" s="699" t="str">
        <f t="shared" si="187"/>
        <v>,"longitude":</v>
      </c>
      <c r="BB123" s="699" t="str">
        <f t="shared" si="187"/>
        <v>,"longitude":</v>
      </c>
      <c r="BC123" s="700" t="str">
        <f t="shared" si="187"/>
        <v>,"longitude":</v>
      </c>
      <c r="BD123" s="577" t="str">
        <f>""</f>
        <v/>
      </c>
      <c r="BF123" s="769" t="s">
        <v>440</v>
      </c>
      <c r="BG123" s="770" t="s">
        <v>441</v>
      </c>
      <c r="BH123" s="971" t="s">
        <v>592</v>
      </c>
      <c r="BI123" s="971" t="s">
        <v>595</v>
      </c>
      <c r="BJ123" s="971" t="s">
        <v>593</v>
      </c>
      <c r="BK123" s="971" t="s">
        <v>441</v>
      </c>
      <c r="BL123" s="971" t="s">
        <v>594</v>
      </c>
      <c r="BM123" s="971" t="s">
        <v>441</v>
      </c>
      <c r="BN123" s="965" t="s">
        <v>567</v>
      </c>
      <c r="BO123" s="965" t="s">
        <v>570</v>
      </c>
      <c r="BP123" s="965" t="s">
        <v>571</v>
      </c>
      <c r="BQ123" s="972" t="s">
        <v>568</v>
      </c>
      <c r="BR123" s="972" t="s">
        <v>569</v>
      </c>
      <c r="BS123" s="973" t="s">
        <v>572</v>
      </c>
      <c r="BT123" s="958" t="s">
        <v>436</v>
      </c>
      <c r="BU123" s="958" t="s">
        <v>437</v>
      </c>
      <c r="BV123" s="958" t="s">
        <v>438</v>
      </c>
      <c r="BW123" s="958" t="s">
        <v>439</v>
      </c>
      <c r="BX123" s="958" t="s">
        <v>574</v>
      </c>
      <c r="BY123" s="958" t="s">
        <v>575</v>
      </c>
      <c r="BZ123" s="959" t="s">
        <v>436</v>
      </c>
      <c r="CA123" s="959" t="s">
        <v>437</v>
      </c>
      <c r="CB123" s="959" t="s">
        <v>438</v>
      </c>
      <c r="CC123" s="959" t="s">
        <v>439</v>
      </c>
      <c r="CD123" s="959" t="s">
        <v>574</v>
      </c>
      <c r="CE123" s="959" t="s">
        <v>575</v>
      </c>
      <c r="CF123" s="960" t="s">
        <v>442</v>
      </c>
      <c r="CG123" s="961" t="s">
        <v>466</v>
      </c>
      <c r="CH123" s="965" t="s">
        <v>442</v>
      </c>
      <c r="CI123" s="965" t="s">
        <v>466</v>
      </c>
      <c r="CJ123" s="966" t="s">
        <v>442</v>
      </c>
      <c r="CK123" s="965" t="s">
        <v>466</v>
      </c>
      <c r="CL123" s="974" t="s">
        <v>511</v>
      </c>
      <c r="CM123" s="985">
        <f t="array" ref="CM123:DV123">TRANSPOSE(RWDI_FACTORS!J104:J139)</f>
        <v>10</v>
      </c>
      <c r="CN123" s="985">
        <v>20</v>
      </c>
      <c r="CO123" s="985">
        <v>30</v>
      </c>
      <c r="CP123" s="985">
        <v>40</v>
      </c>
      <c r="CQ123" s="985">
        <v>50</v>
      </c>
      <c r="CR123" s="985">
        <v>60</v>
      </c>
      <c r="CS123" s="985">
        <v>70</v>
      </c>
      <c r="CT123" s="985">
        <v>80</v>
      </c>
      <c r="CU123" s="985">
        <v>90</v>
      </c>
      <c r="CV123" s="985">
        <v>100</v>
      </c>
      <c r="CW123" s="985">
        <v>110</v>
      </c>
      <c r="CX123" s="985">
        <v>120</v>
      </c>
      <c r="CY123" s="985">
        <v>130</v>
      </c>
      <c r="CZ123" s="985">
        <v>140</v>
      </c>
      <c r="DA123" s="985">
        <v>150</v>
      </c>
      <c r="DB123" s="985">
        <v>160</v>
      </c>
      <c r="DC123" s="985">
        <v>170</v>
      </c>
      <c r="DD123" s="985">
        <v>180</v>
      </c>
      <c r="DE123" s="985">
        <v>190</v>
      </c>
      <c r="DF123" s="985">
        <v>200</v>
      </c>
      <c r="DG123" s="985">
        <v>210</v>
      </c>
      <c r="DH123" s="985">
        <v>220</v>
      </c>
      <c r="DI123" s="985">
        <v>230</v>
      </c>
      <c r="DJ123" s="985">
        <v>240</v>
      </c>
      <c r="DK123" s="985">
        <v>250</v>
      </c>
      <c r="DL123" s="985">
        <v>260</v>
      </c>
      <c r="DM123" s="985">
        <v>270</v>
      </c>
      <c r="DN123" s="985">
        <v>280</v>
      </c>
      <c r="DO123" s="985">
        <v>290</v>
      </c>
      <c r="DP123" s="985">
        <v>300</v>
      </c>
      <c r="DQ123" s="985">
        <v>310</v>
      </c>
      <c r="DR123" s="985">
        <v>320</v>
      </c>
      <c r="DS123" s="985">
        <v>330</v>
      </c>
      <c r="DT123" s="985">
        <v>340</v>
      </c>
      <c r="DU123" s="985">
        <v>350</v>
      </c>
      <c r="DV123" s="986">
        <v>360</v>
      </c>
    </row>
    <row r="124" spans="19:126" x14ac:dyDescent="0.2">
      <c r="S124" s="585"/>
      <c r="T124" s="701" t="str">
        <f t="shared" ref="T124:BC124" si="188">T34</f>
        <v/>
      </c>
      <c r="U124" s="702" t="str">
        <f t="shared" si="188"/>
        <v/>
      </c>
      <c r="V124" s="702" t="str">
        <f t="shared" si="188"/>
        <v/>
      </c>
      <c r="W124" s="702" t="str">
        <f t="shared" si="188"/>
        <v/>
      </c>
      <c r="X124" s="702" t="str">
        <f t="shared" si="188"/>
        <v/>
      </c>
      <c r="Y124" s="702" t="str">
        <f t="shared" si="188"/>
        <v/>
      </c>
      <c r="Z124" s="702" t="str">
        <f t="shared" si="188"/>
        <v/>
      </c>
      <c r="AA124" s="702" t="str">
        <f t="shared" si="188"/>
        <v/>
      </c>
      <c r="AB124" s="702" t="str">
        <f t="shared" si="188"/>
        <v/>
      </c>
      <c r="AC124" s="702" t="str">
        <f t="shared" si="188"/>
        <v/>
      </c>
      <c r="AD124" s="702" t="str">
        <f t="shared" si="188"/>
        <v/>
      </c>
      <c r="AE124" s="702" t="str">
        <f t="shared" si="188"/>
        <v/>
      </c>
      <c r="AF124" s="702" t="str">
        <f t="shared" si="188"/>
        <v/>
      </c>
      <c r="AG124" s="702" t="str">
        <f t="shared" si="188"/>
        <v/>
      </c>
      <c r="AH124" s="702" t="str">
        <f t="shared" si="188"/>
        <v/>
      </c>
      <c r="AI124" s="702" t="str">
        <f t="shared" si="188"/>
        <v/>
      </c>
      <c r="AJ124" s="702" t="str">
        <f t="shared" si="188"/>
        <v/>
      </c>
      <c r="AK124" s="702" t="str">
        <f t="shared" si="188"/>
        <v/>
      </c>
      <c r="AL124" s="702" t="str">
        <f t="shared" si="188"/>
        <v/>
      </c>
      <c r="AM124" s="702" t="str">
        <f t="shared" si="188"/>
        <v/>
      </c>
      <c r="AN124" s="702" t="str">
        <f t="shared" si="188"/>
        <v/>
      </c>
      <c r="AO124" s="702" t="str">
        <f t="shared" si="188"/>
        <v/>
      </c>
      <c r="AP124" s="702" t="str">
        <f t="shared" si="188"/>
        <v/>
      </c>
      <c r="AQ124" s="702" t="str">
        <f t="shared" si="188"/>
        <v/>
      </c>
      <c r="AR124" s="702" t="str">
        <f t="shared" si="188"/>
        <v/>
      </c>
      <c r="AS124" s="702" t="str">
        <f t="shared" si="188"/>
        <v/>
      </c>
      <c r="AT124" s="702" t="str">
        <f t="shared" si="188"/>
        <v/>
      </c>
      <c r="AU124" s="702" t="str">
        <f t="shared" si="188"/>
        <v/>
      </c>
      <c r="AV124" s="702" t="str">
        <f t="shared" si="188"/>
        <v/>
      </c>
      <c r="AW124" s="702" t="str">
        <f t="shared" si="188"/>
        <v/>
      </c>
      <c r="AX124" s="702" t="str">
        <f t="shared" si="188"/>
        <v/>
      </c>
      <c r="AY124" s="702" t="str">
        <f t="shared" si="188"/>
        <v/>
      </c>
      <c r="AZ124" s="702" t="str">
        <f t="shared" si="188"/>
        <v/>
      </c>
      <c r="BA124" s="702" t="str">
        <f t="shared" si="188"/>
        <v/>
      </c>
      <c r="BB124" s="702" t="str">
        <f t="shared" si="188"/>
        <v/>
      </c>
      <c r="BC124" s="703" t="str">
        <f t="shared" si="188"/>
        <v/>
      </c>
      <c r="BD124" s="577" t="str">
        <f>""</f>
        <v/>
      </c>
      <c r="BF124" s="771">
        <v>1</v>
      </c>
      <c r="BG124" s="962" t="str">
        <f t="array" ref="BG124:BG139">TRANSPOSE(RWDI_FACTORS!M12:AB12)</f>
        <v>10-30</v>
      </c>
      <c r="BH124" s="975" t="str">
        <f>IFERROR(FIND("to",BG124,1),"")</f>
        <v/>
      </c>
      <c r="BI124" s="977" t="str">
        <f>IF(BH124="",BG124,REPLACE(BG124,BH124,2,"-"))</f>
        <v>10-30</v>
      </c>
      <c r="BJ124" s="977" t="str">
        <f>IFERROR(FIND("to",BI124,1),"")</f>
        <v/>
      </c>
      <c r="BK124" s="977" t="str">
        <f>IF(BJ124="",BI124,REPLACE(BI124,BJ124,2,"-"))</f>
        <v>10-30</v>
      </c>
      <c r="BL124" s="977" t="str">
        <f>IFERROR(FIND("to",BK124,1),"")</f>
        <v/>
      </c>
      <c r="BM124" s="977" t="str">
        <f>IF(BL124="",BK124,REPLACE(BK124,BL124,2,"-"))</f>
        <v>10-30</v>
      </c>
      <c r="BN124" s="975">
        <f>LEN(BM124)+1</f>
        <v>6</v>
      </c>
      <c r="BO124" s="976">
        <f>IFERROR(FIND(",",BM124,1),428)</f>
        <v>428</v>
      </c>
      <c r="BP124" s="976">
        <f>IFERROR(FIND(",",BM124,BO124+1),428)</f>
        <v>428</v>
      </c>
      <c r="BQ124" s="976">
        <f>IFERROR(IF(FIND("-",BM124,1)&gt;BO124,428,FIND("-",BM124,1)),428)</f>
        <v>3</v>
      </c>
      <c r="BR124" s="976">
        <f>IFERROR(IF(FIND("-",BM124,BO124)&gt;BP124,428,FIND("-",BM124,BO124)),428)</f>
        <v>428</v>
      </c>
      <c r="BS124" s="998">
        <f>IFERROR(FIND("-",BM124,BP124),428)</f>
        <v>428</v>
      </c>
      <c r="BT124" s="977" t="str">
        <f>IF(AND(BO124="N",BQ124="N"),BM124,LEFT(BM124,MIN(BO124-1,BQ124-1)))</f>
        <v>10</v>
      </c>
      <c r="BU124" s="977" t="str">
        <f>IF(BQ124=428,"",MID(BM124,BQ124+1,MIN(BO124,BN124)-BQ124-1))</f>
        <v>30</v>
      </c>
      <c r="BV124" s="977" t="str">
        <f>IF(BO124=428,"",MID(BM124,BO124+1,MIN(BP124,BN124,BR124)-BO124-1))</f>
        <v/>
      </c>
      <c r="BW124" s="977" t="str">
        <f>IF(BR124=428,"",MID(BM124,BR124+1,MIN(BN124,BP124)-BR124-1))</f>
        <v/>
      </c>
      <c r="BX124" s="977" t="str">
        <f>IF(BP124=428,"",MID(BM124,BP124+1,MIN(BN124,BS124)-BP124-1))</f>
        <v/>
      </c>
      <c r="BY124" s="978" t="str">
        <f>IF(BS124=428,"",RIGHT(BM124,BN124-BS124-1))</f>
        <v/>
      </c>
      <c r="BZ124" s="773">
        <f>IFERROR(VALUE(BT124),"")</f>
        <v>10</v>
      </c>
      <c r="CA124" s="773">
        <f t="shared" ref="CA124:CE124" si="189">IFERROR(VALUE(BU124),"")</f>
        <v>30</v>
      </c>
      <c r="CB124" s="773" t="str">
        <f t="shared" si="189"/>
        <v/>
      </c>
      <c r="CC124" s="773" t="str">
        <f t="shared" si="189"/>
        <v/>
      </c>
      <c r="CD124" s="773" t="str">
        <f t="shared" si="189"/>
        <v/>
      </c>
      <c r="CE124" s="774" t="str">
        <f t="shared" si="189"/>
        <v/>
      </c>
      <c r="CF124" s="975">
        <f>IF(BZ124=0,"",BZ124)</f>
        <v>10</v>
      </c>
      <c r="CG124" s="977">
        <f t="shared" ref="CG124:CG132" si="190">IF(CA124="",IF(BZ124=0,"",BZ124),CA124)</f>
        <v>30</v>
      </c>
      <c r="CH124" s="975" t="str">
        <f>IF(CB124=0,"",CB124)</f>
        <v/>
      </c>
      <c r="CI124" s="977" t="str">
        <f t="shared" ref="CI124:CK124" si="191">IF(CC124="",CB124,CC124)</f>
        <v/>
      </c>
      <c r="CJ124" s="975" t="str">
        <f>IF(CD124="","",CD124)</f>
        <v/>
      </c>
      <c r="CK124" s="978" t="str">
        <f t="shared" si="191"/>
        <v/>
      </c>
      <c r="CL124" s="772">
        <f>1</f>
        <v>1</v>
      </c>
      <c r="CM124" s="990">
        <f t="shared" ref="CM124:CV133" si="192">IF(OR(AND(CM$123&gt;=$CF124,CM$123&lt;=$CG124),AND(CM$123&gt;=$CH124,CM$123&lt;=$CI124),AND(CM$123&gt;=$CJ124,CM$123&lt;=$CK124)),$CL124,IF($CF124&gt;$CG124,IF(OR(AND(CM$123&gt;=($CF124-360),CM$123&lt;=$CG124),AND(CM$123-360&gt;=($CF124-360),CM$123-360&lt;=$CG124)),$CL124,IF($CH124&gt;$CI124,IF(OR(AND(CM$123&gt;=($CH124-360),CM$123&lt;=$CI124),AND(CM$123-360&gt;=($CH124-360),CM$123-360&lt;=$CI124)),$CL124,IF($CJ124&gt;$CK124,IF(OR(AND(CM$123&gt;=($CJ124-360),CM$123&lt;=$CK124),AND(CM$123-360&gt;=($CJ124-360),CM$123-360&lt;=$CK124)),$CL124,""),"")),IF($CJ124&gt;$CK124,IF(OR(AND(CM$123&gt;=($CJ124-360),CM$123&lt;=$CK124),AND(CM$123-360&gt;=($CJ124-360),CM$123-360&lt;=$CK124)),$CL124,""),""))),IF($CH124&gt;$CI124,IF(OR(AND(CM$123&gt;=($CH124-360),CM$123&lt;=$CI124),AND(CM$123-360&gt;=($CH124-360),CM$123-360&lt;=$CI124)),$CL124,IF($CJ124&gt;$CK124,IF(OR(AND(CM$123&gt;=($CJ124-360),CM$123&lt;=$CK124),AND(CM$123-360&gt;=($CJ124-360),CM$123-360&lt;=$CK124)),$CL124,""),"")),IF($CJ124&gt;$CK124,IF(OR(AND(CM$123&gt;=($CJ124-360),CM$123&lt;=$CK124),AND(CM$123-360&gt;=($CJ124-360),CM$123-360&lt;=$CK124)),$CL124,""),""))))</f>
        <v>1</v>
      </c>
      <c r="CN124" s="991">
        <f t="shared" si="192"/>
        <v>1</v>
      </c>
      <c r="CO124" s="991">
        <f t="shared" si="192"/>
        <v>1</v>
      </c>
      <c r="CP124" s="991" t="str">
        <f t="shared" si="192"/>
        <v/>
      </c>
      <c r="CQ124" s="991" t="str">
        <f t="shared" si="192"/>
        <v/>
      </c>
      <c r="CR124" s="991" t="str">
        <f t="shared" si="192"/>
        <v/>
      </c>
      <c r="CS124" s="991" t="str">
        <f t="shared" si="192"/>
        <v/>
      </c>
      <c r="CT124" s="991" t="str">
        <f t="shared" si="192"/>
        <v/>
      </c>
      <c r="CU124" s="991" t="str">
        <f t="shared" si="192"/>
        <v/>
      </c>
      <c r="CV124" s="991" t="str">
        <f t="shared" si="192"/>
        <v/>
      </c>
      <c r="CW124" s="991" t="str">
        <f t="shared" ref="CW124:DF133" si="193">IF(OR(AND(CW$123&gt;=$CF124,CW$123&lt;=$CG124),AND(CW$123&gt;=$CH124,CW$123&lt;=$CI124),AND(CW$123&gt;=$CJ124,CW$123&lt;=$CK124)),$CL124,IF($CF124&gt;$CG124,IF(OR(AND(CW$123&gt;=($CF124-360),CW$123&lt;=$CG124),AND(CW$123-360&gt;=($CF124-360),CW$123-360&lt;=$CG124)),$CL124,IF($CH124&gt;$CI124,IF(OR(AND(CW$123&gt;=($CH124-360),CW$123&lt;=$CI124),AND(CW$123-360&gt;=($CH124-360),CW$123-360&lt;=$CI124)),$CL124,IF($CJ124&gt;$CK124,IF(OR(AND(CW$123&gt;=($CJ124-360),CW$123&lt;=$CK124),AND(CW$123-360&gt;=($CJ124-360),CW$123-360&lt;=$CK124)),$CL124,""),"")),IF($CJ124&gt;$CK124,IF(OR(AND(CW$123&gt;=($CJ124-360),CW$123&lt;=$CK124),AND(CW$123-360&gt;=($CJ124-360),CW$123-360&lt;=$CK124)),$CL124,""),""))),IF($CH124&gt;$CI124,IF(OR(AND(CW$123&gt;=($CH124-360),CW$123&lt;=$CI124),AND(CW$123-360&gt;=($CH124-360),CW$123-360&lt;=$CI124)),$CL124,IF($CJ124&gt;$CK124,IF(OR(AND(CW$123&gt;=($CJ124-360),CW$123&lt;=$CK124),AND(CW$123-360&gt;=($CJ124-360),CW$123-360&lt;=$CK124)),$CL124,""),"")),IF($CJ124&gt;$CK124,IF(OR(AND(CW$123&gt;=($CJ124-360),CW$123&lt;=$CK124),AND(CW$123-360&gt;=($CJ124-360),CW$123-360&lt;=$CK124)),$CL124,""),""))))</f>
        <v/>
      </c>
      <c r="CX124" s="991" t="str">
        <f t="shared" si="193"/>
        <v/>
      </c>
      <c r="CY124" s="991" t="str">
        <f t="shared" si="193"/>
        <v/>
      </c>
      <c r="CZ124" s="991" t="str">
        <f t="shared" si="193"/>
        <v/>
      </c>
      <c r="DA124" s="991" t="str">
        <f t="shared" si="193"/>
        <v/>
      </c>
      <c r="DB124" s="991" t="str">
        <f t="shared" si="193"/>
        <v/>
      </c>
      <c r="DC124" s="991" t="str">
        <f t="shared" si="193"/>
        <v/>
      </c>
      <c r="DD124" s="991" t="str">
        <f t="shared" si="193"/>
        <v/>
      </c>
      <c r="DE124" s="991" t="str">
        <f t="shared" si="193"/>
        <v/>
      </c>
      <c r="DF124" s="991" t="str">
        <f t="shared" si="193"/>
        <v/>
      </c>
      <c r="DG124" s="991" t="str">
        <f t="shared" ref="DG124:DP133" si="194">IF(OR(AND(DG$123&gt;=$CF124,DG$123&lt;=$CG124),AND(DG$123&gt;=$CH124,DG$123&lt;=$CI124),AND(DG$123&gt;=$CJ124,DG$123&lt;=$CK124)),$CL124,IF($CF124&gt;$CG124,IF(OR(AND(DG$123&gt;=($CF124-360),DG$123&lt;=$CG124),AND(DG$123-360&gt;=($CF124-360),DG$123-360&lt;=$CG124)),$CL124,IF($CH124&gt;$CI124,IF(OR(AND(DG$123&gt;=($CH124-360),DG$123&lt;=$CI124),AND(DG$123-360&gt;=($CH124-360),DG$123-360&lt;=$CI124)),$CL124,IF($CJ124&gt;$CK124,IF(OR(AND(DG$123&gt;=($CJ124-360),DG$123&lt;=$CK124),AND(DG$123-360&gt;=($CJ124-360),DG$123-360&lt;=$CK124)),$CL124,""),"")),IF($CJ124&gt;$CK124,IF(OR(AND(DG$123&gt;=($CJ124-360),DG$123&lt;=$CK124),AND(DG$123-360&gt;=($CJ124-360),DG$123-360&lt;=$CK124)),$CL124,""),""))),IF($CH124&gt;$CI124,IF(OR(AND(DG$123&gt;=($CH124-360),DG$123&lt;=$CI124),AND(DG$123-360&gt;=($CH124-360),DG$123-360&lt;=$CI124)),$CL124,IF($CJ124&gt;$CK124,IF(OR(AND(DG$123&gt;=($CJ124-360),DG$123&lt;=$CK124),AND(DG$123-360&gt;=($CJ124-360),DG$123-360&lt;=$CK124)),$CL124,""),"")),IF($CJ124&gt;$CK124,IF(OR(AND(DG$123&gt;=($CJ124-360),DG$123&lt;=$CK124),AND(DG$123-360&gt;=($CJ124-360),DG$123-360&lt;=$CK124)),$CL124,""),""))))</f>
        <v/>
      </c>
      <c r="DH124" s="991" t="str">
        <f t="shared" si="194"/>
        <v/>
      </c>
      <c r="DI124" s="991" t="str">
        <f t="shared" si="194"/>
        <v/>
      </c>
      <c r="DJ124" s="991" t="str">
        <f t="shared" si="194"/>
        <v/>
      </c>
      <c r="DK124" s="991" t="str">
        <f t="shared" si="194"/>
        <v/>
      </c>
      <c r="DL124" s="991" t="str">
        <f t="shared" si="194"/>
        <v/>
      </c>
      <c r="DM124" s="991" t="str">
        <f t="shared" si="194"/>
        <v/>
      </c>
      <c r="DN124" s="991" t="str">
        <f t="shared" si="194"/>
        <v/>
      </c>
      <c r="DO124" s="991" t="str">
        <f t="shared" si="194"/>
        <v/>
      </c>
      <c r="DP124" s="991" t="str">
        <f t="shared" si="194"/>
        <v/>
      </c>
      <c r="DQ124" s="991" t="str">
        <f t="shared" ref="DQ124:DV133" si="195">IF(OR(AND(DQ$123&gt;=$CF124,DQ$123&lt;=$CG124),AND(DQ$123&gt;=$CH124,DQ$123&lt;=$CI124),AND(DQ$123&gt;=$CJ124,DQ$123&lt;=$CK124)),$CL124,IF($CF124&gt;$CG124,IF(OR(AND(DQ$123&gt;=($CF124-360),DQ$123&lt;=$CG124),AND(DQ$123-360&gt;=($CF124-360),DQ$123-360&lt;=$CG124)),$CL124,IF($CH124&gt;$CI124,IF(OR(AND(DQ$123&gt;=($CH124-360),DQ$123&lt;=$CI124),AND(DQ$123-360&gt;=($CH124-360),DQ$123-360&lt;=$CI124)),$CL124,IF($CJ124&gt;$CK124,IF(OR(AND(DQ$123&gt;=($CJ124-360),DQ$123&lt;=$CK124),AND(DQ$123-360&gt;=($CJ124-360),DQ$123-360&lt;=$CK124)),$CL124,""),"")),IF($CJ124&gt;$CK124,IF(OR(AND(DQ$123&gt;=($CJ124-360),DQ$123&lt;=$CK124),AND(DQ$123-360&gt;=($CJ124-360),DQ$123-360&lt;=$CK124)),$CL124,""),""))),IF($CH124&gt;$CI124,IF(OR(AND(DQ$123&gt;=($CH124-360),DQ$123&lt;=$CI124),AND(DQ$123-360&gt;=($CH124-360),DQ$123-360&lt;=$CI124)),$CL124,IF($CJ124&gt;$CK124,IF(OR(AND(DQ$123&gt;=($CJ124-360),DQ$123&lt;=$CK124),AND(DQ$123-360&gt;=($CJ124-360),DQ$123-360&lt;=$CK124)),$CL124,""),"")),IF($CJ124&gt;$CK124,IF(OR(AND(DQ$123&gt;=($CJ124-360),DQ$123&lt;=$CK124),AND(DQ$123-360&gt;=($CJ124-360),DQ$123-360&lt;=$CK124)),$CL124,""),""))))</f>
        <v/>
      </c>
      <c r="DR124" s="991" t="str">
        <f t="shared" si="195"/>
        <v/>
      </c>
      <c r="DS124" s="991" t="str">
        <f t="shared" si="195"/>
        <v/>
      </c>
      <c r="DT124" s="991" t="str">
        <f t="shared" si="195"/>
        <v/>
      </c>
      <c r="DU124" s="991" t="str">
        <f t="shared" si="195"/>
        <v/>
      </c>
      <c r="DV124" s="992" t="str">
        <f t="shared" si="195"/>
        <v/>
      </c>
    </row>
    <row r="125" spans="19:126" x14ac:dyDescent="0.2">
      <c r="S125" s="585"/>
      <c r="T125" s="698" t="str">
        <f>T114</f>
        <v>},"right":{</v>
      </c>
      <c r="U125" s="699" t="str">
        <f t="shared" ref="U125:BC125" si="196">T125</f>
        <v>},"right":{</v>
      </c>
      <c r="V125" s="699" t="str">
        <f t="shared" si="196"/>
        <v>},"right":{</v>
      </c>
      <c r="W125" s="699" t="str">
        <f t="shared" si="196"/>
        <v>},"right":{</v>
      </c>
      <c r="X125" s="699" t="str">
        <f t="shared" si="196"/>
        <v>},"right":{</v>
      </c>
      <c r="Y125" s="699" t="str">
        <f t="shared" si="196"/>
        <v>},"right":{</v>
      </c>
      <c r="Z125" s="699" t="str">
        <f t="shared" si="196"/>
        <v>},"right":{</v>
      </c>
      <c r="AA125" s="699" t="str">
        <f t="shared" si="196"/>
        <v>},"right":{</v>
      </c>
      <c r="AB125" s="699" t="str">
        <f t="shared" si="196"/>
        <v>},"right":{</v>
      </c>
      <c r="AC125" s="699" t="str">
        <f t="shared" si="196"/>
        <v>},"right":{</v>
      </c>
      <c r="AD125" s="699" t="str">
        <f t="shared" si="196"/>
        <v>},"right":{</v>
      </c>
      <c r="AE125" s="699" t="str">
        <f t="shared" si="196"/>
        <v>},"right":{</v>
      </c>
      <c r="AF125" s="699" t="str">
        <f t="shared" si="196"/>
        <v>},"right":{</v>
      </c>
      <c r="AG125" s="699" t="str">
        <f t="shared" si="196"/>
        <v>},"right":{</v>
      </c>
      <c r="AH125" s="699" t="str">
        <f t="shared" si="196"/>
        <v>},"right":{</v>
      </c>
      <c r="AI125" s="699" t="str">
        <f t="shared" si="196"/>
        <v>},"right":{</v>
      </c>
      <c r="AJ125" s="699" t="str">
        <f t="shared" si="196"/>
        <v>},"right":{</v>
      </c>
      <c r="AK125" s="699" t="str">
        <f t="shared" si="196"/>
        <v>},"right":{</v>
      </c>
      <c r="AL125" s="699" t="str">
        <f t="shared" si="196"/>
        <v>},"right":{</v>
      </c>
      <c r="AM125" s="699" t="str">
        <f t="shared" si="196"/>
        <v>},"right":{</v>
      </c>
      <c r="AN125" s="699" t="str">
        <f t="shared" si="196"/>
        <v>},"right":{</v>
      </c>
      <c r="AO125" s="699" t="str">
        <f t="shared" si="196"/>
        <v>},"right":{</v>
      </c>
      <c r="AP125" s="699" t="str">
        <f t="shared" si="196"/>
        <v>},"right":{</v>
      </c>
      <c r="AQ125" s="699" t="str">
        <f t="shared" si="196"/>
        <v>},"right":{</v>
      </c>
      <c r="AR125" s="699" t="str">
        <f t="shared" si="196"/>
        <v>},"right":{</v>
      </c>
      <c r="AS125" s="699" t="str">
        <f t="shared" si="196"/>
        <v>},"right":{</v>
      </c>
      <c r="AT125" s="699" t="str">
        <f t="shared" si="196"/>
        <v>},"right":{</v>
      </c>
      <c r="AU125" s="699" t="str">
        <f t="shared" si="196"/>
        <v>},"right":{</v>
      </c>
      <c r="AV125" s="699" t="str">
        <f t="shared" si="196"/>
        <v>},"right":{</v>
      </c>
      <c r="AW125" s="699" t="str">
        <f t="shared" si="196"/>
        <v>},"right":{</v>
      </c>
      <c r="AX125" s="699" t="str">
        <f t="shared" si="196"/>
        <v>},"right":{</v>
      </c>
      <c r="AY125" s="699" t="str">
        <f t="shared" si="196"/>
        <v>},"right":{</v>
      </c>
      <c r="AZ125" s="699" t="str">
        <f t="shared" si="196"/>
        <v>},"right":{</v>
      </c>
      <c r="BA125" s="699" t="str">
        <f t="shared" si="196"/>
        <v>},"right":{</v>
      </c>
      <c r="BB125" s="699" t="str">
        <f t="shared" si="196"/>
        <v>},"right":{</v>
      </c>
      <c r="BC125" s="700" t="str">
        <f t="shared" si="196"/>
        <v>},"right":{</v>
      </c>
      <c r="BD125" s="577" t="str">
        <f>""</f>
        <v/>
      </c>
      <c r="BF125" s="772">
        <v>2</v>
      </c>
      <c r="BG125" s="963" t="str">
        <v>40-60</v>
      </c>
      <c r="BH125" s="772" t="str">
        <f t="shared" ref="BH125:BJ139" si="197">IFERROR(FIND("to",BG125,1),"")</f>
        <v/>
      </c>
      <c r="BI125" s="773" t="str">
        <f t="shared" ref="BI125:BI139" si="198">IF(BH125="",BG125,REPLACE(BG125,BH125,2,"-"))</f>
        <v>40-60</v>
      </c>
      <c r="BJ125" s="773" t="str">
        <f t="shared" si="197"/>
        <v/>
      </c>
      <c r="BK125" s="773" t="str">
        <f t="shared" ref="BK125:BK139" si="199">IF(BJ125="",BI125,REPLACE(BI125,BJ125,2,"-"))</f>
        <v>40-60</v>
      </c>
      <c r="BL125" s="773" t="str">
        <f t="shared" ref="BL125" si="200">IFERROR(FIND("to",BK125,1),"")</f>
        <v/>
      </c>
      <c r="BM125" s="773" t="str">
        <f t="shared" ref="BM125:BM139" si="201">IF(BL125="",BK125,REPLACE(BK125,BL125,2,"-"))</f>
        <v>40-60</v>
      </c>
      <c r="BN125" s="772">
        <f t="shared" ref="BN125:BN139" si="202">LEN(BM125)+1</f>
        <v>6</v>
      </c>
      <c r="BO125" s="979">
        <f>IFERROR(FIND(",",BM125,1),428)</f>
        <v>428</v>
      </c>
      <c r="BP125" s="979">
        <f t="shared" ref="BP125:BP139" si="203">IFERROR(FIND(",",BM125,BO125+1),428)</f>
        <v>428</v>
      </c>
      <c r="BQ125" s="979">
        <f t="shared" ref="BQ125:BQ139" si="204">IFERROR(IF(FIND("-",BM125,1)&gt;BO125,428,FIND("-",BM125,1)),428)</f>
        <v>3</v>
      </c>
      <c r="BR125" s="979">
        <f t="shared" ref="BR125:BR139" si="205">IFERROR(IF(FIND("-",BM125,BO125)&gt;BP125,428,FIND("-",BM125,BO125)),428)</f>
        <v>428</v>
      </c>
      <c r="BS125" s="999">
        <f t="shared" ref="BS125:BS139" si="206">IFERROR(FIND("-",BM125,BP125),428)</f>
        <v>428</v>
      </c>
      <c r="BT125" s="773" t="str">
        <f t="shared" ref="BT125:BT139" si="207">IF(AND(BO125="N",BQ125="N"),BM125,LEFT(BM125,MIN(BO125-1,BQ125-1)))</f>
        <v>40</v>
      </c>
      <c r="BU125" s="773" t="str">
        <f t="shared" ref="BU125:BU139" si="208">IF(BQ125=428,"",MID(BM125,BQ125+1,MIN(BO125,BN125)-BQ125-1))</f>
        <v>60</v>
      </c>
      <c r="BV125" s="773" t="str">
        <f t="shared" ref="BV125:BV139" si="209">IF(BO125=428,"",MID(BM125,BO125+1,MIN(BP125,BN125,BR125)-BO125-1))</f>
        <v/>
      </c>
      <c r="BW125" s="773" t="str">
        <f t="shared" ref="BW125:BW139" si="210">IF(BR125=428,"",MID(BM125,BR125+1,MIN(BN125,BP125)-BR125-1))</f>
        <v/>
      </c>
      <c r="BX125" s="773" t="str">
        <f t="shared" ref="BX125:BX139" si="211">IF(BP125=428,"",MID(BM125,BP125+1,MIN(BN125,BS125)-BP125-1))</f>
        <v/>
      </c>
      <c r="BY125" s="774" t="str">
        <f t="shared" ref="BY125:BY139" si="212">IF(BS125=428,"",RIGHT(BM125,BN125-BS125-1))</f>
        <v/>
      </c>
      <c r="BZ125" s="773">
        <f t="shared" ref="BZ125:BZ139" si="213">IFERROR(VALUE(BT125),"")</f>
        <v>40</v>
      </c>
      <c r="CA125" s="773">
        <f t="shared" ref="CA125:CA139" si="214">IFERROR(VALUE(BU125),"")</f>
        <v>60</v>
      </c>
      <c r="CB125" s="773" t="str">
        <f t="shared" ref="CB125:CB139" si="215">IFERROR(VALUE(BV125),"")</f>
        <v/>
      </c>
      <c r="CC125" s="773" t="str">
        <f t="shared" ref="CC125:CC139" si="216">IFERROR(VALUE(BW125),"")</f>
        <v/>
      </c>
      <c r="CD125" s="773" t="str">
        <f t="shared" ref="CD125:CD139" si="217">IFERROR(VALUE(BX125),"")</f>
        <v/>
      </c>
      <c r="CE125" s="774" t="str">
        <f t="shared" ref="CE125:CE139" si="218">IFERROR(VALUE(BY125),"")</f>
        <v/>
      </c>
      <c r="CF125" s="772">
        <f t="shared" ref="CF125:CF139" si="219">IF(BZ125=0,"",BZ125)</f>
        <v>40</v>
      </c>
      <c r="CG125" s="773">
        <f t="shared" si="190"/>
        <v>60</v>
      </c>
      <c r="CH125" s="772" t="str">
        <f t="shared" ref="CH125:CH139" si="220">IF(CB125=0,"",CB125)</f>
        <v/>
      </c>
      <c r="CI125" s="773" t="str">
        <f>IF(CC125="",CB125,CC125)</f>
        <v/>
      </c>
      <c r="CJ125" s="772" t="str">
        <f t="shared" ref="CJ125:CJ139" si="221">IF(CD125="","",CD125)</f>
        <v/>
      </c>
      <c r="CK125" s="774" t="str">
        <f t="shared" ref="CK125:CK139" si="222">IF(CE125="",CD125,CE125)</f>
        <v/>
      </c>
      <c r="CL125" s="772">
        <v>2</v>
      </c>
      <c r="CM125" s="993" t="str">
        <f t="shared" si="192"/>
        <v/>
      </c>
      <c r="CN125" s="989" t="str">
        <f t="shared" si="192"/>
        <v/>
      </c>
      <c r="CO125" s="989" t="str">
        <f t="shared" si="192"/>
        <v/>
      </c>
      <c r="CP125" s="989">
        <f t="shared" si="192"/>
        <v>2</v>
      </c>
      <c r="CQ125" s="989">
        <f t="shared" si="192"/>
        <v>2</v>
      </c>
      <c r="CR125" s="989">
        <f t="shared" si="192"/>
        <v>2</v>
      </c>
      <c r="CS125" s="989" t="str">
        <f t="shared" si="192"/>
        <v/>
      </c>
      <c r="CT125" s="989" t="str">
        <f t="shared" si="192"/>
        <v/>
      </c>
      <c r="CU125" s="989" t="str">
        <f t="shared" si="192"/>
        <v/>
      </c>
      <c r="CV125" s="989" t="str">
        <f t="shared" si="192"/>
        <v/>
      </c>
      <c r="CW125" s="989" t="str">
        <f t="shared" si="193"/>
        <v/>
      </c>
      <c r="CX125" s="989" t="str">
        <f t="shared" si="193"/>
        <v/>
      </c>
      <c r="CY125" s="989" t="str">
        <f t="shared" si="193"/>
        <v/>
      </c>
      <c r="CZ125" s="989" t="str">
        <f t="shared" si="193"/>
        <v/>
      </c>
      <c r="DA125" s="989" t="str">
        <f t="shared" si="193"/>
        <v/>
      </c>
      <c r="DB125" s="989" t="str">
        <f t="shared" si="193"/>
        <v/>
      </c>
      <c r="DC125" s="989" t="str">
        <f t="shared" si="193"/>
        <v/>
      </c>
      <c r="DD125" s="989" t="str">
        <f t="shared" si="193"/>
        <v/>
      </c>
      <c r="DE125" s="989" t="str">
        <f t="shared" si="193"/>
        <v/>
      </c>
      <c r="DF125" s="989" t="str">
        <f t="shared" si="193"/>
        <v/>
      </c>
      <c r="DG125" s="989" t="str">
        <f t="shared" si="194"/>
        <v/>
      </c>
      <c r="DH125" s="989" t="str">
        <f t="shared" si="194"/>
        <v/>
      </c>
      <c r="DI125" s="989" t="str">
        <f t="shared" si="194"/>
        <v/>
      </c>
      <c r="DJ125" s="989" t="str">
        <f t="shared" si="194"/>
        <v/>
      </c>
      <c r="DK125" s="989" t="str">
        <f t="shared" si="194"/>
        <v/>
      </c>
      <c r="DL125" s="989" t="str">
        <f t="shared" si="194"/>
        <v/>
      </c>
      <c r="DM125" s="989" t="str">
        <f t="shared" si="194"/>
        <v/>
      </c>
      <c r="DN125" s="989" t="str">
        <f t="shared" si="194"/>
        <v/>
      </c>
      <c r="DO125" s="989" t="str">
        <f t="shared" si="194"/>
        <v/>
      </c>
      <c r="DP125" s="989" t="str">
        <f t="shared" si="194"/>
        <v/>
      </c>
      <c r="DQ125" s="989" t="str">
        <f t="shared" si="195"/>
        <v/>
      </c>
      <c r="DR125" s="989" t="str">
        <f t="shared" si="195"/>
        <v/>
      </c>
      <c r="DS125" s="989" t="str">
        <f t="shared" si="195"/>
        <v/>
      </c>
      <c r="DT125" s="989" t="str">
        <f t="shared" si="195"/>
        <v/>
      </c>
      <c r="DU125" s="989" t="str">
        <f t="shared" si="195"/>
        <v/>
      </c>
      <c r="DV125" s="994" t="str">
        <f t="shared" si="195"/>
        <v/>
      </c>
    </row>
    <row r="126" spans="19:126" x14ac:dyDescent="0.2">
      <c r="S126" s="585"/>
      <c r="T126" s="698" t="str">
        <f>T115</f>
        <v>"latitude":</v>
      </c>
      <c r="U126" s="699" t="str">
        <f t="shared" ref="U126:BC126" si="223">T126</f>
        <v>"latitude":</v>
      </c>
      <c r="V126" s="699" t="str">
        <f t="shared" si="223"/>
        <v>"latitude":</v>
      </c>
      <c r="W126" s="699" t="str">
        <f t="shared" si="223"/>
        <v>"latitude":</v>
      </c>
      <c r="X126" s="699" t="str">
        <f t="shared" si="223"/>
        <v>"latitude":</v>
      </c>
      <c r="Y126" s="699" t="str">
        <f t="shared" si="223"/>
        <v>"latitude":</v>
      </c>
      <c r="Z126" s="699" t="str">
        <f t="shared" si="223"/>
        <v>"latitude":</v>
      </c>
      <c r="AA126" s="699" t="str">
        <f t="shared" si="223"/>
        <v>"latitude":</v>
      </c>
      <c r="AB126" s="699" t="str">
        <f t="shared" si="223"/>
        <v>"latitude":</v>
      </c>
      <c r="AC126" s="699" t="str">
        <f t="shared" si="223"/>
        <v>"latitude":</v>
      </c>
      <c r="AD126" s="699" t="str">
        <f t="shared" si="223"/>
        <v>"latitude":</v>
      </c>
      <c r="AE126" s="699" t="str">
        <f t="shared" si="223"/>
        <v>"latitude":</v>
      </c>
      <c r="AF126" s="699" t="str">
        <f t="shared" si="223"/>
        <v>"latitude":</v>
      </c>
      <c r="AG126" s="699" t="str">
        <f t="shared" si="223"/>
        <v>"latitude":</v>
      </c>
      <c r="AH126" s="699" t="str">
        <f t="shared" si="223"/>
        <v>"latitude":</v>
      </c>
      <c r="AI126" s="699" t="str">
        <f t="shared" si="223"/>
        <v>"latitude":</v>
      </c>
      <c r="AJ126" s="699" t="str">
        <f t="shared" si="223"/>
        <v>"latitude":</v>
      </c>
      <c r="AK126" s="699" t="str">
        <f t="shared" si="223"/>
        <v>"latitude":</v>
      </c>
      <c r="AL126" s="699" t="str">
        <f t="shared" si="223"/>
        <v>"latitude":</v>
      </c>
      <c r="AM126" s="699" t="str">
        <f t="shared" si="223"/>
        <v>"latitude":</v>
      </c>
      <c r="AN126" s="699" t="str">
        <f t="shared" si="223"/>
        <v>"latitude":</v>
      </c>
      <c r="AO126" s="699" t="str">
        <f t="shared" si="223"/>
        <v>"latitude":</v>
      </c>
      <c r="AP126" s="699" t="str">
        <f t="shared" si="223"/>
        <v>"latitude":</v>
      </c>
      <c r="AQ126" s="699" t="str">
        <f t="shared" si="223"/>
        <v>"latitude":</v>
      </c>
      <c r="AR126" s="699" t="str">
        <f t="shared" si="223"/>
        <v>"latitude":</v>
      </c>
      <c r="AS126" s="699" t="str">
        <f t="shared" si="223"/>
        <v>"latitude":</v>
      </c>
      <c r="AT126" s="699" t="str">
        <f t="shared" si="223"/>
        <v>"latitude":</v>
      </c>
      <c r="AU126" s="699" t="str">
        <f t="shared" si="223"/>
        <v>"latitude":</v>
      </c>
      <c r="AV126" s="699" t="str">
        <f t="shared" si="223"/>
        <v>"latitude":</v>
      </c>
      <c r="AW126" s="699" t="str">
        <f t="shared" si="223"/>
        <v>"latitude":</v>
      </c>
      <c r="AX126" s="699" t="str">
        <f t="shared" si="223"/>
        <v>"latitude":</v>
      </c>
      <c r="AY126" s="699" t="str">
        <f t="shared" si="223"/>
        <v>"latitude":</v>
      </c>
      <c r="AZ126" s="699" t="str">
        <f t="shared" si="223"/>
        <v>"latitude":</v>
      </c>
      <c r="BA126" s="699" t="str">
        <f t="shared" si="223"/>
        <v>"latitude":</v>
      </c>
      <c r="BB126" s="699" t="str">
        <f t="shared" si="223"/>
        <v>"latitude":</v>
      </c>
      <c r="BC126" s="700" t="str">
        <f t="shared" si="223"/>
        <v>"latitude":</v>
      </c>
      <c r="BD126" s="577" t="str">
        <f>""</f>
        <v/>
      </c>
      <c r="BF126" s="772">
        <v>3</v>
      </c>
      <c r="BG126" s="963" t="str">
        <v>70-90</v>
      </c>
      <c r="BH126" s="772" t="str">
        <f t="shared" si="197"/>
        <v/>
      </c>
      <c r="BI126" s="773" t="str">
        <f t="shared" si="198"/>
        <v>70-90</v>
      </c>
      <c r="BJ126" s="773" t="str">
        <f t="shared" si="197"/>
        <v/>
      </c>
      <c r="BK126" s="773" t="str">
        <f t="shared" si="199"/>
        <v>70-90</v>
      </c>
      <c r="BL126" s="773" t="str">
        <f t="shared" ref="BL126" si="224">IFERROR(FIND("to",BK126,1),"")</f>
        <v/>
      </c>
      <c r="BM126" s="773" t="str">
        <f t="shared" si="201"/>
        <v>70-90</v>
      </c>
      <c r="BN126" s="772">
        <f t="shared" si="202"/>
        <v>6</v>
      </c>
      <c r="BO126" s="979">
        <f t="shared" ref="BO126:BO139" si="225">IFERROR(FIND(",",BM126,1),428)</f>
        <v>428</v>
      </c>
      <c r="BP126" s="979">
        <f t="shared" si="203"/>
        <v>428</v>
      </c>
      <c r="BQ126" s="979">
        <f t="shared" si="204"/>
        <v>3</v>
      </c>
      <c r="BR126" s="979">
        <f t="shared" si="205"/>
        <v>428</v>
      </c>
      <c r="BS126" s="999">
        <f t="shared" si="206"/>
        <v>428</v>
      </c>
      <c r="BT126" s="773" t="str">
        <f t="shared" si="207"/>
        <v>70</v>
      </c>
      <c r="BU126" s="773" t="str">
        <f t="shared" si="208"/>
        <v>90</v>
      </c>
      <c r="BV126" s="773" t="str">
        <f t="shared" si="209"/>
        <v/>
      </c>
      <c r="BW126" s="773" t="str">
        <f t="shared" si="210"/>
        <v/>
      </c>
      <c r="BX126" s="773" t="str">
        <f t="shared" si="211"/>
        <v/>
      </c>
      <c r="BY126" s="774" t="str">
        <f t="shared" si="212"/>
        <v/>
      </c>
      <c r="BZ126" s="773">
        <f t="shared" si="213"/>
        <v>70</v>
      </c>
      <c r="CA126" s="773">
        <f t="shared" si="214"/>
        <v>90</v>
      </c>
      <c r="CB126" s="773" t="str">
        <f t="shared" si="215"/>
        <v/>
      </c>
      <c r="CC126" s="773" t="str">
        <f t="shared" si="216"/>
        <v/>
      </c>
      <c r="CD126" s="773" t="str">
        <f t="shared" si="217"/>
        <v/>
      </c>
      <c r="CE126" s="774" t="str">
        <f t="shared" si="218"/>
        <v/>
      </c>
      <c r="CF126" s="772">
        <f t="shared" si="219"/>
        <v>70</v>
      </c>
      <c r="CG126" s="773">
        <f t="shared" si="190"/>
        <v>90</v>
      </c>
      <c r="CH126" s="772" t="str">
        <f t="shared" si="220"/>
        <v/>
      </c>
      <c r="CI126" s="773" t="str">
        <f t="shared" ref="CI126:CI139" si="226">IF(CC126="",CB126,CC126)</f>
        <v/>
      </c>
      <c r="CJ126" s="772" t="str">
        <f t="shared" si="221"/>
        <v/>
      </c>
      <c r="CK126" s="774" t="str">
        <f>IF(CE126="",CD126,CE126)</f>
        <v/>
      </c>
      <c r="CL126" s="772">
        <v>3</v>
      </c>
      <c r="CM126" s="993" t="str">
        <f t="shared" si="192"/>
        <v/>
      </c>
      <c r="CN126" s="989" t="str">
        <f t="shared" si="192"/>
        <v/>
      </c>
      <c r="CO126" s="989" t="str">
        <f t="shared" si="192"/>
        <v/>
      </c>
      <c r="CP126" s="989" t="str">
        <f t="shared" si="192"/>
        <v/>
      </c>
      <c r="CQ126" s="989" t="str">
        <f t="shared" si="192"/>
        <v/>
      </c>
      <c r="CR126" s="989" t="str">
        <f t="shared" si="192"/>
        <v/>
      </c>
      <c r="CS126" s="989">
        <f t="shared" si="192"/>
        <v>3</v>
      </c>
      <c r="CT126" s="989">
        <f t="shared" si="192"/>
        <v>3</v>
      </c>
      <c r="CU126" s="989">
        <f t="shared" si="192"/>
        <v>3</v>
      </c>
      <c r="CV126" s="989" t="str">
        <f t="shared" si="192"/>
        <v/>
      </c>
      <c r="CW126" s="989" t="str">
        <f t="shared" si="193"/>
        <v/>
      </c>
      <c r="CX126" s="989" t="str">
        <f t="shared" si="193"/>
        <v/>
      </c>
      <c r="CY126" s="989" t="str">
        <f t="shared" si="193"/>
        <v/>
      </c>
      <c r="CZ126" s="989" t="str">
        <f t="shared" si="193"/>
        <v/>
      </c>
      <c r="DA126" s="989" t="str">
        <f t="shared" si="193"/>
        <v/>
      </c>
      <c r="DB126" s="989" t="str">
        <f t="shared" si="193"/>
        <v/>
      </c>
      <c r="DC126" s="989" t="str">
        <f t="shared" si="193"/>
        <v/>
      </c>
      <c r="DD126" s="989" t="str">
        <f t="shared" si="193"/>
        <v/>
      </c>
      <c r="DE126" s="989" t="str">
        <f t="shared" si="193"/>
        <v/>
      </c>
      <c r="DF126" s="989" t="str">
        <f t="shared" si="193"/>
        <v/>
      </c>
      <c r="DG126" s="989" t="str">
        <f t="shared" si="194"/>
        <v/>
      </c>
      <c r="DH126" s="989" t="str">
        <f t="shared" si="194"/>
        <v/>
      </c>
      <c r="DI126" s="989" t="str">
        <f t="shared" si="194"/>
        <v/>
      </c>
      <c r="DJ126" s="989" t="str">
        <f t="shared" si="194"/>
        <v/>
      </c>
      <c r="DK126" s="989" t="str">
        <f t="shared" si="194"/>
        <v/>
      </c>
      <c r="DL126" s="989" t="str">
        <f t="shared" si="194"/>
        <v/>
      </c>
      <c r="DM126" s="989" t="str">
        <f t="shared" si="194"/>
        <v/>
      </c>
      <c r="DN126" s="989" t="str">
        <f t="shared" si="194"/>
        <v/>
      </c>
      <c r="DO126" s="989" t="str">
        <f t="shared" si="194"/>
        <v/>
      </c>
      <c r="DP126" s="989" t="str">
        <f t="shared" si="194"/>
        <v/>
      </c>
      <c r="DQ126" s="989" t="str">
        <f t="shared" si="195"/>
        <v/>
      </c>
      <c r="DR126" s="989" t="str">
        <f t="shared" si="195"/>
        <v/>
      </c>
      <c r="DS126" s="989" t="str">
        <f t="shared" si="195"/>
        <v/>
      </c>
      <c r="DT126" s="989" t="str">
        <f t="shared" si="195"/>
        <v/>
      </c>
      <c r="DU126" s="989" t="str">
        <f t="shared" si="195"/>
        <v/>
      </c>
      <c r="DV126" s="994" t="str">
        <f t="shared" si="195"/>
        <v/>
      </c>
    </row>
    <row r="127" spans="19:126" x14ac:dyDescent="0.2">
      <c r="S127" s="585"/>
      <c r="T127" s="701" t="str">
        <f t="shared" ref="T127:BC127" si="227">T35</f>
        <v/>
      </c>
      <c r="U127" s="702" t="str">
        <f t="shared" si="227"/>
        <v/>
      </c>
      <c r="V127" s="702" t="str">
        <f t="shared" si="227"/>
        <v/>
      </c>
      <c r="W127" s="702" t="str">
        <f t="shared" si="227"/>
        <v/>
      </c>
      <c r="X127" s="702" t="str">
        <f t="shared" si="227"/>
        <v/>
      </c>
      <c r="Y127" s="702" t="str">
        <f t="shared" si="227"/>
        <v/>
      </c>
      <c r="Z127" s="702" t="str">
        <f t="shared" si="227"/>
        <v/>
      </c>
      <c r="AA127" s="702" t="str">
        <f t="shared" si="227"/>
        <v/>
      </c>
      <c r="AB127" s="702" t="str">
        <f t="shared" si="227"/>
        <v/>
      </c>
      <c r="AC127" s="702" t="str">
        <f t="shared" si="227"/>
        <v/>
      </c>
      <c r="AD127" s="702" t="str">
        <f t="shared" si="227"/>
        <v/>
      </c>
      <c r="AE127" s="702" t="str">
        <f t="shared" si="227"/>
        <v/>
      </c>
      <c r="AF127" s="702" t="str">
        <f t="shared" si="227"/>
        <v/>
      </c>
      <c r="AG127" s="702" t="str">
        <f t="shared" si="227"/>
        <v/>
      </c>
      <c r="AH127" s="702" t="str">
        <f t="shared" si="227"/>
        <v/>
      </c>
      <c r="AI127" s="702" t="str">
        <f t="shared" si="227"/>
        <v/>
      </c>
      <c r="AJ127" s="702" t="str">
        <f t="shared" si="227"/>
        <v/>
      </c>
      <c r="AK127" s="702" t="str">
        <f t="shared" si="227"/>
        <v/>
      </c>
      <c r="AL127" s="702" t="str">
        <f t="shared" si="227"/>
        <v/>
      </c>
      <c r="AM127" s="702" t="str">
        <f t="shared" si="227"/>
        <v/>
      </c>
      <c r="AN127" s="702" t="str">
        <f t="shared" si="227"/>
        <v/>
      </c>
      <c r="AO127" s="702" t="str">
        <f t="shared" si="227"/>
        <v/>
      </c>
      <c r="AP127" s="702" t="str">
        <f t="shared" si="227"/>
        <v/>
      </c>
      <c r="AQ127" s="702" t="str">
        <f t="shared" si="227"/>
        <v/>
      </c>
      <c r="AR127" s="702" t="str">
        <f t="shared" si="227"/>
        <v/>
      </c>
      <c r="AS127" s="702" t="str">
        <f t="shared" si="227"/>
        <v/>
      </c>
      <c r="AT127" s="702" t="str">
        <f t="shared" si="227"/>
        <v/>
      </c>
      <c r="AU127" s="702" t="str">
        <f t="shared" si="227"/>
        <v/>
      </c>
      <c r="AV127" s="702" t="str">
        <f t="shared" si="227"/>
        <v/>
      </c>
      <c r="AW127" s="702" t="str">
        <f t="shared" si="227"/>
        <v/>
      </c>
      <c r="AX127" s="702" t="str">
        <f t="shared" si="227"/>
        <v/>
      </c>
      <c r="AY127" s="702" t="str">
        <f t="shared" si="227"/>
        <v/>
      </c>
      <c r="AZ127" s="702" t="str">
        <f t="shared" si="227"/>
        <v/>
      </c>
      <c r="BA127" s="702" t="str">
        <f t="shared" si="227"/>
        <v/>
      </c>
      <c r="BB127" s="702" t="str">
        <f t="shared" si="227"/>
        <v/>
      </c>
      <c r="BC127" s="703" t="str">
        <f t="shared" si="227"/>
        <v/>
      </c>
      <c r="BD127" s="577" t="str">
        <f>""</f>
        <v/>
      </c>
      <c r="BF127" s="772">
        <v>4</v>
      </c>
      <c r="BG127" s="963" t="str">
        <v>100-120</v>
      </c>
      <c r="BH127" s="772" t="str">
        <f t="shared" si="197"/>
        <v/>
      </c>
      <c r="BI127" s="773" t="str">
        <f t="shared" si="198"/>
        <v>100-120</v>
      </c>
      <c r="BJ127" s="773" t="str">
        <f t="shared" si="197"/>
        <v/>
      </c>
      <c r="BK127" s="773" t="str">
        <f t="shared" si="199"/>
        <v>100-120</v>
      </c>
      <c r="BL127" s="773" t="str">
        <f t="shared" ref="BL127" si="228">IFERROR(FIND("to",BK127,1),"")</f>
        <v/>
      </c>
      <c r="BM127" s="773" t="str">
        <f t="shared" si="201"/>
        <v>100-120</v>
      </c>
      <c r="BN127" s="772">
        <f t="shared" si="202"/>
        <v>8</v>
      </c>
      <c r="BO127" s="979">
        <f t="shared" si="225"/>
        <v>428</v>
      </c>
      <c r="BP127" s="979">
        <f t="shared" si="203"/>
        <v>428</v>
      </c>
      <c r="BQ127" s="979">
        <f t="shared" si="204"/>
        <v>4</v>
      </c>
      <c r="BR127" s="979">
        <f t="shared" si="205"/>
        <v>428</v>
      </c>
      <c r="BS127" s="999">
        <f t="shared" si="206"/>
        <v>428</v>
      </c>
      <c r="BT127" s="773" t="str">
        <f t="shared" si="207"/>
        <v>100</v>
      </c>
      <c r="BU127" s="773" t="str">
        <f t="shared" si="208"/>
        <v>120</v>
      </c>
      <c r="BV127" s="773" t="str">
        <f t="shared" si="209"/>
        <v/>
      </c>
      <c r="BW127" s="773" t="str">
        <f t="shared" si="210"/>
        <v/>
      </c>
      <c r="BX127" s="773" t="str">
        <f t="shared" si="211"/>
        <v/>
      </c>
      <c r="BY127" s="774" t="str">
        <f t="shared" si="212"/>
        <v/>
      </c>
      <c r="BZ127" s="773">
        <f t="shared" si="213"/>
        <v>100</v>
      </c>
      <c r="CA127" s="773">
        <f t="shared" si="214"/>
        <v>120</v>
      </c>
      <c r="CB127" s="773" t="str">
        <f t="shared" si="215"/>
        <v/>
      </c>
      <c r="CC127" s="773" t="str">
        <f t="shared" si="216"/>
        <v/>
      </c>
      <c r="CD127" s="773" t="str">
        <f t="shared" si="217"/>
        <v/>
      </c>
      <c r="CE127" s="774" t="str">
        <f t="shared" si="218"/>
        <v/>
      </c>
      <c r="CF127" s="772">
        <f t="shared" si="219"/>
        <v>100</v>
      </c>
      <c r="CG127" s="773">
        <f t="shared" si="190"/>
        <v>120</v>
      </c>
      <c r="CH127" s="772" t="str">
        <f t="shared" si="220"/>
        <v/>
      </c>
      <c r="CI127" s="773" t="str">
        <f t="shared" si="226"/>
        <v/>
      </c>
      <c r="CJ127" s="772" t="str">
        <f t="shared" si="221"/>
        <v/>
      </c>
      <c r="CK127" s="774" t="str">
        <f t="shared" si="222"/>
        <v/>
      </c>
      <c r="CL127" s="772">
        <v>4</v>
      </c>
      <c r="CM127" s="993" t="str">
        <f t="shared" si="192"/>
        <v/>
      </c>
      <c r="CN127" s="989" t="str">
        <f t="shared" si="192"/>
        <v/>
      </c>
      <c r="CO127" s="989" t="str">
        <f t="shared" si="192"/>
        <v/>
      </c>
      <c r="CP127" s="989" t="str">
        <f t="shared" si="192"/>
        <v/>
      </c>
      <c r="CQ127" s="989" t="str">
        <f t="shared" si="192"/>
        <v/>
      </c>
      <c r="CR127" s="989" t="str">
        <f t="shared" si="192"/>
        <v/>
      </c>
      <c r="CS127" s="989" t="str">
        <f t="shared" si="192"/>
        <v/>
      </c>
      <c r="CT127" s="989" t="str">
        <f t="shared" si="192"/>
        <v/>
      </c>
      <c r="CU127" s="989" t="str">
        <f t="shared" si="192"/>
        <v/>
      </c>
      <c r="CV127" s="989">
        <f t="shared" si="192"/>
        <v>4</v>
      </c>
      <c r="CW127" s="989">
        <f t="shared" si="193"/>
        <v>4</v>
      </c>
      <c r="CX127" s="989">
        <f t="shared" si="193"/>
        <v>4</v>
      </c>
      <c r="CY127" s="989" t="str">
        <f t="shared" si="193"/>
        <v/>
      </c>
      <c r="CZ127" s="989" t="str">
        <f t="shared" si="193"/>
        <v/>
      </c>
      <c r="DA127" s="989" t="str">
        <f t="shared" si="193"/>
        <v/>
      </c>
      <c r="DB127" s="989" t="str">
        <f t="shared" si="193"/>
        <v/>
      </c>
      <c r="DC127" s="989" t="str">
        <f t="shared" si="193"/>
        <v/>
      </c>
      <c r="DD127" s="989" t="str">
        <f t="shared" si="193"/>
        <v/>
      </c>
      <c r="DE127" s="989" t="str">
        <f t="shared" si="193"/>
        <v/>
      </c>
      <c r="DF127" s="989" t="str">
        <f t="shared" si="193"/>
        <v/>
      </c>
      <c r="DG127" s="989" t="str">
        <f t="shared" si="194"/>
        <v/>
      </c>
      <c r="DH127" s="989" t="str">
        <f t="shared" si="194"/>
        <v/>
      </c>
      <c r="DI127" s="989" t="str">
        <f t="shared" si="194"/>
        <v/>
      </c>
      <c r="DJ127" s="989" t="str">
        <f t="shared" si="194"/>
        <v/>
      </c>
      <c r="DK127" s="989" t="str">
        <f t="shared" si="194"/>
        <v/>
      </c>
      <c r="DL127" s="989" t="str">
        <f t="shared" si="194"/>
        <v/>
      </c>
      <c r="DM127" s="989" t="str">
        <f t="shared" si="194"/>
        <v/>
      </c>
      <c r="DN127" s="989" t="str">
        <f t="shared" si="194"/>
        <v/>
      </c>
      <c r="DO127" s="989" t="str">
        <f t="shared" si="194"/>
        <v/>
      </c>
      <c r="DP127" s="989" t="str">
        <f t="shared" si="194"/>
        <v/>
      </c>
      <c r="DQ127" s="989" t="str">
        <f t="shared" si="195"/>
        <v/>
      </c>
      <c r="DR127" s="989" t="str">
        <f t="shared" si="195"/>
        <v/>
      </c>
      <c r="DS127" s="989" t="str">
        <f t="shared" si="195"/>
        <v/>
      </c>
      <c r="DT127" s="989" t="str">
        <f t="shared" si="195"/>
        <v/>
      </c>
      <c r="DU127" s="989" t="str">
        <f t="shared" si="195"/>
        <v/>
      </c>
      <c r="DV127" s="994" t="str">
        <f t="shared" si="195"/>
        <v/>
      </c>
    </row>
    <row r="128" spans="19:126" x14ac:dyDescent="0.2">
      <c r="S128" s="585"/>
      <c r="T128" s="698" t="str">
        <f>T117</f>
        <v>,"longitude":</v>
      </c>
      <c r="U128" s="699" t="str">
        <f t="shared" ref="U128:BC128" si="229">T128</f>
        <v>,"longitude":</v>
      </c>
      <c r="V128" s="699" t="str">
        <f t="shared" si="229"/>
        <v>,"longitude":</v>
      </c>
      <c r="W128" s="699" t="str">
        <f t="shared" si="229"/>
        <v>,"longitude":</v>
      </c>
      <c r="X128" s="699" t="str">
        <f t="shared" si="229"/>
        <v>,"longitude":</v>
      </c>
      <c r="Y128" s="699" t="str">
        <f t="shared" si="229"/>
        <v>,"longitude":</v>
      </c>
      <c r="Z128" s="699" t="str">
        <f t="shared" si="229"/>
        <v>,"longitude":</v>
      </c>
      <c r="AA128" s="699" t="str">
        <f t="shared" si="229"/>
        <v>,"longitude":</v>
      </c>
      <c r="AB128" s="699" t="str">
        <f t="shared" si="229"/>
        <v>,"longitude":</v>
      </c>
      <c r="AC128" s="699" t="str">
        <f t="shared" si="229"/>
        <v>,"longitude":</v>
      </c>
      <c r="AD128" s="699" t="str">
        <f t="shared" si="229"/>
        <v>,"longitude":</v>
      </c>
      <c r="AE128" s="699" t="str">
        <f t="shared" si="229"/>
        <v>,"longitude":</v>
      </c>
      <c r="AF128" s="699" t="str">
        <f t="shared" si="229"/>
        <v>,"longitude":</v>
      </c>
      <c r="AG128" s="699" t="str">
        <f t="shared" si="229"/>
        <v>,"longitude":</v>
      </c>
      <c r="AH128" s="699" t="str">
        <f t="shared" si="229"/>
        <v>,"longitude":</v>
      </c>
      <c r="AI128" s="699" t="str">
        <f t="shared" si="229"/>
        <v>,"longitude":</v>
      </c>
      <c r="AJ128" s="699" t="str">
        <f t="shared" si="229"/>
        <v>,"longitude":</v>
      </c>
      <c r="AK128" s="699" t="str">
        <f t="shared" si="229"/>
        <v>,"longitude":</v>
      </c>
      <c r="AL128" s="699" t="str">
        <f t="shared" si="229"/>
        <v>,"longitude":</v>
      </c>
      <c r="AM128" s="699" t="str">
        <f t="shared" si="229"/>
        <v>,"longitude":</v>
      </c>
      <c r="AN128" s="699" t="str">
        <f t="shared" si="229"/>
        <v>,"longitude":</v>
      </c>
      <c r="AO128" s="699" t="str">
        <f t="shared" si="229"/>
        <v>,"longitude":</v>
      </c>
      <c r="AP128" s="699" t="str">
        <f t="shared" si="229"/>
        <v>,"longitude":</v>
      </c>
      <c r="AQ128" s="699" t="str">
        <f t="shared" si="229"/>
        <v>,"longitude":</v>
      </c>
      <c r="AR128" s="699" t="str">
        <f t="shared" si="229"/>
        <v>,"longitude":</v>
      </c>
      <c r="AS128" s="699" t="str">
        <f t="shared" si="229"/>
        <v>,"longitude":</v>
      </c>
      <c r="AT128" s="699" t="str">
        <f t="shared" si="229"/>
        <v>,"longitude":</v>
      </c>
      <c r="AU128" s="699" t="str">
        <f t="shared" si="229"/>
        <v>,"longitude":</v>
      </c>
      <c r="AV128" s="699" t="str">
        <f t="shared" si="229"/>
        <v>,"longitude":</v>
      </c>
      <c r="AW128" s="699" t="str">
        <f t="shared" si="229"/>
        <v>,"longitude":</v>
      </c>
      <c r="AX128" s="699" t="str">
        <f t="shared" si="229"/>
        <v>,"longitude":</v>
      </c>
      <c r="AY128" s="699" t="str">
        <f t="shared" si="229"/>
        <v>,"longitude":</v>
      </c>
      <c r="AZ128" s="699" t="str">
        <f t="shared" si="229"/>
        <v>,"longitude":</v>
      </c>
      <c r="BA128" s="699" t="str">
        <f t="shared" si="229"/>
        <v>,"longitude":</v>
      </c>
      <c r="BB128" s="699" t="str">
        <f t="shared" si="229"/>
        <v>,"longitude":</v>
      </c>
      <c r="BC128" s="700" t="str">
        <f t="shared" si="229"/>
        <v>,"longitude":</v>
      </c>
      <c r="BD128" s="577" t="str">
        <f>""</f>
        <v/>
      </c>
      <c r="BF128" s="772">
        <v>5</v>
      </c>
      <c r="BG128" s="963" t="str">
        <v>130-150</v>
      </c>
      <c r="BH128" s="772" t="str">
        <f t="shared" si="197"/>
        <v/>
      </c>
      <c r="BI128" s="773" t="str">
        <f t="shared" si="198"/>
        <v>130-150</v>
      </c>
      <c r="BJ128" s="773" t="str">
        <f t="shared" si="197"/>
        <v/>
      </c>
      <c r="BK128" s="773" t="str">
        <f t="shared" si="199"/>
        <v>130-150</v>
      </c>
      <c r="BL128" s="773" t="str">
        <f t="shared" ref="BL128" si="230">IFERROR(FIND("to",BK128,1),"")</f>
        <v/>
      </c>
      <c r="BM128" s="773" t="str">
        <f t="shared" si="201"/>
        <v>130-150</v>
      </c>
      <c r="BN128" s="772">
        <f t="shared" si="202"/>
        <v>8</v>
      </c>
      <c r="BO128" s="979">
        <f t="shared" si="225"/>
        <v>428</v>
      </c>
      <c r="BP128" s="979">
        <f t="shared" si="203"/>
        <v>428</v>
      </c>
      <c r="BQ128" s="979">
        <f t="shared" si="204"/>
        <v>4</v>
      </c>
      <c r="BR128" s="979">
        <f t="shared" si="205"/>
        <v>428</v>
      </c>
      <c r="BS128" s="999">
        <f t="shared" si="206"/>
        <v>428</v>
      </c>
      <c r="BT128" s="773" t="str">
        <f t="shared" si="207"/>
        <v>130</v>
      </c>
      <c r="BU128" s="773" t="str">
        <f t="shared" si="208"/>
        <v>150</v>
      </c>
      <c r="BV128" s="773" t="str">
        <f t="shared" si="209"/>
        <v/>
      </c>
      <c r="BW128" s="773" t="str">
        <f t="shared" si="210"/>
        <v/>
      </c>
      <c r="BX128" s="773" t="str">
        <f t="shared" si="211"/>
        <v/>
      </c>
      <c r="BY128" s="774" t="str">
        <f t="shared" si="212"/>
        <v/>
      </c>
      <c r="BZ128" s="773">
        <f t="shared" si="213"/>
        <v>130</v>
      </c>
      <c r="CA128" s="773">
        <f t="shared" si="214"/>
        <v>150</v>
      </c>
      <c r="CB128" s="773" t="str">
        <f t="shared" si="215"/>
        <v/>
      </c>
      <c r="CC128" s="773" t="str">
        <f t="shared" si="216"/>
        <v/>
      </c>
      <c r="CD128" s="773" t="str">
        <f t="shared" si="217"/>
        <v/>
      </c>
      <c r="CE128" s="774" t="str">
        <f t="shared" si="218"/>
        <v/>
      </c>
      <c r="CF128" s="772">
        <f t="shared" si="219"/>
        <v>130</v>
      </c>
      <c r="CG128" s="773">
        <f t="shared" si="190"/>
        <v>150</v>
      </c>
      <c r="CH128" s="772" t="str">
        <f t="shared" si="220"/>
        <v/>
      </c>
      <c r="CI128" s="773" t="str">
        <f t="shared" si="226"/>
        <v/>
      </c>
      <c r="CJ128" s="772" t="str">
        <f t="shared" si="221"/>
        <v/>
      </c>
      <c r="CK128" s="774" t="str">
        <f t="shared" si="222"/>
        <v/>
      </c>
      <c r="CL128" s="772">
        <v>5</v>
      </c>
      <c r="CM128" s="993" t="str">
        <f t="shared" si="192"/>
        <v/>
      </c>
      <c r="CN128" s="989" t="str">
        <f t="shared" si="192"/>
        <v/>
      </c>
      <c r="CO128" s="989" t="str">
        <f t="shared" si="192"/>
        <v/>
      </c>
      <c r="CP128" s="989" t="str">
        <f t="shared" si="192"/>
        <v/>
      </c>
      <c r="CQ128" s="989" t="str">
        <f t="shared" si="192"/>
        <v/>
      </c>
      <c r="CR128" s="989" t="str">
        <f t="shared" si="192"/>
        <v/>
      </c>
      <c r="CS128" s="989" t="str">
        <f t="shared" si="192"/>
        <v/>
      </c>
      <c r="CT128" s="989" t="str">
        <f t="shared" si="192"/>
        <v/>
      </c>
      <c r="CU128" s="989" t="str">
        <f t="shared" si="192"/>
        <v/>
      </c>
      <c r="CV128" s="989" t="str">
        <f t="shared" si="192"/>
        <v/>
      </c>
      <c r="CW128" s="989" t="str">
        <f t="shared" si="193"/>
        <v/>
      </c>
      <c r="CX128" s="989" t="str">
        <f t="shared" si="193"/>
        <v/>
      </c>
      <c r="CY128" s="989">
        <f t="shared" si="193"/>
        <v>5</v>
      </c>
      <c r="CZ128" s="989">
        <f t="shared" si="193"/>
        <v>5</v>
      </c>
      <c r="DA128" s="989">
        <f t="shared" si="193"/>
        <v>5</v>
      </c>
      <c r="DB128" s="989" t="str">
        <f t="shared" si="193"/>
        <v/>
      </c>
      <c r="DC128" s="989" t="str">
        <f t="shared" si="193"/>
        <v/>
      </c>
      <c r="DD128" s="989" t="str">
        <f t="shared" si="193"/>
        <v/>
      </c>
      <c r="DE128" s="989" t="str">
        <f t="shared" si="193"/>
        <v/>
      </c>
      <c r="DF128" s="989" t="str">
        <f t="shared" si="193"/>
        <v/>
      </c>
      <c r="DG128" s="989" t="str">
        <f t="shared" si="194"/>
        <v/>
      </c>
      <c r="DH128" s="989" t="str">
        <f t="shared" si="194"/>
        <v/>
      </c>
      <c r="DI128" s="989" t="str">
        <f t="shared" si="194"/>
        <v/>
      </c>
      <c r="DJ128" s="989" t="str">
        <f t="shared" si="194"/>
        <v/>
      </c>
      <c r="DK128" s="989" t="str">
        <f t="shared" si="194"/>
        <v/>
      </c>
      <c r="DL128" s="989" t="str">
        <f t="shared" si="194"/>
        <v/>
      </c>
      <c r="DM128" s="989" t="str">
        <f t="shared" si="194"/>
        <v/>
      </c>
      <c r="DN128" s="989" t="str">
        <f t="shared" si="194"/>
        <v/>
      </c>
      <c r="DO128" s="989" t="str">
        <f t="shared" si="194"/>
        <v/>
      </c>
      <c r="DP128" s="989" t="str">
        <f t="shared" si="194"/>
        <v/>
      </c>
      <c r="DQ128" s="989" t="str">
        <f t="shared" si="195"/>
        <v/>
      </c>
      <c r="DR128" s="989" t="str">
        <f t="shared" si="195"/>
        <v/>
      </c>
      <c r="DS128" s="989" t="str">
        <f t="shared" si="195"/>
        <v/>
      </c>
      <c r="DT128" s="989" t="str">
        <f t="shared" si="195"/>
        <v/>
      </c>
      <c r="DU128" s="989" t="str">
        <f t="shared" si="195"/>
        <v/>
      </c>
      <c r="DV128" s="994" t="str">
        <f t="shared" si="195"/>
        <v/>
      </c>
    </row>
    <row r="129" spans="19:126" x14ac:dyDescent="0.2">
      <c r="S129" s="585"/>
      <c r="T129" s="701" t="str">
        <f t="shared" ref="T129:BC129" si="231">T36</f>
        <v/>
      </c>
      <c r="U129" s="702" t="str">
        <f t="shared" si="231"/>
        <v/>
      </c>
      <c r="V129" s="702" t="str">
        <f t="shared" si="231"/>
        <v/>
      </c>
      <c r="W129" s="702" t="str">
        <f t="shared" si="231"/>
        <v/>
      </c>
      <c r="X129" s="702" t="str">
        <f t="shared" si="231"/>
        <v/>
      </c>
      <c r="Y129" s="702" t="str">
        <f t="shared" si="231"/>
        <v/>
      </c>
      <c r="Z129" s="702" t="str">
        <f t="shared" si="231"/>
        <v/>
      </c>
      <c r="AA129" s="702" t="str">
        <f t="shared" si="231"/>
        <v/>
      </c>
      <c r="AB129" s="702" t="str">
        <f t="shared" si="231"/>
        <v/>
      </c>
      <c r="AC129" s="702" t="str">
        <f t="shared" si="231"/>
        <v/>
      </c>
      <c r="AD129" s="702" t="str">
        <f t="shared" si="231"/>
        <v/>
      </c>
      <c r="AE129" s="702" t="str">
        <f t="shared" si="231"/>
        <v/>
      </c>
      <c r="AF129" s="702" t="str">
        <f t="shared" si="231"/>
        <v/>
      </c>
      <c r="AG129" s="702" t="str">
        <f t="shared" si="231"/>
        <v/>
      </c>
      <c r="AH129" s="702" t="str">
        <f t="shared" si="231"/>
        <v/>
      </c>
      <c r="AI129" s="702" t="str">
        <f t="shared" si="231"/>
        <v/>
      </c>
      <c r="AJ129" s="702" t="str">
        <f t="shared" si="231"/>
        <v/>
      </c>
      <c r="AK129" s="702" t="str">
        <f t="shared" si="231"/>
        <v/>
      </c>
      <c r="AL129" s="702" t="str">
        <f t="shared" si="231"/>
        <v/>
      </c>
      <c r="AM129" s="702" t="str">
        <f t="shared" si="231"/>
        <v/>
      </c>
      <c r="AN129" s="702" t="str">
        <f t="shared" si="231"/>
        <v/>
      </c>
      <c r="AO129" s="702" t="str">
        <f t="shared" si="231"/>
        <v/>
      </c>
      <c r="AP129" s="702" t="str">
        <f t="shared" si="231"/>
        <v/>
      </c>
      <c r="AQ129" s="702" t="str">
        <f t="shared" si="231"/>
        <v/>
      </c>
      <c r="AR129" s="702" t="str">
        <f t="shared" si="231"/>
        <v/>
      </c>
      <c r="AS129" s="702" t="str">
        <f t="shared" si="231"/>
        <v/>
      </c>
      <c r="AT129" s="702" t="str">
        <f t="shared" si="231"/>
        <v/>
      </c>
      <c r="AU129" s="702" t="str">
        <f t="shared" si="231"/>
        <v/>
      </c>
      <c r="AV129" s="702" t="str">
        <f t="shared" si="231"/>
        <v/>
      </c>
      <c r="AW129" s="702" t="str">
        <f t="shared" si="231"/>
        <v/>
      </c>
      <c r="AX129" s="702" t="str">
        <f t="shared" si="231"/>
        <v/>
      </c>
      <c r="AY129" s="702" t="str">
        <f t="shared" si="231"/>
        <v/>
      </c>
      <c r="AZ129" s="702" t="str">
        <f t="shared" si="231"/>
        <v/>
      </c>
      <c r="BA129" s="702" t="str">
        <f t="shared" si="231"/>
        <v/>
      </c>
      <c r="BB129" s="702" t="str">
        <f t="shared" si="231"/>
        <v/>
      </c>
      <c r="BC129" s="703" t="str">
        <f t="shared" si="231"/>
        <v/>
      </c>
      <c r="BD129" s="577" t="str">
        <f>""</f>
        <v/>
      </c>
      <c r="BF129" s="772">
        <v>6</v>
      </c>
      <c r="BG129" s="963" t="str">
        <v>160-180.</v>
      </c>
      <c r="BH129" s="772" t="str">
        <f t="shared" si="197"/>
        <v/>
      </c>
      <c r="BI129" s="773" t="str">
        <f t="shared" si="198"/>
        <v>160-180.</v>
      </c>
      <c r="BJ129" s="773" t="str">
        <f t="shared" si="197"/>
        <v/>
      </c>
      <c r="BK129" s="773" t="str">
        <f t="shared" si="199"/>
        <v>160-180.</v>
      </c>
      <c r="BL129" s="773" t="str">
        <f t="shared" ref="BL129" si="232">IFERROR(FIND("to",BK129,1),"")</f>
        <v/>
      </c>
      <c r="BM129" s="773" t="str">
        <f t="shared" si="201"/>
        <v>160-180.</v>
      </c>
      <c r="BN129" s="772">
        <f t="shared" si="202"/>
        <v>9</v>
      </c>
      <c r="BO129" s="979">
        <f t="shared" si="225"/>
        <v>428</v>
      </c>
      <c r="BP129" s="979">
        <f t="shared" si="203"/>
        <v>428</v>
      </c>
      <c r="BQ129" s="979">
        <f t="shared" si="204"/>
        <v>4</v>
      </c>
      <c r="BR129" s="979">
        <f t="shared" si="205"/>
        <v>428</v>
      </c>
      <c r="BS129" s="999">
        <f t="shared" si="206"/>
        <v>428</v>
      </c>
      <c r="BT129" s="773" t="str">
        <f t="shared" si="207"/>
        <v>160</v>
      </c>
      <c r="BU129" s="773" t="str">
        <f t="shared" si="208"/>
        <v>180.</v>
      </c>
      <c r="BV129" s="773" t="str">
        <f t="shared" si="209"/>
        <v/>
      </c>
      <c r="BW129" s="773" t="str">
        <f t="shared" si="210"/>
        <v/>
      </c>
      <c r="BX129" s="773" t="str">
        <f t="shared" si="211"/>
        <v/>
      </c>
      <c r="BY129" s="774" t="str">
        <f t="shared" si="212"/>
        <v/>
      </c>
      <c r="BZ129" s="773">
        <f t="shared" si="213"/>
        <v>160</v>
      </c>
      <c r="CA129" s="773">
        <f t="shared" si="214"/>
        <v>180</v>
      </c>
      <c r="CB129" s="773" t="str">
        <f t="shared" si="215"/>
        <v/>
      </c>
      <c r="CC129" s="773" t="str">
        <f t="shared" si="216"/>
        <v/>
      </c>
      <c r="CD129" s="773" t="str">
        <f t="shared" si="217"/>
        <v/>
      </c>
      <c r="CE129" s="774" t="str">
        <f t="shared" si="218"/>
        <v/>
      </c>
      <c r="CF129" s="772">
        <f t="shared" si="219"/>
        <v>160</v>
      </c>
      <c r="CG129" s="773">
        <f t="shared" si="190"/>
        <v>180</v>
      </c>
      <c r="CH129" s="772" t="str">
        <f t="shared" si="220"/>
        <v/>
      </c>
      <c r="CI129" s="773" t="str">
        <f t="shared" si="226"/>
        <v/>
      </c>
      <c r="CJ129" s="772" t="str">
        <f t="shared" si="221"/>
        <v/>
      </c>
      <c r="CK129" s="774" t="str">
        <f t="shared" si="222"/>
        <v/>
      </c>
      <c r="CL129" s="772">
        <v>6</v>
      </c>
      <c r="CM129" s="993" t="str">
        <f t="shared" si="192"/>
        <v/>
      </c>
      <c r="CN129" s="989" t="str">
        <f t="shared" si="192"/>
        <v/>
      </c>
      <c r="CO129" s="989" t="str">
        <f t="shared" si="192"/>
        <v/>
      </c>
      <c r="CP129" s="989" t="str">
        <f t="shared" si="192"/>
        <v/>
      </c>
      <c r="CQ129" s="989" t="str">
        <f t="shared" si="192"/>
        <v/>
      </c>
      <c r="CR129" s="989" t="str">
        <f t="shared" si="192"/>
        <v/>
      </c>
      <c r="CS129" s="989" t="str">
        <f t="shared" si="192"/>
        <v/>
      </c>
      <c r="CT129" s="989" t="str">
        <f t="shared" si="192"/>
        <v/>
      </c>
      <c r="CU129" s="989" t="str">
        <f t="shared" si="192"/>
        <v/>
      </c>
      <c r="CV129" s="989" t="str">
        <f t="shared" si="192"/>
        <v/>
      </c>
      <c r="CW129" s="989" t="str">
        <f t="shared" si="193"/>
        <v/>
      </c>
      <c r="CX129" s="989" t="str">
        <f t="shared" si="193"/>
        <v/>
      </c>
      <c r="CY129" s="989" t="str">
        <f t="shared" si="193"/>
        <v/>
      </c>
      <c r="CZ129" s="989" t="str">
        <f t="shared" si="193"/>
        <v/>
      </c>
      <c r="DA129" s="989" t="str">
        <f t="shared" si="193"/>
        <v/>
      </c>
      <c r="DB129" s="989">
        <f t="shared" si="193"/>
        <v>6</v>
      </c>
      <c r="DC129" s="989">
        <f t="shared" si="193"/>
        <v>6</v>
      </c>
      <c r="DD129" s="989">
        <f t="shared" si="193"/>
        <v>6</v>
      </c>
      <c r="DE129" s="989" t="str">
        <f t="shared" si="193"/>
        <v/>
      </c>
      <c r="DF129" s="989" t="str">
        <f t="shared" si="193"/>
        <v/>
      </c>
      <c r="DG129" s="989" t="str">
        <f t="shared" si="194"/>
        <v/>
      </c>
      <c r="DH129" s="989" t="str">
        <f t="shared" si="194"/>
        <v/>
      </c>
      <c r="DI129" s="989" t="str">
        <f t="shared" si="194"/>
        <v/>
      </c>
      <c r="DJ129" s="989" t="str">
        <f t="shared" si="194"/>
        <v/>
      </c>
      <c r="DK129" s="989" t="str">
        <f t="shared" si="194"/>
        <v/>
      </c>
      <c r="DL129" s="989" t="str">
        <f t="shared" si="194"/>
        <v/>
      </c>
      <c r="DM129" s="989" t="str">
        <f t="shared" si="194"/>
        <v/>
      </c>
      <c r="DN129" s="989" t="str">
        <f t="shared" si="194"/>
        <v/>
      </c>
      <c r="DO129" s="989" t="str">
        <f t="shared" si="194"/>
        <v/>
      </c>
      <c r="DP129" s="989" t="str">
        <f t="shared" si="194"/>
        <v/>
      </c>
      <c r="DQ129" s="989" t="str">
        <f t="shared" si="195"/>
        <v/>
      </c>
      <c r="DR129" s="989" t="str">
        <f t="shared" si="195"/>
        <v/>
      </c>
      <c r="DS129" s="989" t="str">
        <f t="shared" si="195"/>
        <v/>
      </c>
      <c r="DT129" s="989" t="str">
        <f t="shared" si="195"/>
        <v/>
      </c>
      <c r="DU129" s="989" t="str">
        <f t="shared" si="195"/>
        <v/>
      </c>
      <c r="DV129" s="994" t="str">
        <f t="shared" si="195"/>
        <v/>
      </c>
    </row>
    <row r="130" spans="19:126" ht="13.5" thickBot="1" x14ac:dyDescent="0.25">
      <c r="S130" s="642" t="s">
        <v>500</v>
      </c>
      <c r="T130" s="654" t="str">
        <f t="shared" ref="T130:BC130" si="233">IF(T122="",T119,CONCATENATE(T119,T120,T121,T122,T123,T124,T125,T126,T127,T128,T129))</f>
        <v>{"direction":10,"fetchPoints":[{"left":{"latitude":0.00307203909640892,"longitude":0.000268768595102742},"right":{"latitude":0.00297869674290592,"longitude":0.0007981393863477</v>
      </c>
      <c r="U130" s="655" t="str">
        <f t="shared" si="233"/>
        <v>{"direction":20,"fetchPoints":[{"left":{"latitude":0.00297869674290592,"longitude":0.000798139387503729},"right":{"latitude":0.00279484819610047,"longitude":0.00130325911648073</v>
      </c>
      <c r="V130" s="655" t="str">
        <f t="shared" si="233"/>
        <v>{"direction":30,"fetchPoints":[{"left":{"latitude":0.00279484819610047,"longitude":0.00130325911836838},"right":{"latitude":0.00252607960109505,"longitude":0.00176877997766961</v>
      </c>
      <c r="W130" s="655" t="str">
        <f t="shared" si="233"/>
        <v>{"direction":40,"fetchPoints":[{"left":{"latitude":0.00252607960109505,"longitude":0.00176877998023152},"right":{"latitude":0.0021805573556912,"longitude":0.00218055735411203</v>
      </c>
      <c r="X130" s="655" t="str">
        <f t="shared" si="233"/>
        <v>{"direction":50,"fetchPoints":[{"left":{"latitude":0.0021805573556912,"longitude":0.00218055735727036},"right":{"latitude":0.00176877997851245,"longitude":0.00252607959863997</v>
      </c>
      <c r="Y130" s="655" t="str">
        <f t="shared" si="233"/>
        <v>{"direction":60,"fetchPoints":[{"left":{"latitude":0.00176877997851245,"longitude":0.00252607960229875},"right":{"latitude":0.00130325911681788,"longitude":0.00279484819277541</v>
      </c>
      <c r="Z130" s="655" t="str">
        <f t="shared" si="233"/>
        <v>{"direction":70,"fetchPoints":[{"left":{"latitude":0.00130325911681788,"longitude":0.00279484819682348},"right":{"latitude":0.000798139386425139,"longitude":0.00297869673888057</v>
      </c>
      <c r="AA130" s="655" t="str">
        <f t="shared" si="233"/>
        <v>{"direction":80,"fetchPoints":[{"left":{"latitude":0.000798139386425139,"longitude":0.00297869674319492},"right":{"latitude":0.000268768594716413,"longitude":0.00307203909199317</v>
      </c>
      <c r="AB130" s="655" t="str">
        <f t="shared" si="233"/>
        <v>{"direction":90,"fetchPoints":[{"left":{"latitude":0.000268768594716413,"longitude":0.00307203909644272},"right":{"latitude":-0.000268768594716414,"longitude":0.00307203909199317</v>
      </c>
      <c r="AC130" s="655" t="str">
        <f t="shared" si="233"/>
        <v>{"direction":100,"fetchPoints":[{"left":{"latitude":-0.000268768594716414,"longitude":0.00307203909644272},"right":{"latitude":-0.00079813938642514,"longitude":0.00297869673888057</v>
      </c>
      <c r="AD130" s="655" t="str">
        <f t="shared" si="233"/>
        <v>{"direction":110,"fetchPoints":[{"left":{"latitude":-0.00079813938642514,"longitude":0.00297869674319492},"right":{"latitude":-0.00130325911681788,"longitude":0.00279484819277541</v>
      </c>
      <c r="AE130" s="655" t="str">
        <f t="shared" si="233"/>
        <v>{"direction":120,"fetchPoints":[{"left":{"latitude":-0.00130325911681788,"longitude":0.00279484819682348},"right":{"latitude":-0.00176877997851245,"longitude":0.00252607959863997</v>
      </c>
      <c r="AF130" s="655" t="str">
        <f t="shared" si="233"/>
        <v>{"direction":130,"fetchPoints":[{"left":{"latitude":-0.00176877997851245,"longitude":0.00252607960229875},"right":{"latitude":-0.0021805573556912,"longitude":0.00218055735411203</v>
      </c>
      <c r="AG130" s="655" t="str">
        <f t="shared" si="233"/>
        <v>{"direction":140,"fetchPoints":[{"left":{"latitude":-0.0021805573556912,"longitude":0.00218055735727036},"right":{"latitude":-0.00252607960109505,"longitude":0.00176877997766961</v>
      </c>
      <c r="AH130" s="655" t="str">
        <f t="shared" si="233"/>
        <v>{"direction":150,"fetchPoints":[{"left":{"latitude":-0.00252607960109505,"longitude":0.00176877998023152},"right":{"latitude":-0.00279484819610047,"longitude":0.00130325911648073</v>
      </c>
      <c r="AI130" s="655" t="str">
        <f t="shared" si="233"/>
        <v>{"direction":160,"fetchPoints":[{"left":{"latitude":-0.00279484819610047,"longitude":0.00130325911836838},"right":{"latitude":-0.00297869674290592,"longitude":0.000798139386347701</v>
      </c>
      <c r="AJ130" s="655" t="str">
        <f t="shared" si="233"/>
        <v>{"direction":170,"fetchPoints":[{"left":{"latitude":-0.00297869674290592,"longitude":0.00079813938750373},"right":{"latitude":-0.00307203909640892,"longitude":0.000268768594713458</v>
      </c>
      <c r="AK130" s="655" t="str">
        <f t="shared" si="233"/>
        <v>{"direction":180,"fetchPoints":[{"left":{"latitude":-0.00307203909640892,"longitude":0.000268768595102743},"right":{"latitude":-0.00307203909640892,"longitude":-0.000268768594713456</v>
      </c>
      <c r="AL130" s="655" t="str">
        <f t="shared" si="233"/>
        <v>{"direction":190,"fetchPoints":[{"left":{"latitude":-0.00307203909640892,"longitude":-0.000268768595102741},"right":{"latitude":-0.00297869674290592,"longitude":-0.000798139386347699</v>
      </c>
      <c r="AM130" s="655" t="str">
        <f t="shared" si="233"/>
        <v>{"direction":200,"fetchPoints":[{"left":{"latitude":-0.00297869674290592,"longitude":-0.000798139387503727},"right":{"latitude":-0.00279484819610047,"longitude":-0.00130325911648073</v>
      </c>
      <c r="AN130" s="655" t="str">
        <f t="shared" si="233"/>
        <v>{"direction":210,"fetchPoints":[{"left":{"latitude":-0.00279484819610047,"longitude":-0.00130325911836838},"right":{"latitude":-0.00252607960109505,"longitude":-0.00176877997766961</v>
      </c>
      <c r="AO130" s="655" t="str">
        <f t="shared" si="233"/>
        <v>{"direction":220,"fetchPoints":[{"left":{"latitude":-0.00252607960109505,"longitude":-0.00176877998023152},"right":{"latitude":-0.0021805573556912,"longitude":-0.00218055735411203</v>
      </c>
      <c r="AP130" s="655" t="str">
        <f t="shared" si="233"/>
        <v>{"direction":230,"fetchPoints":[{"left":{"latitude":-0.0021805573556912,"longitude":-0.00218055735727036},"right":{"latitude":-0.00176877997851246,"longitude":-0.00252607959863997</v>
      </c>
      <c r="AQ130" s="655" t="str">
        <f t="shared" si="233"/>
        <v>{"direction":240,"fetchPoints":[{"left":{"latitude":-0.00176877997851246,"longitude":-0.00252607960229875},"right":{"latitude":-0.00130325911681788,"longitude":-0.00279484819277541</v>
      </c>
      <c r="AR130" s="655" t="str">
        <f t="shared" si="233"/>
        <v>{"direction":250,"fetchPoints":[{"left":{"latitude":-0.00130325911681788,"longitude":-0.00279484819682348},"right":{"latitude":-0.000798139386425139,"longitude":-0.00297869673888057</v>
      </c>
      <c r="AS130" s="655" t="str">
        <f t="shared" si="233"/>
        <v>{"direction":260,"fetchPoints":[{"left":{"latitude":-0.000798139386425139,"longitude":-0.00297869674319492},"right":{"latitude":-0.000268768594716414,"longitude":-0.00307203909199317</v>
      </c>
      <c r="AT130" s="655" t="str">
        <f t="shared" si="233"/>
        <v>{"direction":270,"fetchPoints":[{"left":{"latitude":-0.000268768594716414,"longitude":-0.00307203909644272},"right":{"latitude":0.000268768594716413,"longitude":-0.00307203909199317</v>
      </c>
      <c r="AU130" s="655" t="str">
        <f t="shared" si="233"/>
        <v>{"direction":280,"fetchPoints":[{"left":{"latitude":0.000268768594716413,"longitude":-0.00307203909644272},"right":{"latitude":0.00079813938642514,"longitude":-0.00297869673888057</v>
      </c>
      <c r="AV130" s="655" t="str">
        <f t="shared" si="233"/>
        <v>{"direction":290,"fetchPoints":[{"left":{"latitude":0.00079813938642514,"longitude":-0.00297869674319492},"right":{"latitude":0.00130325911681788,"longitude":-0.00279484819277541</v>
      </c>
      <c r="AW130" s="655" t="str">
        <f t="shared" si="233"/>
        <v>{"direction":300,"fetchPoints":[{"left":{"latitude":0.00130325911681788,"longitude":-0.00279484819682348},"right":{"latitude":0.00176877997851245,"longitude":-0.00252607959863997</v>
      </c>
      <c r="AX130" s="655" t="str">
        <f t="shared" si="233"/>
        <v>{"direction":310,"fetchPoints":[{"left":{"latitude":0.00176877997851245,"longitude":-0.00252607960229875},"right":{"latitude":0.0021805573556912,"longitude":-0.00218055735411203</v>
      </c>
      <c r="AY130" s="655" t="str">
        <f t="shared" si="233"/>
        <v>{"direction":320,"fetchPoints":[{"left":{"latitude":0.0021805573556912,"longitude":-0.00218055735727036},"right":{"latitude":0.00252607960109505,"longitude":-0.00176877997766961</v>
      </c>
      <c r="AZ130" s="655" t="str">
        <f t="shared" si="233"/>
        <v>{"direction":330,"fetchPoints":[{"left":{"latitude":0.00252607960109505,"longitude":-0.00176877998023152},"right":{"latitude":0.00279484819610047,"longitude":-0.00130325911648074</v>
      </c>
      <c r="BA130" s="655" t="str">
        <f t="shared" si="233"/>
        <v>{"direction":340,"fetchPoints":[{"left":{"latitude":0.00279484819610047,"longitude":-0.00130325911836838},"right":{"latitude":0.00297869674290592,"longitude":-0.0007981393863477</v>
      </c>
      <c r="BB130" s="655" t="str">
        <f t="shared" si="233"/>
        <v>{"direction":350,"fetchPoints":[{"left":{"latitude":0.00297869674290592,"longitude":-0.000798139387503728},"right":{"latitude":0.00307203909640892,"longitude":-0.000268768594713457</v>
      </c>
      <c r="BC130" s="656" t="str">
        <f t="shared" si="233"/>
        <v>{"direction":360,"fetchPoints":[{"left":{"latitude":0.00307203909640892,"longitude":-0.000268768595102742},"right":{"latitude":0.00307203909640892,"longitude":0.000268768594713458</v>
      </c>
      <c r="BD130" s="577" t="str">
        <f>""</f>
        <v/>
      </c>
      <c r="BF130" s="772">
        <v>7</v>
      </c>
      <c r="BG130" s="964" t="str">
        <v>190-210</v>
      </c>
      <c r="BH130" s="772" t="str">
        <f t="shared" si="197"/>
        <v/>
      </c>
      <c r="BI130" s="773" t="str">
        <f t="shared" si="198"/>
        <v>190-210</v>
      </c>
      <c r="BJ130" s="773" t="str">
        <f t="shared" si="197"/>
        <v/>
      </c>
      <c r="BK130" s="773" t="str">
        <f t="shared" si="199"/>
        <v>190-210</v>
      </c>
      <c r="BL130" s="773" t="str">
        <f t="shared" ref="BL130" si="234">IFERROR(FIND("to",BK130,1),"")</f>
        <v/>
      </c>
      <c r="BM130" s="773" t="str">
        <f t="shared" si="201"/>
        <v>190-210</v>
      </c>
      <c r="BN130" s="772">
        <f t="shared" si="202"/>
        <v>8</v>
      </c>
      <c r="BO130" s="979">
        <f t="shared" si="225"/>
        <v>428</v>
      </c>
      <c r="BP130" s="979">
        <f t="shared" si="203"/>
        <v>428</v>
      </c>
      <c r="BQ130" s="979">
        <f t="shared" si="204"/>
        <v>4</v>
      </c>
      <c r="BR130" s="979">
        <f t="shared" si="205"/>
        <v>428</v>
      </c>
      <c r="BS130" s="999">
        <f t="shared" si="206"/>
        <v>428</v>
      </c>
      <c r="BT130" s="773" t="str">
        <f t="shared" si="207"/>
        <v>190</v>
      </c>
      <c r="BU130" s="773" t="str">
        <f t="shared" si="208"/>
        <v>210</v>
      </c>
      <c r="BV130" s="773" t="str">
        <f t="shared" si="209"/>
        <v/>
      </c>
      <c r="BW130" s="773" t="str">
        <f t="shared" si="210"/>
        <v/>
      </c>
      <c r="BX130" s="773" t="str">
        <f t="shared" si="211"/>
        <v/>
      </c>
      <c r="BY130" s="774" t="str">
        <f t="shared" si="212"/>
        <v/>
      </c>
      <c r="BZ130" s="773">
        <f t="shared" si="213"/>
        <v>190</v>
      </c>
      <c r="CA130" s="773">
        <f t="shared" si="214"/>
        <v>210</v>
      </c>
      <c r="CB130" s="773" t="str">
        <f t="shared" si="215"/>
        <v/>
      </c>
      <c r="CC130" s="773" t="str">
        <f t="shared" si="216"/>
        <v/>
      </c>
      <c r="CD130" s="773" t="str">
        <f t="shared" si="217"/>
        <v/>
      </c>
      <c r="CE130" s="774" t="str">
        <f t="shared" si="218"/>
        <v/>
      </c>
      <c r="CF130" s="772">
        <f t="shared" si="219"/>
        <v>190</v>
      </c>
      <c r="CG130" s="773">
        <f t="shared" si="190"/>
        <v>210</v>
      </c>
      <c r="CH130" s="772" t="str">
        <f t="shared" si="220"/>
        <v/>
      </c>
      <c r="CI130" s="773" t="str">
        <f t="shared" si="226"/>
        <v/>
      </c>
      <c r="CJ130" s="772" t="str">
        <f t="shared" si="221"/>
        <v/>
      </c>
      <c r="CK130" s="774" t="str">
        <f t="shared" si="222"/>
        <v/>
      </c>
      <c r="CL130" s="772">
        <v>7</v>
      </c>
      <c r="CM130" s="993" t="str">
        <f t="shared" si="192"/>
        <v/>
      </c>
      <c r="CN130" s="989" t="str">
        <f t="shared" si="192"/>
        <v/>
      </c>
      <c r="CO130" s="989" t="str">
        <f t="shared" si="192"/>
        <v/>
      </c>
      <c r="CP130" s="989" t="str">
        <f t="shared" si="192"/>
        <v/>
      </c>
      <c r="CQ130" s="989" t="str">
        <f t="shared" si="192"/>
        <v/>
      </c>
      <c r="CR130" s="989" t="str">
        <f t="shared" si="192"/>
        <v/>
      </c>
      <c r="CS130" s="989" t="str">
        <f t="shared" si="192"/>
        <v/>
      </c>
      <c r="CT130" s="989" t="str">
        <f t="shared" si="192"/>
        <v/>
      </c>
      <c r="CU130" s="989" t="str">
        <f t="shared" si="192"/>
        <v/>
      </c>
      <c r="CV130" s="989" t="str">
        <f t="shared" si="192"/>
        <v/>
      </c>
      <c r="CW130" s="989" t="str">
        <f t="shared" si="193"/>
        <v/>
      </c>
      <c r="CX130" s="989" t="str">
        <f t="shared" si="193"/>
        <v/>
      </c>
      <c r="CY130" s="989" t="str">
        <f t="shared" si="193"/>
        <v/>
      </c>
      <c r="CZ130" s="989" t="str">
        <f t="shared" si="193"/>
        <v/>
      </c>
      <c r="DA130" s="989" t="str">
        <f t="shared" si="193"/>
        <v/>
      </c>
      <c r="DB130" s="989" t="str">
        <f t="shared" si="193"/>
        <v/>
      </c>
      <c r="DC130" s="989" t="str">
        <f t="shared" si="193"/>
        <v/>
      </c>
      <c r="DD130" s="989" t="str">
        <f t="shared" si="193"/>
        <v/>
      </c>
      <c r="DE130" s="989">
        <f t="shared" si="193"/>
        <v>7</v>
      </c>
      <c r="DF130" s="989">
        <f t="shared" si="193"/>
        <v>7</v>
      </c>
      <c r="DG130" s="989">
        <f t="shared" si="194"/>
        <v>7</v>
      </c>
      <c r="DH130" s="989" t="str">
        <f t="shared" si="194"/>
        <v/>
      </c>
      <c r="DI130" s="989" t="str">
        <f t="shared" si="194"/>
        <v/>
      </c>
      <c r="DJ130" s="989" t="str">
        <f t="shared" si="194"/>
        <v/>
      </c>
      <c r="DK130" s="989" t="str">
        <f t="shared" si="194"/>
        <v/>
      </c>
      <c r="DL130" s="989" t="str">
        <f t="shared" si="194"/>
        <v/>
      </c>
      <c r="DM130" s="989" t="str">
        <f t="shared" si="194"/>
        <v/>
      </c>
      <c r="DN130" s="989" t="str">
        <f t="shared" si="194"/>
        <v/>
      </c>
      <c r="DO130" s="989" t="str">
        <f t="shared" si="194"/>
        <v/>
      </c>
      <c r="DP130" s="989" t="str">
        <f t="shared" si="194"/>
        <v/>
      </c>
      <c r="DQ130" s="989" t="str">
        <f t="shared" si="195"/>
        <v/>
      </c>
      <c r="DR130" s="989" t="str">
        <f t="shared" si="195"/>
        <v/>
      </c>
      <c r="DS130" s="989" t="str">
        <f t="shared" si="195"/>
        <v/>
      </c>
      <c r="DT130" s="989" t="str">
        <f t="shared" si="195"/>
        <v/>
      </c>
      <c r="DU130" s="989" t="str">
        <f t="shared" si="195"/>
        <v/>
      </c>
      <c r="DV130" s="994" t="str">
        <f t="shared" si="195"/>
        <v/>
      </c>
    </row>
    <row r="131" spans="19:126" x14ac:dyDescent="0.2">
      <c r="S131" s="642" t="s">
        <v>461</v>
      </c>
      <c r="T131" s="704" t="str">
        <f>T120</f>
        <v>}},{"left":{</v>
      </c>
      <c r="U131" s="705" t="str">
        <f t="shared" ref="U131:BC131" si="235">T131</f>
        <v>}},{"left":{</v>
      </c>
      <c r="V131" s="705" t="str">
        <f t="shared" si="235"/>
        <v>}},{"left":{</v>
      </c>
      <c r="W131" s="705" t="str">
        <f t="shared" si="235"/>
        <v>}},{"left":{</v>
      </c>
      <c r="X131" s="705" t="str">
        <f t="shared" si="235"/>
        <v>}},{"left":{</v>
      </c>
      <c r="Y131" s="705" t="str">
        <f t="shared" si="235"/>
        <v>}},{"left":{</v>
      </c>
      <c r="Z131" s="705" t="str">
        <f t="shared" si="235"/>
        <v>}},{"left":{</v>
      </c>
      <c r="AA131" s="705" t="str">
        <f t="shared" si="235"/>
        <v>}},{"left":{</v>
      </c>
      <c r="AB131" s="705" t="str">
        <f t="shared" si="235"/>
        <v>}},{"left":{</v>
      </c>
      <c r="AC131" s="705" t="str">
        <f t="shared" si="235"/>
        <v>}},{"left":{</v>
      </c>
      <c r="AD131" s="705" t="str">
        <f t="shared" si="235"/>
        <v>}},{"left":{</v>
      </c>
      <c r="AE131" s="705" t="str">
        <f t="shared" si="235"/>
        <v>}},{"left":{</v>
      </c>
      <c r="AF131" s="705" t="str">
        <f t="shared" si="235"/>
        <v>}},{"left":{</v>
      </c>
      <c r="AG131" s="705" t="str">
        <f t="shared" si="235"/>
        <v>}},{"left":{</v>
      </c>
      <c r="AH131" s="705" t="str">
        <f t="shared" si="235"/>
        <v>}},{"left":{</v>
      </c>
      <c r="AI131" s="705" t="str">
        <f t="shared" si="235"/>
        <v>}},{"left":{</v>
      </c>
      <c r="AJ131" s="705" t="str">
        <f t="shared" si="235"/>
        <v>}},{"left":{</v>
      </c>
      <c r="AK131" s="705" t="str">
        <f t="shared" si="235"/>
        <v>}},{"left":{</v>
      </c>
      <c r="AL131" s="705" t="str">
        <f t="shared" si="235"/>
        <v>}},{"left":{</v>
      </c>
      <c r="AM131" s="705" t="str">
        <f t="shared" si="235"/>
        <v>}},{"left":{</v>
      </c>
      <c r="AN131" s="705" t="str">
        <f t="shared" si="235"/>
        <v>}},{"left":{</v>
      </c>
      <c r="AO131" s="705" t="str">
        <f t="shared" si="235"/>
        <v>}},{"left":{</v>
      </c>
      <c r="AP131" s="705" t="str">
        <f t="shared" si="235"/>
        <v>}},{"left":{</v>
      </c>
      <c r="AQ131" s="705" t="str">
        <f t="shared" si="235"/>
        <v>}},{"left":{</v>
      </c>
      <c r="AR131" s="705" t="str">
        <f t="shared" si="235"/>
        <v>}},{"left":{</v>
      </c>
      <c r="AS131" s="705" t="str">
        <f t="shared" si="235"/>
        <v>}},{"left":{</v>
      </c>
      <c r="AT131" s="705" t="str">
        <f t="shared" si="235"/>
        <v>}},{"left":{</v>
      </c>
      <c r="AU131" s="705" t="str">
        <f t="shared" si="235"/>
        <v>}},{"left":{</v>
      </c>
      <c r="AV131" s="705" t="str">
        <f t="shared" si="235"/>
        <v>}},{"left":{</v>
      </c>
      <c r="AW131" s="705" t="str">
        <f t="shared" si="235"/>
        <v>}},{"left":{</v>
      </c>
      <c r="AX131" s="705" t="str">
        <f t="shared" si="235"/>
        <v>}},{"left":{</v>
      </c>
      <c r="AY131" s="705" t="str">
        <f t="shared" si="235"/>
        <v>}},{"left":{</v>
      </c>
      <c r="AZ131" s="705" t="str">
        <f t="shared" si="235"/>
        <v>}},{"left":{</v>
      </c>
      <c r="BA131" s="705" t="str">
        <f t="shared" si="235"/>
        <v>}},{"left":{</v>
      </c>
      <c r="BB131" s="705" t="str">
        <f t="shared" si="235"/>
        <v>}},{"left":{</v>
      </c>
      <c r="BC131" s="706" t="str">
        <f t="shared" si="235"/>
        <v>}},{"left":{</v>
      </c>
      <c r="BD131" s="577" t="str">
        <f>""</f>
        <v/>
      </c>
      <c r="BF131" s="772">
        <v>8</v>
      </c>
      <c r="BG131" s="963" t="str">
        <v>220-240</v>
      </c>
      <c r="BH131" s="772" t="str">
        <f t="shared" si="197"/>
        <v/>
      </c>
      <c r="BI131" s="773" t="str">
        <f t="shared" si="198"/>
        <v>220-240</v>
      </c>
      <c r="BJ131" s="773" t="str">
        <f t="shared" si="197"/>
        <v/>
      </c>
      <c r="BK131" s="773" t="str">
        <f t="shared" si="199"/>
        <v>220-240</v>
      </c>
      <c r="BL131" s="773" t="str">
        <f t="shared" ref="BL131" si="236">IFERROR(FIND("to",BK131,1),"")</f>
        <v/>
      </c>
      <c r="BM131" s="773" t="str">
        <f t="shared" si="201"/>
        <v>220-240</v>
      </c>
      <c r="BN131" s="772">
        <f t="shared" si="202"/>
        <v>8</v>
      </c>
      <c r="BO131" s="979">
        <f t="shared" si="225"/>
        <v>428</v>
      </c>
      <c r="BP131" s="979">
        <f t="shared" si="203"/>
        <v>428</v>
      </c>
      <c r="BQ131" s="979">
        <f t="shared" si="204"/>
        <v>4</v>
      </c>
      <c r="BR131" s="979">
        <f t="shared" si="205"/>
        <v>428</v>
      </c>
      <c r="BS131" s="999">
        <f t="shared" si="206"/>
        <v>428</v>
      </c>
      <c r="BT131" s="773" t="str">
        <f t="shared" si="207"/>
        <v>220</v>
      </c>
      <c r="BU131" s="773" t="str">
        <f t="shared" si="208"/>
        <v>240</v>
      </c>
      <c r="BV131" s="773" t="str">
        <f t="shared" si="209"/>
        <v/>
      </c>
      <c r="BW131" s="773" t="str">
        <f t="shared" si="210"/>
        <v/>
      </c>
      <c r="BX131" s="773" t="str">
        <f t="shared" si="211"/>
        <v/>
      </c>
      <c r="BY131" s="774" t="str">
        <f t="shared" si="212"/>
        <v/>
      </c>
      <c r="BZ131" s="773">
        <f t="shared" si="213"/>
        <v>220</v>
      </c>
      <c r="CA131" s="773">
        <f t="shared" si="214"/>
        <v>240</v>
      </c>
      <c r="CB131" s="773" t="str">
        <f t="shared" si="215"/>
        <v/>
      </c>
      <c r="CC131" s="773" t="str">
        <f t="shared" si="216"/>
        <v/>
      </c>
      <c r="CD131" s="773" t="str">
        <f t="shared" si="217"/>
        <v/>
      </c>
      <c r="CE131" s="774" t="str">
        <f t="shared" si="218"/>
        <v/>
      </c>
      <c r="CF131" s="772">
        <f t="shared" si="219"/>
        <v>220</v>
      </c>
      <c r="CG131" s="773">
        <f t="shared" si="190"/>
        <v>240</v>
      </c>
      <c r="CH131" s="772" t="str">
        <f t="shared" si="220"/>
        <v/>
      </c>
      <c r="CI131" s="773" t="str">
        <f t="shared" si="226"/>
        <v/>
      </c>
      <c r="CJ131" s="772" t="str">
        <f t="shared" si="221"/>
        <v/>
      </c>
      <c r="CK131" s="774" t="str">
        <f t="shared" si="222"/>
        <v/>
      </c>
      <c r="CL131" s="772">
        <v>8</v>
      </c>
      <c r="CM131" s="993" t="str">
        <f t="shared" si="192"/>
        <v/>
      </c>
      <c r="CN131" s="989" t="str">
        <f t="shared" si="192"/>
        <v/>
      </c>
      <c r="CO131" s="989" t="str">
        <f t="shared" si="192"/>
        <v/>
      </c>
      <c r="CP131" s="989" t="str">
        <f t="shared" si="192"/>
        <v/>
      </c>
      <c r="CQ131" s="989" t="str">
        <f t="shared" si="192"/>
        <v/>
      </c>
      <c r="CR131" s="989" t="str">
        <f t="shared" si="192"/>
        <v/>
      </c>
      <c r="CS131" s="989" t="str">
        <f t="shared" si="192"/>
        <v/>
      </c>
      <c r="CT131" s="989" t="str">
        <f t="shared" si="192"/>
        <v/>
      </c>
      <c r="CU131" s="989" t="str">
        <f t="shared" si="192"/>
        <v/>
      </c>
      <c r="CV131" s="989" t="str">
        <f t="shared" si="192"/>
        <v/>
      </c>
      <c r="CW131" s="989" t="str">
        <f t="shared" si="193"/>
        <v/>
      </c>
      <c r="CX131" s="989" t="str">
        <f t="shared" si="193"/>
        <v/>
      </c>
      <c r="CY131" s="989" t="str">
        <f t="shared" si="193"/>
        <v/>
      </c>
      <c r="CZ131" s="989" t="str">
        <f t="shared" si="193"/>
        <v/>
      </c>
      <c r="DA131" s="989" t="str">
        <f t="shared" si="193"/>
        <v/>
      </c>
      <c r="DB131" s="989" t="str">
        <f t="shared" si="193"/>
        <v/>
      </c>
      <c r="DC131" s="989" t="str">
        <f t="shared" si="193"/>
        <v/>
      </c>
      <c r="DD131" s="989" t="str">
        <f t="shared" si="193"/>
        <v/>
      </c>
      <c r="DE131" s="989" t="str">
        <f t="shared" si="193"/>
        <v/>
      </c>
      <c r="DF131" s="989" t="str">
        <f t="shared" si="193"/>
        <v/>
      </c>
      <c r="DG131" s="989" t="str">
        <f t="shared" si="194"/>
        <v/>
      </c>
      <c r="DH131" s="989">
        <f t="shared" si="194"/>
        <v>8</v>
      </c>
      <c r="DI131" s="989">
        <f t="shared" si="194"/>
        <v>8</v>
      </c>
      <c r="DJ131" s="989">
        <f t="shared" si="194"/>
        <v>8</v>
      </c>
      <c r="DK131" s="989" t="str">
        <f t="shared" si="194"/>
        <v/>
      </c>
      <c r="DL131" s="989" t="str">
        <f t="shared" si="194"/>
        <v/>
      </c>
      <c r="DM131" s="989" t="str">
        <f t="shared" si="194"/>
        <v/>
      </c>
      <c r="DN131" s="989" t="str">
        <f t="shared" si="194"/>
        <v/>
      </c>
      <c r="DO131" s="989" t="str">
        <f t="shared" si="194"/>
        <v/>
      </c>
      <c r="DP131" s="989" t="str">
        <f t="shared" si="194"/>
        <v/>
      </c>
      <c r="DQ131" s="989" t="str">
        <f t="shared" si="195"/>
        <v/>
      </c>
      <c r="DR131" s="989" t="str">
        <f t="shared" si="195"/>
        <v/>
      </c>
      <c r="DS131" s="989" t="str">
        <f t="shared" si="195"/>
        <v/>
      </c>
      <c r="DT131" s="989" t="str">
        <f t="shared" si="195"/>
        <v/>
      </c>
      <c r="DU131" s="989" t="str">
        <f t="shared" si="195"/>
        <v/>
      </c>
      <c r="DV131" s="994" t="str">
        <f t="shared" si="195"/>
        <v/>
      </c>
    </row>
    <row r="132" spans="19:126" x14ac:dyDescent="0.2">
      <c r="S132" s="585"/>
      <c r="T132" s="707" t="str">
        <f>T121</f>
        <v>"latitude":</v>
      </c>
      <c r="U132" s="708" t="str">
        <f t="shared" ref="U132:BC132" si="237">T132</f>
        <v>"latitude":</v>
      </c>
      <c r="V132" s="708" t="str">
        <f t="shared" si="237"/>
        <v>"latitude":</v>
      </c>
      <c r="W132" s="708" t="str">
        <f t="shared" si="237"/>
        <v>"latitude":</v>
      </c>
      <c r="X132" s="708" t="str">
        <f t="shared" si="237"/>
        <v>"latitude":</v>
      </c>
      <c r="Y132" s="708" t="str">
        <f t="shared" si="237"/>
        <v>"latitude":</v>
      </c>
      <c r="Z132" s="708" t="str">
        <f t="shared" si="237"/>
        <v>"latitude":</v>
      </c>
      <c r="AA132" s="708" t="str">
        <f t="shared" si="237"/>
        <v>"latitude":</v>
      </c>
      <c r="AB132" s="708" t="str">
        <f t="shared" si="237"/>
        <v>"latitude":</v>
      </c>
      <c r="AC132" s="708" t="str">
        <f t="shared" si="237"/>
        <v>"latitude":</v>
      </c>
      <c r="AD132" s="708" t="str">
        <f t="shared" si="237"/>
        <v>"latitude":</v>
      </c>
      <c r="AE132" s="708" t="str">
        <f t="shared" si="237"/>
        <v>"latitude":</v>
      </c>
      <c r="AF132" s="708" t="str">
        <f t="shared" si="237"/>
        <v>"latitude":</v>
      </c>
      <c r="AG132" s="708" t="str">
        <f t="shared" si="237"/>
        <v>"latitude":</v>
      </c>
      <c r="AH132" s="708" t="str">
        <f t="shared" si="237"/>
        <v>"latitude":</v>
      </c>
      <c r="AI132" s="708" t="str">
        <f t="shared" si="237"/>
        <v>"latitude":</v>
      </c>
      <c r="AJ132" s="708" t="str">
        <f t="shared" si="237"/>
        <v>"latitude":</v>
      </c>
      <c r="AK132" s="708" t="str">
        <f t="shared" si="237"/>
        <v>"latitude":</v>
      </c>
      <c r="AL132" s="708" t="str">
        <f t="shared" si="237"/>
        <v>"latitude":</v>
      </c>
      <c r="AM132" s="708" t="str">
        <f t="shared" si="237"/>
        <v>"latitude":</v>
      </c>
      <c r="AN132" s="708" t="str">
        <f t="shared" si="237"/>
        <v>"latitude":</v>
      </c>
      <c r="AO132" s="708" t="str">
        <f t="shared" si="237"/>
        <v>"latitude":</v>
      </c>
      <c r="AP132" s="708" t="str">
        <f t="shared" si="237"/>
        <v>"latitude":</v>
      </c>
      <c r="AQ132" s="708" t="str">
        <f t="shared" si="237"/>
        <v>"latitude":</v>
      </c>
      <c r="AR132" s="708" t="str">
        <f t="shared" si="237"/>
        <v>"latitude":</v>
      </c>
      <c r="AS132" s="708" t="str">
        <f t="shared" si="237"/>
        <v>"latitude":</v>
      </c>
      <c r="AT132" s="708" t="str">
        <f t="shared" si="237"/>
        <v>"latitude":</v>
      </c>
      <c r="AU132" s="708" t="str">
        <f t="shared" si="237"/>
        <v>"latitude":</v>
      </c>
      <c r="AV132" s="708" t="str">
        <f t="shared" si="237"/>
        <v>"latitude":</v>
      </c>
      <c r="AW132" s="708" t="str">
        <f t="shared" si="237"/>
        <v>"latitude":</v>
      </c>
      <c r="AX132" s="708" t="str">
        <f t="shared" si="237"/>
        <v>"latitude":</v>
      </c>
      <c r="AY132" s="708" t="str">
        <f t="shared" si="237"/>
        <v>"latitude":</v>
      </c>
      <c r="AZ132" s="708" t="str">
        <f t="shared" si="237"/>
        <v>"latitude":</v>
      </c>
      <c r="BA132" s="708" t="str">
        <f t="shared" si="237"/>
        <v>"latitude":</v>
      </c>
      <c r="BB132" s="708" t="str">
        <f t="shared" si="237"/>
        <v>"latitude":</v>
      </c>
      <c r="BC132" s="709" t="str">
        <f t="shared" si="237"/>
        <v>"latitude":</v>
      </c>
      <c r="BD132" s="577" t="str">
        <f>""</f>
        <v/>
      </c>
      <c r="BF132" s="772">
        <v>9</v>
      </c>
      <c r="BG132" s="773" t="str">
        <v>250-270</v>
      </c>
      <c r="BH132" s="772" t="str">
        <f t="shared" si="197"/>
        <v/>
      </c>
      <c r="BI132" s="773" t="str">
        <f t="shared" si="198"/>
        <v>250-270</v>
      </c>
      <c r="BJ132" s="773" t="str">
        <f t="shared" si="197"/>
        <v/>
      </c>
      <c r="BK132" s="773" t="str">
        <f t="shared" si="199"/>
        <v>250-270</v>
      </c>
      <c r="BL132" s="773" t="str">
        <f t="shared" ref="BL132" si="238">IFERROR(FIND("to",BK132,1),"")</f>
        <v/>
      </c>
      <c r="BM132" s="1001" t="str">
        <f t="shared" si="201"/>
        <v>250-270</v>
      </c>
      <c r="BN132" s="772">
        <f t="shared" si="202"/>
        <v>8</v>
      </c>
      <c r="BO132" s="979">
        <f t="shared" si="225"/>
        <v>428</v>
      </c>
      <c r="BP132" s="979">
        <f t="shared" si="203"/>
        <v>428</v>
      </c>
      <c r="BQ132" s="979">
        <f t="shared" si="204"/>
        <v>4</v>
      </c>
      <c r="BR132" s="979">
        <f t="shared" si="205"/>
        <v>428</v>
      </c>
      <c r="BS132" s="999">
        <f t="shared" si="206"/>
        <v>428</v>
      </c>
      <c r="BT132" s="773" t="str">
        <f t="shared" si="207"/>
        <v>250</v>
      </c>
      <c r="BU132" s="773" t="str">
        <f t="shared" si="208"/>
        <v>270</v>
      </c>
      <c r="BV132" s="773" t="str">
        <f t="shared" si="209"/>
        <v/>
      </c>
      <c r="BW132" s="773" t="str">
        <f t="shared" si="210"/>
        <v/>
      </c>
      <c r="BX132" s="773" t="str">
        <f t="shared" si="211"/>
        <v/>
      </c>
      <c r="BY132" s="774" t="str">
        <f t="shared" si="212"/>
        <v/>
      </c>
      <c r="BZ132" s="773">
        <f t="shared" si="213"/>
        <v>250</v>
      </c>
      <c r="CA132" s="773">
        <f t="shared" si="214"/>
        <v>270</v>
      </c>
      <c r="CB132" s="773" t="str">
        <f t="shared" si="215"/>
        <v/>
      </c>
      <c r="CC132" s="773" t="str">
        <f t="shared" si="216"/>
        <v/>
      </c>
      <c r="CD132" s="773" t="str">
        <f t="shared" si="217"/>
        <v/>
      </c>
      <c r="CE132" s="774" t="str">
        <f t="shared" si="218"/>
        <v/>
      </c>
      <c r="CF132" s="772">
        <f t="shared" si="219"/>
        <v>250</v>
      </c>
      <c r="CG132" s="773">
        <f t="shared" si="190"/>
        <v>270</v>
      </c>
      <c r="CH132" s="772" t="str">
        <f t="shared" si="220"/>
        <v/>
      </c>
      <c r="CI132" s="773" t="str">
        <f t="shared" si="226"/>
        <v/>
      </c>
      <c r="CJ132" s="772" t="str">
        <f t="shared" si="221"/>
        <v/>
      </c>
      <c r="CK132" s="774" t="str">
        <f t="shared" si="222"/>
        <v/>
      </c>
      <c r="CL132" s="772">
        <v>9</v>
      </c>
      <c r="CM132" s="993" t="str">
        <f t="shared" si="192"/>
        <v/>
      </c>
      <c r="CN132" s="989" t="str">
        <f t="shared" si="192"/>
        <v/>
      </c>
      <c r="CO132" s="989" t="str">
        <f t="shared" si="192"/>
        <v/>
      </c>
      <c r="CP132" s="989" t="str">
        <f t="shared" si="192"/>
        <v/>
      </c>
      <c r="CQ132" s="989" t="str">
        <f t="shared" si="192"/>
        <v/>
      </c>
      <c r="CR132" s="989" t="str">
        <f t="shared" si="192"/>
        <v/>
      </c>
      <c r="CS132" s="989" t="str">
        <f t="shared" si="192"/>
        <v/>
      </c>
      <c r="CT132" s="989" t="str">
        <f t="shared" si="192"/>
        <v/>
      </c>
      <c r="CU132" s="989" t="str">
        <f t="shared" si="192"/>
        <v/>
      </c>
      <c r="CV132" s="989" t="str">
        <f t="shared" si="192"/>
        <v/>
      </c>
      <c r="CW132" s="989" t="str">
        <f t="shared" si="193"/>
        <v/>
      </c>
      <c r="CX132" s="989" t="str">
        <f t="shared" si="193"/>
        <v/>
      </c>
      <c r="CY132" s="989" t="str">
        <f t="shared" si="193"/>
        <v/>
      </c>
      <c r="CZ132" s="989" t="str">
        <f t="shared" si="193"/>
        <v/>
      </c>
      <c r="DA132" s="989" t="str">
        <f t="shared" si="193"/>
        <v/>
      </c>
      <c r="DB132" s="989" t="str">
        <f t="shared" si="193"/>
        <v/>
      </c>
      <c r="DC132" s="989" t="str">
        <f t="shared" si="193"/>
        <v/>
      </c>
      <c r="DD132" s="989" t="str">
        <f t="shared" si="193"/>
        <v/>
      </c>
      <c r="DE132" s="989" t="str">
        <f t="shared" si="193"/>
        <v/>
      </c>
      <c r="DF132" s="989" t="str">
        <f t="shared" si="193"/>
        <v/>
      </c>
      <c r="DG132" s="989" t="str">
        <f t="shared" si="194"/>
        <v/>
      </c>
      <c r="DH132" s="989" t="str">
        <f t="shared" si="194"/>
        <v/>
      </c>
      <c r="DI132" s="989" t="str">
        <f t="shared" si="194"/>
        <v/>
      </c>
      <c r="DJ132" s="989" t="str">
        <f t="shared" si="194"/>
        <v/>
      </c>
      <c r="DK132" s="989">
        <f t="shared" si="194"/>
        <v>9</v>
      </c>
      <c r="DL132" s="989">
        <f t="shared" si="194"/>
        <v>9</v>
      </c>
      <c r="DM132" s="989">
        <f t="shared" si="194"/>
        <v>9</v>
      </c>
      <c r="DN132" s="989" t="str">
        <f t="shared" si="194"/>
        <v/>
      </c>
      <c r="DO132" s="989" t="str">
        <f t="shared" si="194"/>
        <v/>
      </c>
      <c r="DP132" s="989" t="str">
        <f t="shared" si="194"/>
        <v/>
      </c>
      <c r="DQ132" s="989" t="str">
        <f t="shared" si="195"/>
        <v/>
      </c>
      <c r="DR132" s="989" t="str">
        <f t="shared" si="195"/>
        <v/>
      </c>
      <c r="DS132" s="989" t="str">
        <f t="shared" si="195"/>
        <v/>
      </c>
      <c r="DT132" s="989" t="str">
        <f t="shared" si="195"/>
        <v/>
      </c>
      <c r="DU132" s="989" t="str">
        <f t="shared" si="195"/>
        <v/>
      </c>
      <c r="DV132" s="994" t="str">
        <f t="shared" si="195"/>
        <v/>
      </c>
    </row>
    <row r="133" spans="19:126" x14ac:dyDescent="0.2">
      <c r="S133" s="585"/>
      <c r="T133" s="710">
        <f t="shared" ref="T133:BC133" si="239">T38</f>
        <v>0.8958991362307096</v>
      </c>
      <c r="U133" s="711">
        <f t="shared" si="239"/>
        <v>0.86867557570122089</v>
      </c>
      <c r="V133" s="711">
        <f t="shared" si="239"/>
        <v>0.81505619650702565</v>
      </c>
      <c r="W133" s="711">
        <f t="shared" si="239"/>
        <v>0.7366711796801767</v>
      </c>
      <c r="X133" s="711">
        <f t="shared" si="239"/>
        <v>0.63590334964725803</v>
      </c>
      <c r="Y133" s="711">
        <f t="shared" si="239"/>
        <v>0.51581546906446607</v>
      </c>
      <c r="Z133" s="711">
        <f t="shared" si="239"/>
        <v>0.380056914917414</v>
      </c>
      <c r="AA133" s="711">
        <f t="shared" si="239"/>
        <v>0.23275264204860271</v>
      </c>
      <c r="AB133" s="711">
        <f t="shared" si="239"/>
        <v>7.8377848583379206E-2</v>
      </c>
      <c r="AC133" s="711">
        <f t="shared" si="239"/>
        <v>-7.8377848583379317E-2</v>
      </c>
      <c r="AD133" s="711">
        <f t="shared" si="239"/>
        <v>-0.23275264204860277</v>
      </c>
      <c r="AE133" s="711">
        <f t="shared" si="239"/>
        <v>-0.38005691491741389</v>
      </c>
      <c r="AF133" s="711">
        <f t="shared" si="239"/>
        <v>-0.51581546906446574</v>
      </c>
      <c r="AG133" s="711">
        <f t="shared" si="239"/>
        <v>-0.63590334964725803</v>
      </c>
      <c r="AH133" s="711">
        <f t="shared" si="239"/>
        <v>-0.73667117968017648</v>
      </c>
      <c r="AI133" s="711">
        <f t="shared" si="239"/>
        <v>-0.81505619650702565</v>
      </c>
      <c r="AJ133" s="711">
        <f t="shared" si="239"/>
        <v>-0.86867557570122078</v>
      </c>
      <c r="AK133" s="711">
        <f t="shared" si="239"/>
        <v>-0.8958991362307096</v>
      </c>
      <c r="AL133" s="711">
        <f t="shared" si="239"/>
        <v>-0.8958991362307096</v>
      </c>
      <c r="AM133" s="711">
        <f t="shared" si="239"/>
        <v>-0.868675575701221</v>
      </c>
      <c r="AN133" s="711">
        <f t="shared" si="239"/>
        <v>-0.81505619650702565</v>
      </c>
      <c r="AO133" s="711">
        <f t="shared" si="239"/>
        <v>-0.73667117968017692</v>
      </c>
      <c r="AP133" s="711">
        <f t="shared" si="239"/>
        <v>-0.63590334964725825</v>
      </c>
      <c r="AQ133" s="711">
        <f t="shared" si="239"/>
        <v>-0.51581546906446629</v>
      </c>
      <c r="AR133" s="711">
        <f t="shared" si="239"/>
        <v>-0.38005691491741445</v>
      </c>
      <c r="AS133" s="711">
        <f t="shared" si="239"/>
        <v>-0.23275264204860255</v>
      </c>
      <c r="AT133" s="711">
        <f t="shared" si="239"/>
        <v>-7.8377848583379331E-2</v>
      </c>
      <c r="AU133" s="711">
        <f t="shared" si="239"/>
        <v>7.8377848583378984E-2</v>
      </c>
      <c r="AV133" s="711">
        <f t="shared" si="239"/>
        <v>0.23275264204860305</v>
      </c>
      <c r="AW133" s="711">
        <f t="shared" si="239"/>
        <v>0.38005691491741422</v>
      </c>
      <c r="AX133" s="711">
        <f t="shared" si="239"/>
        <v>0.51581546906446596</v>
      </c>
      <c r="AY133" s="711">
        <f t="shared" si="239"/>
        <v>0.63590334964725781</v>
      </c>
      <c r="AZ133" s="711">
        <f t="shared" si="239"/>
        <v>0.73667117968017648</v>
      </c>
      <c r="BA133" s="711">
        <f t="shared" si="239"/>
        <v>0.81505619650702543</v>
      </c>
      <c r="BB133" s="711">
        <f t="shared" si="239"/>
        <v>0.86867557570122089</v>
      </c>
      <c r="BC133" s="712">
        <f t="shared" si="239"/>
        <v>0.8958991362307096</v>
      </c>
      <c r="BF133" s="772">
        <v>10</v>
      </c>
      <c r="BG133" s="773" t="str">
        <v>280-300</v>
      </c>
      <c r="BH133" s="772" t="str">
        <f t="shared" si="197"/>
        <v/>
      </c>
      <c r="BI133" s="773" t="str">
        <f t="shared" si="198"/>
        <v>280-300</v>
      </c>
      <c r="BJ133" s="773" t="str">
        <f t="shared" si="197"/>
        <v/>
      </c>
      <c r="BK133" s="773" t="str">
        <f t="shared" si="199"/>
        <v>280-300</v>
      </c>
      <c r="BL133" s="773" t="str">
        <f t="shared" ref="BL133" si="240">IFERROR(FIND("to",BK133,1),"")</f>
        <v/>
      </c>
      <c r="BM133" s="773" t="str">
        <f t="shared" si="201"/>
        <v>280-300</v>
      </c>
      <c r="BN133" s="772">
        <f t="shared" si="202"/>
        <v>8</v>
      </c>
      <c r="BO133" s="979">
        <f t="shared" si="225"/>
        <v>428</v>
      </c>
      <c r="BP133" s="979">
        <f t="shared" si="203"/>
        <v>428</v>
      </c>
      <c r="BQ133" s="979">
        <f t="shared" si="204"/>
        <v>4</v>
      </c>
      <c r="BR133" s="979">
        <f t="shared" si="205"/>
        <v>428</v>
      </c>
      <c r="BS133" s="999">
        <f t="shared" si="206"/>
        <v>428</v>
      </c>
      <c r="BT133" s="773" t="str">
        <f t="shared" si="207"/>
        <v>280</v>
      </c>
      <c r="BU133" s="773" t="str">
        <f t="shared" si="208"/>
        <v>300</v>
      </c>
      <c r="BV133" s="773" t="str">
        <f t="shared" si="209"/>
        <v/>
      </c>
      <c r="BW133" s="773" t="str">
        <f t="shared" si="210"/>
        <v/>
      </c>
      <c r="BX133" s="773" t="str">
        <f t="shared" si="211"/>
        <v/>
      </c>
      <c r="BY133" s="774" t="str">
        <f t="shared" si="212"/>
        <v/>
      </c>
      <c r="BZ133" s="773">
        <f t="shared" si="213"/>
        <v>280</v>
      </c>
      <c r="CA133" s="773">
        <f t="shared" si="214"/>
        <v>300</v>
      </c>
      <c r="CB133" s="773" t="str">
        <f t="shared" si="215"/>
        <v/>
      </c>
      <c r="CC133" s="773" t="str">
        <f t="shared" si="216"/>
        <v/>
      </c>
      <c r="CD133" s="773" t="str">
        <f t="shared" si="217"/>
        <v/>
      </c>
      <c r="CE133" s="774" t="str">
        <f t="shared" si="218"/>
        <v/>
      </c>
      <c r="CF133" s="772">
        <f t="shared" si="219"/>
        <v>280</v>
      </c>
      <c r="CG133" s="773">
        <f>IF(CA133="",IF(BZ133=0,"",BZ133),CA133)</f>
        <v>300</v>
      </c>
      <c r="CH133" s="772" t="str">
        <f t="shared" si="220"/>
        <v/>
      </c>
      <c r="CI133" s="773" t="str">
        <f t="shared" si="226"/>
        <v/>
      </c>
      <c r="CJ133" s="772" t="str">
        <f t="shared" si="221"/>
        <v/>
      </c>
      <c r="CK133" s="774" t="str">
        <f t="shared" si="222"/>
        <v/>
      </c>
      <c r="CL133" s="772">
        <v>10</v>
      </c>
      <c r="CM133" s="993" t="str">
        <f t="shared" si="192"/>
        <v/>
      </c>
      <c r="CN133" s="989" t="str">
        <f t="shared" si="192"/>
        <v/>
      </c>
      <c r="CO133" s="989" t="str">
        <f t="shared" si="192"/>
        <v/>
      </c>
      <c r="CP133" s="989" t="str">
        <f t="shared" si="192"/>
        <v/>
      </c>
      <c r="CQ133" s="989" t="str">
        <f t="shared" si="192"/>
        <v/>
      </c>
      <c r="CR133" s="989" t="str">
        <f t="shared" si="192"/>
        <v/>
      </c>
      <c r="CS133" s="989" t="str">
        <f t="shared" si="192"/>
        <v/>
      </c>
      <c r="CT133" s="989" t="str">
        <f t="shared" si="192"/>
        <v/>
      </c>
      <c r="CU133" s="989" t="str">
        <f t="shared" si="192"/>
        <v/>
      </c>
      <c r="CV133" s="989" t="str">
        <f t="shared" si="192"/>
        <v/>
      </c>
      <c r="CW133" s="989" t="str">
        <f t="shared" si="193"/>
        <v/>
      </c>
      <c r="CX133" s="989" t="str">
        <f t="shared" si="193"/>
        <v/>
      </c>
      <c r="CY133" s="989" t="str">
        <f t="shared" si="193"/>
        <v/>
      </c>
      <c r="CZ133" s="989" t="str">
        <f t="shared" si="193"/>
        <v/>
      </c>
      <c r="DA133" s="989" t="str">
        <f t="shared" si="193"/>
        <v/>
      </c>
      <c r="DB133" s="989" t="str">
        <f t="shared" si="193"/>
        <v/>
      </c>
      <c r="DC133" s="989" t="str">
        <f t="shared" si="193"/>
        <v/>
      </c>
      <c r="DD133" s="989" t="str">
        <f t="shared" si="193"/>
        <v/>
      </c>
      <c r="DE133" s="989" t="str">
        <f t="shared" si="193"/>
        <v/>
      </c>
      <c r="DF133" s="989" t="str">
        <f t="shared" si="193"/>
        <v/>
      </c>
      <c r="DG133" s="989" t="str">
        <f t="shared" si="194"/>
        <v/>
      </c>
      <c r="DH133" s="989" t="str">
        <f t="shared" si="194"/>
        <v/>
      </c>
      <c r="DI133" s="989" t="str">
        <f t="shared" si="194"/>
        <v/>
      </c>
      <c r="DJ133" s="989" t="str">
        <f t="shared" si="194"/>
        <v/>
      </c>
      <c r="DK133" s="989" t="str">
        <f t="shared" si="194"/>
        <v/>
      </c>
      <c r="DL133" s="989" t="str">
        <f t="shared" si="194"/>
        <v/>
      </c>
      <c r="DM133" s="989" t="str">
        <f t="shared" si="194"/>
        <v/>
      </c>
      <c r="DN133" s="989">
        <f t="shared" si="194"/>
        <v>10</v>
      </c>
      <c r="DO133" s="989">
        <f t="shared" si="194"/>
        <v>10</v>
      </c>
      <c r="DP133" s="989">
        <f t="shared" si="194"/>
        <v>10</v>
      </c>
      <c r="DQ133" s="989" t="str">
        <f t="shared" si="195"/>
        <v/>
      </c>
      <c r="DR133" s="989" t="str">
        <f t="shared" si="195"/>
        <v/>
      </c>
      <c r="DS133" s="989" t="str">
        <f t="shared" si="195"/>
        <v/>
      </c>
      <c r="DT133" s="989" t="str">
        <f t="shared" si="195"/>
        <v/>
      </c>
      <c r="DU133" s="989" t="str">
        <f t="shared" si="195"/>
        <v/>
      </c>
      <c r="DV133" s="994" t="str">
        <f t="shared" si="195"/>
        <v/>
      </c>
    </row>
    <row r="134" spans="19:126" x14ac:dyDescent="0.2">
      <c r="S134" s="585"/>
      <c r="T134" s="707" t="str">
        <f>T123</f>
        <v>,"longitude":</v>
      </c>
      <c r="U134" s="708" t="str">
        <f t="shared" ref="U134:BC134" si="241">T134</f>
        <v>,"longitude":</v>
      </c>
      <c r="V134" s="708" t="str">
        <f t="shared" si="241"/>
        <v>,"longitude":</v>
      </c>
      <c r="W134" s="708" t="str">
        <f t="shared" si="241"/>
        <v>,"longitude":</v>
      </c>
      <c r="X134" s="708" t="str">
        <f t="shared" si="241"/>
        <v>,"longitude":</v>
      </c>
      <c r="Y134" s="708" t="str">
        <f t="shared" si="241"/>
        <v>,"longitude":</v>
      </c>
      <c r="Z134" s="708" t="str">
        <f t="shared" si="241"/>
        <v>,"longitude":</v>
      </c>
      <c r="AA134" s="708" t="str">
        <f t="shared" si="241"/>
        <v>,"longitude":</v>
      </c>
      <c r="AB134" s="708" t="str">
        <f t="shared" si="241"/>
        <v>,"longitude":</v>
      </c>
      <c r="AC134" s="708" t="str">
        <f t="shared" si="241"/>
        <v>,"longitude":</v>
      </c>
      <c r="AD134" s="708" t="str">
        <f t="shared" si="241"/>
        <v>,"longitude":</v>
      </c>
      <c r="AE134" s="708" t="str">
        <f t="shared" si="241"/>
        <v>,"longitude":</v>
      </c>
      <c r="AF134" s="708" t="str">
        <f t="shared" si="241"/>
        <v>,"longitude":</v>
      </c>
      <c r="AG134" s="708" t="str">
        <f t="shared" si="241"/>
        <v>,"longitude":</v>
      </c>
      <c r="AH134" s="708" t="str">
        <f t="shared" si="241"/>
        <v>,"longitude":</v>
      </c>
      <c r="AI134" s="708" t="str">
        <f t="shared" si="241"/>
        <v>,"longitude":</v>
      </c>
      <c r="AJ134" s="708" t="str">
        <f t="shared" si="241"/>
        <v>,"longitude":</v>
      </c>
      <c r="AK134" s="708" t="str">
        <f t="shared" si="241"/>
        <v>,"longitude":</v>
      </c>
      <c r="AL134" s="708" t="str">
        <f t="shared" si="241"/>
        <v>,"longitude":</v>
      </c>
      <c r="AM134" s="708" t="str">
        <f t="shared" si="241"/>
        <v>,"longitude":</v>
      </c>
      <c r="AN134" s="708" t="str">
        <f t="shared" si="241"/>
        <v>,"longitude":</v>
      </c>
      <c r="AO134" s="708" t="str">
        <f t="shared" si="241"/>
        <v>,"longitude":</v>
      </c>
      <c r="AP134" s="708" t="str">
        <f t="shared" si="241"/>
        <v>,"longitude":</v>
      </c>
      <c r="AQ134" s="708" t="str">
        <f t="shared" si="241"/>
        <v>,"longitude":</v>
      </c>
      <c r="AR134" s="708" t="str">
        <f t="shared" si="241"/>
        <v>,"longitude":</v>
      </c>
      <c r="AS134" s="708" t="str">
        <f t="shared" si="241"/>
        <v>,"longitude":</v>
      </c>
      <c r="AT134" s="708" t="str">
        <f t="shared" si="241"/>
        <v>,"longitude":</v>
      </c>
      <c r="AU134" s="708" t="str">
        <f t="shared" si="241"/>
        <v>,"longitude":</v>
      </c>
      <c r="AV134" s="708" t="str">
        <f t="shared" si="241"/>
        <v>,"longitude":</v>
      </c>
      <c r="AW134" s="708" t="str">
        <f t="shared" si="241"/>
        <v>,"longitude":</v>
      </c>
      <c r="AX134" s="708" t="str">
        <f t="shared" si="241"/>
        <v>,"longitude":</v>
      </c>
      <c r="AY134" s="708" t="str">
        <f t="shared" si="241"/>
        <v>,"longitude":</v>
      </c>
      <c r="AZ134" s="708" t="str">
        <f t="shared" si="241"/>
        <v>,"longitude":</v>
      </c>
      <c r="BA134" s="708" t="str">
        <f t="shared" si="241"/>
        <v>,"longitude":</v>
      </c>
      <c r="BB134" s="708" t="str">
        <f t="shared" si="241"/>
        <v>,"longitude":</v>
      </c>
      <c r="BC134" s="709" t="str">
        <f t="shared" si="241"/>
        <v>,"longitude":</v>
      </c>
      <c r="BD134" s="577" t="str">
        <f>""</f>
        <v/>
      </c>
      <c r="BF134" s="772">
        <v>11</v>
      </c>
      <c r="BG134" s="773" t="str">
        <v>310-330</v>
      </c>
      <c r="BH134" s="772" t="str">
        <f t="shared" si="197"/>
        <v/>
      </c>
      <c r="BI134" s="773" t="str">
        <f t="shared" si="198"/>
        <v>310-330</v>
      </c>
      <c r="BJ134" s="773" t="str">
        <f t="shared" si="197"/>
        <v/>
      </c>
      <c r="BK134" s="773" t="str">
        <f t="shared" si="199"/>
        <v>310-330</v>
      </c>
      <c r="BL134" s="773" t="str">
        <f t="shared" ref="BL134" si="242">IFERROR(FIND("to",BK134,1),"")</f>
        <v/>
      </c>
      <c r="BM134" s="773" t="str">
        <f t="shared" si="201"/>
        <v>310-330</v>
      </c>
      <c r="BN134" s="772">
        <f t="shared" si="202"/>
        <v>8</v>
      </c>
      <c r="BO134" s="979">
        <f t="shared" si="225"/>
        <v>428</v>
      </c>
      <c r="BP134" s="979">
        <f t="shared" si="203"/>
        <v>428</v>
      </c>
      <c r="BQ134" s="979">
        <f t="shared" si="204"/>
        <v>4</v>
      </c>
      <c r="BR134" s="979">
        <f t="shared" si="205"/>
        <v>428</v>
      </c>
      <c r="BS134" s="999">
        <f t="shared" si="206"/>
        <v>428</v>
      </c>
      <c r="BT134" s="773" t="str">
        <f t="shared" si="207"/>
        <v>310</v>
      </c>
      <c r="BU134" s="773" t="str">
        <f t="shared" si="208"/>
        <v>330</v>
      </c>
      <c r="BV134" s="773" t="str">
        <f t="shared" si="209"/>
        <v/>
      </c>
      <c r="BW134" s="773" t="str">
        <f t="shared" si="210"/>
        <v/>
      </c>
      <c r="BX134" s="773" t="str">
        <f t="shared" si="211"/>
        <v/>
      </c>
      <c r="BY134" s="774" t="str">
        <f t="shared" si="212"/>
        <v/>
      </c>
      <c r="BZ134" s="773">
        <f t="shared" si="213"/>
        <v>310</v>
      </c>
      <c r="CA134" s="773">
        <f t="shared" si="214"/>
        <v>330</v>
      </c>
      <c r="CB134" s="773" t="str">
        <f t="shared" si="215"/>
        <v/>
      </c>
      <c r="CC134" s="773" t="str">
        <f t="shared" si="216"/>
        <v/>
      </c>
      <c r="CD134" s="773" t="str">
        <f t="shared" si="217"/>
        <v/>
      </c>
      <c r="CE134" s="774" t="str">
        <f t="shared" si="218"/>
        <v/>
      </c>
      <c r="CF134" s="772">
        <f t="shared" si="219"/>
        <v>310</v>
      </c>
      <c r="CG134" s="773">
        <f t="shared" ref="CG134:CG139" si="243">IF(CA134="",IF(BZ134=0,"",BZ134),CA134)</f>
        <v>330</v>
      </c>
      <c r="CH134" s="772" t="str">
        <f t="shared" si="220"/>
        <v/>
      </c>
      <c r="CI134" s="773" t="str">
        <f t="shared" si="226"/>
        <v/>
      </c>
      <c r="CJ134" s="772" t="str">
        <f t="shared" si="221"/>
        <v/>
      </c>
      <c r="CK134" s="774" t="str">
        <f t="shared" si="222"/>
        <v/>
      </c>
      <c r="CL134" s="772">
        <v>11</v>
      </c>
      <c r="CM134" s="993" t="str">
        <f t="shared" ref="CM134:CV139" si="244">IF(OR(AND(CM$123&gt;=$CF134,CM$123&lt;=$CG134),AND(CM$123&gt;=$CH134,CM$123&lt;=$CI134),AND(CM$123&gt;=$CJ134,CM$123&lt;=$CK134)),$CL134,IF($CF134&gt;$CG134,IF(OR(AND(CM$123&gt;=($CF134-360),CM$123&lt;=$CG134),AND(CM$123-360&gt;=($CF134-360),CM$123-360&lt;=$CG134)),$CL134,IF($CH134&gt;$CI134,IF(OR(AND(CM$123&gt;=($CH134-360),CM$123&lt;=$CI134),AND(CM$123-360&gt;=($CH134-360),CM$123-360&lt;=$CI134)),$CL134,IF($CJ134&gt;$CK134,IF(OR(AND(CM$123&gt;=($CJ134-360),CM$123&lt;=$CK134),AND(CM$123-360&gt;=($CJ134-360),CM$123-360&lt;=$CK134)),$CL134,""),"")),IF($CJ134&gt;$CK134,IF(OR(AND(CM$123&gt;=($CJ134-360),CM$123&lt;=$CK134),AND(CM$123-360&gt;=($CJ134-360),CM$123-360&lt;=$CK134)),$CL134,""),""))),IF($CH134&gt;$CI134,IF(OR(AND(CM$123&gt;=($CH134-360),CM$123&lt;=$CI134),AND(CM$123-360&gt;=($CH134-360),CM$123-360&lt;=$CI134)),$CL134,IF($CJ134&gt;$CK134,IF(OR(AND(CM$123&gt;=($CJ134-360),CM$123&lt;=$CK134),AND(CM$123-360&gt;=($CJ134-360),CM$123-360&lt;=$CK134)),$CL134,""),"")),IF($CJ134&gt;$CK134,IF(OR(AND(CM$123&gt;=($CJ134-360),CM$123&lt;=$CK134),AND(CM$123-360&gt;=($CJ134-360),CM$123-360&lt;=$CK134)),$CL134,""),""))))</f>
        <v/>
      </c>
      <c r="CN134" s="989" t="str">
        <f t="shared" si="244"/>
        <v/>
      </c>
      <c r="CO134" s="989" t="str">
        <f t="shared" si="244"/>
        <v/>
      </c>
      <c r="CP134" s="989" t="str">
        <f t="shared" si="244"/>
        <v/>
      </c>
      <c r="CQ134" s="989" t="str">
        <f t="shared" si="244"/>
        <v/>
      </c>
      <c r="CR134" s="989" t="str">
        <f t="shared" si="244"/>
        <v/>
      </c>
      <c r="CS134" s="989" t="str">
        <f t="shared" si="244"/>
        <v/>
      </c>
      <c r="CT134" s="989" t="str">
        <f t="shared" si="244"/>
        <v/>
      </c>
      <c r="CU134" s="989" t="str">
        <f t="shared" si="244"/>
        <v/>
      </c>
      <c r="CV134" s="989" t="str">
        <f t="shared" si="244"/>
        <v/>
      </c>
      <c r="CW134" s="989" t="str">
        <f t="shared" ref="CW134:DF139" si="245">IF(OR(AND(CW$123&gt;=$CF134,CW$123&lt;=$CG134),AND(CW$123&gt;=$CH134,CW$123&lt;=$CI134),AND(CW$123&gt;=$CJ134,CW$123&lt;=$CK134)),$CL134,IF($CF134&gt;$CG134,IF(OR(AND(CW$123&gt;=($CF134-360),CW$123&lt;=$CG134),AND(CW$123-360&gt;=($CF134-360),CW$123-360&lt;=$CG134)),$CL134,IF($CH134&gt;$CI134,IF(OR(AND(CW$123&gt;=($CH134-360),CW$123&lt;=$CI134),AND(CW$123-360&gt;=($CH134-360),CW$123-360&lt;=$CI134)),$CL134,IF($CJ134&gt;$CK134,IF(OR(AND(CW$123&gt;=($CJ134-360),CW$123&lt;=$CK134),AND(CW$123-360&gt;=($CJ134-360),CW$123-360&lt;=$CK134)),$CL134,""),"")),IF($CJ134&gt;$CK134,IF(OR(AND(CW$123&gt;=($CJ134-360),CW$123&lt;=$CK134),AND(CW$123-360&gt;=($CJ134-360),CW$123-360&lt;=$CK134)),$CL134,""),""))),IF($CH134&gt;$CI134,IF(OR(AND(CW$123&gt;=($CH134-360),CW$123&lt;=$CI134),AND(CW$123-360&gt;=($CH134-360),CW$123-360&lt;=$CI134)),$CL134,IF($CJ134&gt;$CK134,IF(OR(AND(CW$123&gt;=($CJ134-360),CW$123&lt;=$CK134),AND(CW$123-360&gt;=($CJ134-360),CW$123-360&lt;=$CK134)),$CL134,""),"")),IF($CJ134&gt;$CK134,IF(OR(AND(CW$123&gt;=($CJ134-360),CW$123&lt;=$CK134),AND(CW$123-360&gt;=($CJ134-360),CW$123-360&lt;=$CK134)),$CL134,""),""))))</f>
        <v/>
      </c>
      <c r="CX134" s="989" t="str">
        <f t="shared" si="245"/>
        <v/>
      </c>
      <c r="CY134" s="989" t="str">
        <f t="shared" si="245"/>
        <v/>
      </c>
      <c r="CZ134" s="989" t="str">
        <f t="shared" si="245"/>
        <v/>
      </c>
      <c r="DA134" s="989" t="str">
        <f t="shared" si="245"/>
        <v/>
      </c>
      <c r="DB134" s="989" t="str">
        <f t="shared" si="245"/>
        <v/>
      </c>
      <c r="DC134" s="989" t="str">
        <f t="shared" si="245"/>
        <v/>
      </c>
      <c r="DD134" s="989" t="str">
        <f t="shared" si="245"/>
        <v/>
      </c>
      <c r="DE134" s="989" t="str">
        <f t="shared" si="245"/>
        <v/>
      </c>
      <c r="DF134" s="989" t="str">
        <f t="shared" si="245"/>
        <v/>
      </c>
      <c r="DG134" s="989" t="str">
        <f t="shared" ref="DG134:DP139" si="246">IF(OR(AND(DG$123&gt;=$CF134,DG$123&lt;=$CG134),AND(DG$123&gt;=$CH134,DG$123&lt;=$CI134),AND(DG$123&gt;=$CJ134,DG$123&lt;=$CK134)),$CL134,IF($CF134&gt;$CG134,IF(OR(AND(DG$123&gt;=($CF134-360),DG$123&lt;=$CG134),AND(DG$123-360&gt;=($CF134-360),DG$123-360&lt;=$CG134)),$CL134,IF($CH134&gt;$CI134,IF(OR(AND(DG$123&gt;=($CH134-360),DG$123&lt;=$CI134),AND(DG$123-360&gt;=($CH134-360),DG$123-360&lt;=$CI134)),$CL134,IF($CJ134&gt;$CK134,IF(OR(AND(DG$123&gt;=($CJ134-360),DG$123&lt;=$CK134),AND(DG$123-360&gt;=($CJ134-360),DG$123-360&lt;=$CK134)),$CL134,""),"")),IF($CJ134&gt;$CK134,IF(OR(AND(DG$123&gt;=($CJ134-360),DG$123&lt;=$CK134),AND(DG$123-360&gt;=($CJ134-360),DG$123-360&lt;=$CK134)),$CL134,""),""))),IF($CH134&gt;$CI134,IF(OR(AND(DG$123&gt;=($CH134-360),DG$123&lt;=$CI134),AND(DG$123-360&gt;=($CH134-360),DG$123-360&lt;=$CI134)),$CL134,IF($CJ134&gt;$CK134,IF(OR(AND(DG$123&gt;=($CJ134-360),DG$123&lt;=$CK134),AND(DG$123-360&gt;=($CJ134-360),DG$123-360&lt;=$CK134)),$CL134,""),"")),IF($CJ134&gt;$CK134,IF(OR(AND(DG$123&gt;=($CJ134-360),DG$123&lt;=$CK134),AND(DG$123-360&gt;=($CJ134-360),DG$123-360&lt;=$CK134)),$CL134,""),""))))</f>
        <v/>
      </c>
      <c r="DH134" s="989" t="str">
        <f t="shared" si="246"/>
        <v/>
      </c>
      <c r="DI134" s="989" t="str">
        <f t="shared" si="246"/>
        <v/>
      </c>
      <c r="DJ134" s="989" t="str">
        <f t="shared" si="246"/>
        <v/>
      </c>
      <c r="DK134" s="989" t="str">
        <f t="shared" si="246"/>
        <v/>
      </c>
      <c r="DL134" s="989" t="str">
        <f t="shared" si="246"/>
        <v/>
      </c>
      <c r="DM134" s="989" t="str">
        <f t="shared" si="246"/>
        <v/>
      </c>
      <c r="DN134" s="989" t="str">
        <f t="shared" si="246"/>
        <v/>
      </c>
      <c r="DO134" s="989" t="str">
        <f t="shared" si="246"/>
        <v/>
      </c>
      <c r="DP134" s="989" t="str">
        <f t="shared" si="246"/>
        <v/>
      </c>
      <c r="DQ134" s="989">
        <f t="shared" ref="DQ134:DV139" si="247">IF(OR(AND(DQ$123&gt;=$CF134,DQ$123&lt;=$CG134),AND(DQ$123&gt;=$CH134,DQ$123&lt;=$CI134),AND(DQ$123&gt;=$CJ134,DQ$123&lt;=$CK134)),$CL134,IF($CF134&gt;$CG134,IF(OR(AND(DQ$123&gt;=($CF134-360),DQ$123&lt;=$CG134),AND(DQ$123-360&gt;=($CF134-360),DQ$123-360&lt;=$CG134)),$CL134,IF($CH134&gt;$CI134,IF(OR(AND(DQ$123&gt;=($CH134-360),DQ$123&lt;=$CI134),AND(DQ$123-360&gt;=($CH134-360),DQ$123-360&lt;=$CI134)),$CL134,IF($CJ134&gt;$CK134,IF(OR(AND(DQ$123&gt;=($CJ134-360),DQ$123&lt;=$CK134),AND(DQ$123-360&gt;=($CJ134-360),DQ$123-360&lt;=$CK134)),$CL134,""),"")),IF($CJ134&gt;$CK134,IF(OR(AND(DQ$123&gt;=($CJ134-360),DQ$123&lt;=$CK134),AND(DQ$123-360&gt;=($CJ134-360),DQ$123-360&lt;=$CK134)),$CL134,""),""))),IF($CH134&gt;$CI134,IF(OR(AND(DQ$123&gt;=($CH134-360),DQ$123&lt;=$CI134),AND(DQ$123-360&gt;=($CH134-360),DQ$123-360&lt;=$CI134)),$CL134,IF($CJ134&gt;$CK134,IF(OR(AND(DQ$123&gt;=($CJ134-360),DQ$123&lt;=$CK134),AND(DQ$123-360&gt;=($CJ134-360),DQ$123-360&lt;=$CK134)),$CL134,""),"")),IF($CJ134&gt;$CK134,IF(OR(AND(DQ$123&gt;=($CJ134-360),DQ$123&lt;=$CK134),AND(DQ$123-360&gt;=($CJ134-360),DQ$123-360&lt;=$CK134)),$CL134,""),""))))</f>
        <v>11</v>
      </c>
      <c r="DR134" s="989">
        <f t="shared" si="247"/>
        <v>11</v>
      </c>
      <c r="DS134" s="989">
        <f t="shared" si="247"/>
        <v>11</v>
      </c>
      <c r="DT134" s="989" t="str">
        <f t="shared" si="247"/>
        <v/>
      </c>
      <c r="DU134" s="989" t="str">
        <f t="shared" si="247"/>
        <v/>
      </c>
      <c r="DV134" s="994" t="str">
        <f t="shared" si="247"/>
        <v/>
      </c>
    </row>
    <row r="135" spans="19:126" x14ac:dyDescent="0.2">
      <c r="S135" s="585"/>
      <c r="T135" s="710">
        <f t="shared" ref="T135:BC135" si="248">T39</f>
        <v>7.8387431127548243E-2</v>
      </c>
      <c r="U135" s="711">
        <f t="shared" si="248"/>
        <v>0.23277939542298065</v>
      </c>
      <c r="V135" s="711">
        <f t="shared" si="248"/>
        <v>0.3800953733407848</v>
      </c>
      <c r="W135" s="711">
        <f t="shared" si="248"/>
        <v>0.51585810817244437</v>
      </c>
      <c r="X135" s="711">
        <f t="shared" si="248"/>
        <v>0.63594251826108461</v>
      </c>
      <c r="Y135" s="711">
        <f t="shared" si="248"/>
        <v>0.7367010352760629</v>
      </c>
      <c r="Z135" s="711">
        <f t="shared" si="248"/>
        <v>0.81507412925437384</v>
      </c>
      <c r="AA135" s="711">
        <f t="shared" si="248"/>
        <v>0.86868274386391409</v>
      </c>
      <c r="AB135" s="711">
        <f t="shared" si="248"/>
        <v>0.89589997454384118</v>
      </c>
      <c r="AC135" s="711">
        <f t="shared" si="248"/>
        <v>0.89589997454384118</v>
      </c>
      <c r="AD135" s="711">
        <f t="shared" si="248"/>
        <v>0.86868274386391409</v>
      </c>
      <c r="AE135" s="711">
        <f t="shared" si="248"/>
        <v>0.81507412925437406</v>
      </c>
      <c r="AF135" s="711">
        <f t="shared" si="248"/>
        <v>0.73670103527606312</v>
      </c>
      <c r="AG135" s="711">
        <f t="shared" si="248"/>
        <v>0.63594251826108461</v>
      </c>
      <c r="AH135" s="711">
        <f t="shared" si="248"/>
        <v>0.51585810817244471</v>
      </c>
      <c r="AI135" s="711">
        <f t="shared" si="248"/>
        <v>0.38009537334078486</v>
      </c>
      <c r="AJ135" s="711">
        <f t="shared" si="248"/>
        <v>0.2327793954229809</v>
      </c>
      <c r="AK135" s="711">
        <f t="shared" si="248"/>
        <v>7.838743112754866E-2</v>
      </c>
      <c r="AL135" s="711">
        <f t="shared" si="248"/>
        <v>-7.8387431127548049E-2</v>
      </c>
      <c r="AM135" s="711">
        <f t="shared" si="248"/>
        <v>-0.23277939542298029</v>
      </c>
      <c r="AN135" s="711">
        <f t="shared" si="248"/>
        <v>-0.38009537334078464</v>
      </c>
      <c r="AO135" s="711">
        <f t="shared" si="248"/>
        <v>-0.51585810817244415</v>
      </c>
      <c r="AP135" s="711">
        <f t="shared" si="248"/>
        <v>-0.63594251826108461</v>
      </c>
      <c r="AQ135" s="711">
        <f t="shared" si="248"/>
        <v>-0.73670103527606268</v>
      </c>
      <c r="AR135" s="711">
        <f t="shared" si="248"/>
        <v>-0.81507412925437372</v>
      </c>
      <c r="AS135" s="711">
        <f t="shared" si="248"/>
        <v>-0.86868274386391409</v>
      </c>
      <c r="AT135" s="711">
        <f t="shared" si="248"/>
        <v>-0.89589997454384118</v>
      </c>
      <c r="AU135" s="711">
        <f t="shared" si="248"/>
        <v>-0.89589997454384118</v>
      </c>
      <c r="AV135" s="711">
        <f t="shared" si="248"/>
        <v>-0.86868274386391398</v>
      </c>
      <c r="AW135" s="711">
        <f t="shared" si="248"/>
        <v>-0.81507412925437384</v>
      </c>
      <c r="AX135" s="711">
        <f t="shared" si="248"/>
        <v>-0.7367010352760629</v>
      </c>
      <c r="AY135" s="711">
        <f t="shared" si="248"/>
        <v>-0.63594251826108472</v>
      </c>
      <c r="AZ135" s="711">
        <f t="shared" si="248"/>
        <v>-0.51585810817244482</v>
      </c>
      <c r="BA135" s="711">
        <f t="shared" si="248"/>
        <v>-0.3800953733407853</v>
      </c>
      <c r="BB135" s="711">
        <f t="shared" si="248"/>
        <v>-0.23277939542298062</v>
      </c>
      <c r="BC135" s="712">
        <f t="shared" si="248"/>
        <v>-7.8387431127548382E-2</v>
      </c>
      <c r="BD135" s="577" t="str">
        <f>""</f>
        <v/>
      </c>
      <c r="BF135" s="772">
        <v>12</v>
      </c>
      <c r="BG135" s="773" t="str">
        <v>340-360</v>
      </c>
      <c r="BH135" s="772" t="str">
        <f t="shared" si="197"/>
        <v/>
      </c>
      <c r="BI135" s="773" t="str">
        <f t="shared" si="198"/>
        <v>340-360</v>
      </c>
      <c r="BJ135" s="773" t="str">
        <f t="shared" si="197"/>
        <v/>
      </c>
      <c r="BK135" s="773" t="str">
        <f t="shared" si="199"/>
        <v>340-360</v>
      </c>
      <c r="BL135" s="773" t="str">
        <f t="shared" ref="BL135" si="249">IFERROR(FIND("to",BK135,1),"")</f>
        <v/>
      </c>
      <c r="BM135" s="773" t="str">
        <f t="shared" si="201"/>
        <v>340-360</v>
      </c>
      <c r="BN135" s="772">
        <f t="shared" si="202"/>
        <v>8</v>
      </c>
      <c r="BO135" s="979">
        <f t="shared" si="225"/>
        <v>428</v>
      </c>
      <c r="BP135" s="979">
        <f t="shared" si="203"/>
        <v>428</v>
      </c>
      <c r="BQ135" s="979">
        <f t="shared" si="204"/>
        <v>4</v>
      </c>
      <c r="BR135" s="979">
        <f t="shared" si="205"/>
        <v>428</v>
      </c>
      <c r="BS135" s="999">
        <f t="shared" si="206"/>
        <v>428</v>
      </c>
      <c r="BT135" s="773" t="str">
        <f t="shared" si="207"/>
        <v>340</v>
      </c>
      <c r="BU135" s="773" t="str">
        <f t="shared" si="208"/>
        <v>360</v>
      </c>
      <c r="BV135" s="773" t="str">
        <f t="shared" si="209"/>
        <v/>
      </c>
      <c r="BW135" s="773" t="str">
        <f t="shared" si="210"/>
        <v/>
      </c>
      <c r="BX135" s="773" t="str">
        <f t="shared" si="211"/>
        <v/>
      </c>
      <c r="BY135" s="774" t="str">
        <f t="shared" si="212"/>
        <v/>
      </c>
      <c r="BZ135" s="773">
        <f t="shared" si="213"/>
        <v>340</v>
      </c>
      <c r="CA135" s="773">
        <f t="shared" si="214"/>
        <v>360</v>
      </c>
      <c r="CB135" s="773" t="str">
        <f t="shared" si="215"/>
        <v/>
      </c>
      <c r="CC135" s="773" t="str">
        <f t="shared" si="216"/>
        <v/>
      </c>
      <c r="CD135" s="773" t="str">
        <f t="shared" si="217"/>
        <v/>
      </c>
      <c r="CE135" s="774" t="str">
        <f t="shared" si="218"/>
        <v/>
      </c>
      <c r="CF135" s="772">
        <f t="shared" si="219"/>
        <v>340</v>
      </c>
      <c r="CG135" s="773">
        <f t="shared" si="243"/>
        <v>360</v>
      </c>
      <c r="CH135" s="772" t="str">
        <f t="shared" si="220"/>
        <v/>
      </c>
      <c r="CI135" s="773" t="str">
        <f t="shared" si="226"/>
        <v/>
      </c>
      <c r="CJ135" s="772" t="str">
        <f t="shared" si="221"/>
        <v/>
      </c>
      <c r="CK135" s="774" t="str">
        <f t="shared" si="222"/>
        <v/>
      </c>
      <c r="CL135" s="772">
        <v>12</v>
      </c>
      <c r="CM135" s="993" t="str">
        <f t="shared" si="244"/>
        <v/>
      </c>
      <c r="CN135" s="989" t="str">
        <f t="shared" si="244"/>
        <v/>
      </c>
      <c r="CO135" s="989" t="str">
        <f t="shared" si="244"/>
        <v/>
      </c>
      <c r="CP135" s="989" t="str">
        <f t="shared" si="244"/>
        <v/>
      </c>
      <c r="CQ135" s="989" t="str">
        <f t="shared" si="244"/>
        <v/>
      </c>
      <c r="CR135" s="989" t="str">
        <f t="shared" si="244"/>
        <v/>
      </c>
      <c r="CS135" s="989" t="str">
        <f t="shared" si="244"/>
        <v/>
      </c>
      <c r="CT135" s="989" t="str">
        <f t="shared" si="244"/>
        <v/>
      </c>
      <c r="CU135" s="989" t="str">
        <f t="shared" si="244"/>
        <v/>
      </c>
      <c r="CV135" s="989" t="str">
        <f t="shared" si="244"/>
        <v/>
      </c>
      <c r="CW135" s="989" t="str">
        <f t="shared" si="245"/>
        <v/>
      </c>
      <c r="CX135" s="989" t="str">
        <f t="shared" si="245"/>
        <v/>
      </c>
      <c r="CY135" s="989" t="str">
        <f t="shared" si="245"/>
        <v/>
      </c>
      <c r="CZ135" s="989" t="str">
        <f t="shared" si="245"/>
        <v/>
      </c>
      <c r="DA135" s="989" t="str">
        <f t="shared" si="245"/>
        <v/>
      </c>
      <c r="DB135" s="989" t="str">
        <f t="shared" si="245"/>
        <v/>
      </c>
      <c r="DC135" s="989" t="str">
        <f t="shared" si="245"/>
        <v/>
      </c>
      <c r="DD135" s="989" t="str">
        <f t="shared" si="245"/>
        <v/>
      </c>
      <c r="DE135" s="989" t="str">
        <f t="shared" si="245"/>
        <v/>
      </c>
      <c r="DF135" s="989" t="str">
        <f t="shared" si="245"/>
        <v/>
      </c>
      <c r="DG135" s="989" t="str">
        <f t="shared" si="246"/>
        <v/>
      </c>
      <c r="DH135" s="989" t="str">
        <f t="shared" si="246"/>
        <v/>
      </c>
      <c r="DI135" s="989" t="str">
        <f t="shared" si="246"/>
        <v/>
      </c>
      <c r="DJ135" s="989" t="str">
        <f t="shared" si="246"/>
        <v/>
      </c>
      <c r="DK135" s="989" t="str">
        <f t="shared" si="246"/>
        <v/>
      </c>
      <c r="DL135" s="989" t="str">
        <f t="shared" si="246"/>
        <v/>
      </c>
      <c r="DM135" s="989" t="str">
        <f t="shared" si="246"/>
        <v/>
      </c>
      <c r="DN135" s="989" t="str">
        <f t="shared" si="246"/>
        <v/>
      </c>
      <c r="DO135" s="989" t="str">
        <f t="shared" si="246"/>
        <v/>
      </c>
      <c r="DP135" s="989" t="str">
        <f t="shared" si="246"/>
        <v/>
      </c>
      <c r="DQ135" s="989" t="str">
        <f t="shared" si="247"/>
        <v/>
      </c>
      <c r="DR135" s="989" t="str">
        <f t="shared" si="247"/>
        <v/>
      </c>
      <c r="DS135" s="989" t="str">
        <f t="shared" si="247"/>
        <v/>
      </c>
      <c r="DT135" s="989">
        <f t="shared" si="247"/>
        <v>12</v>
      </c>
      <c r="DU135" s="989">
        <f t="shared" si="247"/>
        <v>12</v>
      </c>
      <c r="DV135" s="994">
        <f t="shared" si="247"/>
        <v>12</v>
      </c>
    </row>
    <row r="136" spans="19:126" x14ac:dyDescent="0.2">
      <c r="S136" s="585"/>
      <c r="T136" s="707" t="str">
        <f>T125</f>
        <v>},"right":{</v>
      </c>
      <c r="U136" s="708" t="str">
        <f t="shared" ref="U136:BC136" si="250">T136</f>
        <v>},"right":{</v>
      </c>
      <c r="V136" s="708" t="str">
        <f t="shared" si="250"/>
        <v>},"right":{</v>
      </c>
      <c r="W136" s="708" t="str">
        <f t="shared" si="250"/>
        <v>},"right":{</v>
      </c>
      <c r="X136" s="708" t="str">
        <f t="shared" si="250"/>
        <v>},"right":{</v>
      </c>
      <c r="Y136" s="708" t="str">
        <f t="shared" si="250"/>
        <v>},"right":{</v>
      </c>
      <c r="Z136" s="708" t="str">
        <f t="shared" si="250"/>
        <v>},"right":{</v>
      </c>
      <c r="AA136" s="708" t="str">
        <f t="shared" si="250"/>
        <v>},"right":{</v>
      </c>
      <c r="AB136" s="708" t="str">
        <f t="shared" si="250"/>
        <v>},"right":{</v>
      </c>
      <c r="AC136" s="708" t="str">
        <f t="shared" si="250"/>
        <v>},"right":{</v>
      </c>
      <c r="AD136" s="708" t="str">
        <f t="shared" si="250"/>
        <v>},"right":{</v>
      </c>
      <c r="AE136" s="708" t="str">
        <f t="shared" si="250"/>
        <v>},"right":{</v>
      </c>
      <c r="AF136" s="708" t="str">
        <f t="shared" si="250"/>
        <v>},"right":{</v>
      </c>
      <c r="AG136" s="708" t="str">
        <f t="shared" si="250"/>
        <v>},"right":{</v>
      </c>
      <c r="AH136" s="708" t="str">
        <f t="shared" si="250"/>
        <v>},"right":{</v>
      </c>
      <c r="AI136" s="708" t="str">
        <f t="shared" si="250"/>
        <v>},"right":{</v>
      </c>
      <c r="AJ136" s="708" t="str">
        <f t="shared" si="250"/>
        <v>},"right":{</v>
      </c>
      <c r="AK136" s="708" t="str">
        <f t="shared" si="250"/>
        <v>},"right":{</v>
      </c>
      <c r="AL136" s="708" t="str">
        <f t="shared" si="250"/>
        <v>},"right":{</v>
      </c>
      <c r="AM136" s="708" t="str">
        <f t="shared" si="250"/>
        <v>},"right":{</v>
      </c>
      <c r="AN136" s="708" t="str">
        <f t="shared" si="250"/>
        <v>},"right":{</v>
      </c>
      <c r="AO136" s="708" t="str">
        <f t="shared" si="250"/>
        <v>},"right":{</v>
      </c>
      <c r="AP136" s="708" t="str">
        <f t="shared" si="250"/>
        <v>},"right":{</v>
      </c>
      <c r="AQ136" s="708" t="str">
        <f t="shared" si="250"/>
        <v>},"right":{</v>
      </c>
      <c r="AR136" s="708" t="str">
        <f t="shared" si="250"/>
        <v>},"right":{</v>
      </c>
      <c r="AS136" s="708" t="str">
        <f t="shared" si="250"/>
        <v>},"right":{</v>
      </c>
      <c r="AT136" s="708" t="str">
        <f t="shared" si="250"/>
        <v>},"right":{</v>
      </c>
      <c r="AU136" s="708" t="str">
        <f t="shared" si="250"/>
        <v>},"right":{</v>
      </c>
      <c r="AV136" s="708" t="str">
        <f t="shared" si="250"/>
        <v>},"right":{</v>
      </c>
      <c r="AW136" s="708" t="str">
        <f t="shared" si="250"/>
        <v>},"right":{</v>
      </c>
      <c r="AX136" s="708" t="str">
        <f t="shared" si="250"/>
        <v>},"right":{</v>
      </c>
      <c r="AY136" s="708" t="str">
        <f t="shared" si="250"/>
        <v>},"right":{</v>
      </c>
      <c r="AZ136" s="708" t="str">
        <f t="shared" si="250"/>
        <v>},"right":{</v>
      </c>
      <c r="BA136" s="708" t="str">
        <f t="shared" si="250"/>
        <v>},"right":{</v>
      </c>
      <c r="BB136" s="708" t="str">
        <f t="shared" si="250"/>
        <v>},"right":{</v>
      </c>
      <c r="BC136" s="709" t="str">
        <f t="shared" si="250"/>
        <v>},"right":{</v>
      </c>
      <c r="BD136" s="577" t="str">
        <f>""</f>
        <v/>
      </c>
      <c r="BF136" s="772">
        <v>13</v>
      </c>
      <c r="BG136" s="773">
        <v>0</v>
      </c>
      <c r="BH136" s="772" t="str">
        <f t="shared" si="197"/>
        <v/>
      </c>
      <c r="BI136" s="773">
        <f t="shared" si="198"/>
        <v>0</v>
      </c>
      <c r="BJ136" s="773" t="str">
        <f t="shared" si="197"/>
        <v/>
      </c>
      <c r="BK136" s="773">
        <f t="shared" si="199"/>
        <v>0</v>
      </c>
      <c r="BL136" s="773" t="str">
        <f t="shared" ref="BL136" si="251">IFERROR(FIND("to",BK136,1),"")</f>
        <v/>
      </c>
      <c r="BM136" s="773">
        <f t="shared" si="201"/>
        <v>0</v>
      </c>
      <c r="BN136" s="772">
        <f t="shared" si="202"/>
        <v>2</v>
      </c>
      <c r="BO136" s="979">
        <f t="shared" si="225"/>
        <v>428</v>
      </c>
      <c r="BP136" s="979">
        <f t="shared" si="203"/>
        <v>428</v>
      </c>
      <c r="BQ136" s="979">
        <f t="shared" si="204"/>
        <v>428</v>
      </c>
      <c r="BR136" s="979">
        <f t="shared" si="205"/>
        <v>428</v>
      </c>
      <c r="BS136" s="999">
        <f t="shared" si="206"/>
        <v>428</v>
      </c>
      <c r="BT136" s="773" t="str">
        <f t="shared" si="207"/>
        <v>0</v>
      </c>
      <c r="BU136" s="773" t="str">
        <f t="shared" si="208"/>
        <v/>
      </c>
      <c r="BV136" s="773" t="str">
        <f t="shared" si="209"/>
        <v/>
      </c>
      <c r="BW136" s="773" t="str">
        <f t="shared" si="210"/>
        <v/>
      </c>
      <c r="BX136" s="773" t="str">
        <f t="shared" si="211"/>
        <v/>
      </c>
      <c r="BY136" s="774" t="str">
        <f t="shared" si="212"/>
        <v/>
      </c>
      <c r="BZ136" s="773">
        <f t="shared" si="213"/>
        <v>0</v>
      </c>
      <c r="CA136" s="773" t="str">
        <f t="shared" si="214"/>
        <v/>
      </c>
      <c r="CB136" s="773" t="str">
        <f t="shared" si="215"/>
        <v/>
      </c>
      <c r="CC136" s="773" t="str">
        <f t="shared" si="216"/>
        <v/>
      </c>
      <c r="CD136" s="773" t="str">
        <f t="shared" si="217"/>
        <v/>
      </c>
      <c r="CE136" s="774" t="str">
        <f t="shared" si="218"/>
        <v/>
      </c>
      <c r="CF136" s="772" t="str">
        <f t="shared" si="219"/>
        <v/>
      </c>
      <c r="CG136" s="773" t="str">
        <f t="shared" si="243"/>
        <v/>
      </c>
      <c r="CH136" s="772" t="str">
        <f t="shared" si="220"/>
        <v/>
      </c>
      <c r="CI136" s="773" t="str">
        <f t="shared" si="226"/>
        <v/>
      </c>
      <c r="CJ136" s="772" t="str">
        <f t="shared" si="221"/>
        <v/>
      </c>
      <c r="CK136" s="774" t="str">
        <f t="shared" si="222"/>
        <v/>
      </c>
      <c r="CL136" s="772">
        <v>13</v>
      </c>
      <c r="CM136" s="993" t="str">
        <f t="shared" si="244"/>
        <v/>
      </c>
      <c r="CN136" s="989" t="str">
        <f t="shared" si="244"/>
        <v/>
      </c>
      <c r="CO136" s="989" t="str">
        <f t="shared" si="244"/>
        <v/>
      </c>
      <c r="CP136" s="989" t="str">
        <f t="shared" si="244"/>
        <v/>
      </c>
      <c r="CQ136" s="989" t="str">
        <f t="shared" si="244"/>
        <v/>
      </c>
      <c r="CR136" s="989" t="str">
        <f t="shared" si="244"/>
        <v/>
      </c>
      <c r="CS136" s="989" t="str">
        <f t="shared" si="244"/>
        <v/>
      </c>
      <c r="CT136" s="989" t="str">
        <f t="shared" si="244"/>
        <v/>
      </c>
      <c r="CU136" s="989" t="str">
        <f t="shared" si="244"/>
        <v/>
      </c>
      <c r="CV136" s="989" t="str">
        <f t="shared" si="244"/>
        <v/>
      </c>
      <c r="CW136" s="989" t="str">
        <f t="shared" si="245"/>
        <v/>
      </c>
      <c r="CX136" s="989" t="str">
        <f t="shared" si="245"/>
        <v/>
      </c>
      <c r="CY136" s="989" t="str">
        <f t="shared" si="245"/>
        <v/>
      </c>
      <c r="CZ136" s="989" t="str">
        <f t="shared" si="245"/>
        <v/>
      </c>
      <c r="DA136" s="989" t="str">
        <f t="shared" si="245"/>
        <v/>
      </c>
      <c r="DB136" s="989" t="str">
        <f t="shared" si="245"/>
        <v/>
      </c>
      <c r="DC136" s="989" t="str">
        <f t="shared" si="245"/>
        <v/>
      </c>
      <c r="DD136" s="989" t="str">
        <f t="shared" si="245"/>
        <v/>
      </c>
      <c r="DE136" s="989" t="str">
        <f t="shared" si="245"/>
        <v/>
      </c>
      <c r="DF136" s="989" t="str">
        <f t="shared" si="245"/>
        <v/>
      </c>
      <c r="DG136" s="989" t="str">
        <f t="shared" si="246"/>
        <v/>
      </c>
      <c r="DH136" s="989" t="str">
        <f t="shared" si="246"/>
        <v/>
      </c>
      <c r="DI136" s="989" t="str">
        <f t="shared" si="246"/>
        <v/>
      </c>
      <c r="DJ136" s="989" t="str">
        <f t="shared" si="246"/>
        <v/>
      </c>
      <c r="DK136" s="989" t="str">
        <f t="shared" si="246"/>
        <v/>
      </c>
      <c r="DL136" s="989" t="str">
        <f t="shared" si="246"/>
        <v/>
      </c>
      <c r="DM136" s="989" t="str">
        <f t="shared" si="246"/>
        <v/>
      </c>
      <c r="DN136" s="989" t="str">
        <f t="shared" si="246"/>
        <v/>
      </c>
      <c r="DO136" s="989" t="str">
        <f t="shared" si="246"/>
        <v/>
      </c>
      <c r="DP136" s="989" t="str">
        <f t="shared" si="246"/>
        <v/>
      </c>
      <c r="DQ136" s="989" t="str">
        <f t="shared" si="247"/>
        <v/>
      </c>
      <c r="DR136" s="989" t="str">
        <f t="shared" si="247"/>
        <v/>
      </c>
      <c r="DS136" s="989" t="str">
        <f t="shared" si="247"/>
        <v/>
      </c>
      <c r="DT136" s="989" t="str">
        <f t="shared" si="247"/>
        <v/>
      </c>
      <c r="DU136" s="989" t="str">
        <f t="shared" si="247"/>
        <v/>
      </c>
      <c r="DV136" s="994" t="str">
        <f t="shared" si="247"/>
        <v/>
      </c>
    </row>
    <row r="137" spans="19:126" x14ac:dyDescent="0.2">
      <c r="S137" s="585"/>
      <c r="T137" s="707" t="str">
        <f>T126</f>
        <v>"latitude":</v>
      </c>
      <c r="U137" s="708" t="str">
        <f t="shared" ref="U137:BC137" si="252">T137</f>
        <v>"latitude":</v>
      </c>
      <c r="V137" s="708" t="str">
        <f t="shared" si="252"/>
        <v>"latitude":</v>
      </c>
      <c r="W137" s="708" t="str">
        <f t="shared" si="252"/>
        <v>"latitude":</v>
      </c>
      <c r="X137" s="708" t="str">
        <f t="shared" si="252"/>
        <v>"latitude":</v>
      </c>
      <c r="Y137" s="708" t="str">
        <f t="shared" si="252"/>
        <v>"latitude":</v>
      </c>
      <c r="Z137" s="708" t="str">
        <f t="shared" si="252"/>
        <v>"latitude":</v>
      </c>
      <c r="AA137" s="708" t="str">
        <f t="shared" si="252"/>
        <v>"latitude":</v>
      </c>
      <c r="AB137" s="708" t="str">
        <f t="shared" si="252"/>
        <v>"latitude":</v>
      </c>
      <c r="AC137" s="708" t="str">
        <f t="shared" si="252"/>
        <v>"latitude":</v>
      </c>
      <c r="AD137" s="708" t="str">
        <f t="shared" si="252"/>
        <v>"latitude":</v>
      </c>
      <c r="AE137" s="708" t="str">
        <f t="shared" si="252"/>
        <v>"latitude":</v>
      </c>
      <c r="AF137" s="708" t="str">
        <f t="shared" si="252"/>
        <v>"latitude":</v>
      </c>
      <c r="AG137" s="708" t="str">
        <f t="shared" si="252"/>
        <v>"latitude":</v>
      </c>
      <c r="AH137" s="708" t="str">
        <f t="shared" si="252"/>
        <v>"latitude":</v>
      </c>
      <c r="AI137" s="708" t="str">
        <f t="shared" si="252"/>
        <v>"latitude":</v>
      </c>
      <c r="AJ137" s="708" t="str">
        <f t="shared" si="252"/>
        <v>"latitude":</v>
      </c>
      <c r="AK137" s="708" t="str">
        <f t="shared" si="252"/>
        <v>"latitude":</v>
      </c>
      <c r="AL137" s="708" t="str">
        <f t="shared" si="252"/>
        <v>"latitude":</v>
      </c>
      <c r="AM137" s="708" t="str">
        <f t="shared" si="252"/>
        <v>"latitude":</v>
      </c>
      <c r="AN137" s="708" t="str">
        <f t="shared" si="252"/>
        <v>"latitude":</v>
      </c>
      <c r="AO137" s="708" t="str">
        <f t="shared" si="252"/>
        <v>"latitude":</v>
      </c>
      <c r="AP137" s="708" t="str">
        <f t="shared" si="252"/>
        <v>"latitude":</v>
      </c>
      <c r="AQ137" s="708" t="str">
        <f t="shared" si="252"/>
        <v>"latitude":</v>
      </c>
      <c r="AR137" s="708" t="str">
        <f t="shared" si="252"/>
        <v>"latitude":</v>
      </c>
      <c r="AS137" s="708" t="str">
        <f t="shared" si="252"/>
        <v>"latitude":</v>
      </c>
      <c r="AT137" s="708" t="str">
        <f t="shared" si="252"/>
        <v>"latitude":</v>
      </c>
      <c r="AU137" s="708" t="str">
        <f t="shared" si="252"/>
        <v>"latitude":</v>
      </c>
      <c r="AV137" s="708" t="str">
        <f t="shared" si="252"/>
        <v>"latitude":</v>
      </c>
      <c r="AW137" s="708" t="str">
        <f t="shared" si="252"/>
        <v>"latitude":</v>
      </c>
      <c r="AX137" s="708" t="str">
        <f t="shared" si="252"/>
        <v>"latitude":</v>
      </c>
      <c r="AY137" s="708" t="str">
        <f t="shared" si="252"/>
        <v>"latitude":</v>
      </c>
      <c r="AZ137" s="708" t="str">
        <f t="shared" si="252"/>
        <v>"latitude":</v>
      </c>
      <c r="BA137" s="708" t="str">
        <f t="shared" si="252"/>
        <v>"latitude":</v>
      </c>
      <c r="BB137" s="708" t="str">
        <f t="shared" si="252"/>
        <v>"latitude":</v>
      </c>
      <c r="BC137" s="709" t="str">
        <f t="shared" si="252"/>
        <v>"latitude":</v>
      </c>
      <c r="BD137" s="577" t="str">
        <f>""</f>
        <v/>
      </c>
      <c r="BF137" s="772">
        <v>14</v>
      </c>
      <c r="BG137" s="773">
        <v>0</v>
      </c>
      <c r="BH137" s="772" t="str">
        <f t="shared" si="197"/>
        <v/>
      </c>
      <c r="BI137" s="773">
        <f t="shared" si="198"/>
        <v>0</v>
      </c>
      <c r="BJ137" s="773" t="str">
        <f t="shared" si="197"/>
        <v/>
      </c>
      <c r="BK137" s="773">
        <f t="shared" si="199"/>
        <v>0</v>
      </c>
      <c r="BL137" s="773" t="str">
        <f t="shared" ref="BL137" si="253">IFERROR(FIND("to",BK137,1),"")</f>
        <v/>
      </c>
      <c r="BM137" s="773">
        <f t="shared" si="201"/>
        <v>0</v>
      </c>
      <c r="BN137" s="772">
        <f t="shared" si="202"/>
        <v>2</v>
      </c>
      <c r="BO137" s="979">
        <f t="shared" si="225"/>
        <v>428</v>
      </c>
      <c r="BP137" s="979">
        <f t="shared" si="203"/>
        <v>428</v>
      </c>
      <c r="BQ137" s="979">
        <f t="shared" si="204"/>
        <v>428</v>
      </c>
      <c r="BR137" s="979">
        <f t="shared" si="205"/>
        <v>428</v>
      </c>
      <c r="BS137" s="999">
        <f t="shared" si="206"/>
        <v>428</v>
      </c>
      <c r="BT137" s="773" t="str">
        <f t="shared" si="207"/>
        <v>0</v>
      </c>
      <c r="BU137" s="773" t="str">
        <f t="shared" si="208"/>
        <v/>
      </c>
      <c r="BV137" s="773" t="str">
        <f t="shared" si="209"/>
        <v/>
      </c>
      <c r="BW137" s="773" t="str">
        <f t="shared" si="210"/>
        <v/>
      </c>
      <c r="BX137" s="773" t="str">
        <f t="shared" si="211"/>
        <v/>
      </c>
      <c r="BY137" s="774" t="str">
        <f t="shared" si="212"/>
        <v/>
      </c>
      <c r="BZ137" s="773">
        <f t="shared" si="213"/>
        <v>0</v>
      </c>
      <c r="CA137" s="773" t="str">
        <f t="shared" si="214"/>
        <v/>
      </c>
      <c r="CB137" s="773" t="str">
        <f t="shared" si="215"/>
        <v/>
      </c>
      <c r="CC137" s="773" t="str">
        <f t="shared" si="216"/>
        <v/>
      </c>
      <c r="CD137" s="773" t="str">
        <f t="shared" si="217"/>
        <v/>
      </c>
      <c r="CE137" s="774" t="str">
        <f t="shared" si="218"/>
        <v/>
      </c>
      <c r="CF137" s="772" t="str">
        <f t="shared" si="219"/>
        <v/>
      </c>
      <c r="CG137" s="773" t="str">
        <f t="shared" si="243"/>
        <v/>
      </c>
      <c r="CH137" s="772" t="str">
        <f t="shared" si="220"/>
        <v/>
      </c>
      <c r="CI137" s="773" t="str">
        <f t="shared" si="226"/>
        <v/>
      </c>
      <c r="CJ137" s="772" t="str">
        <f t="shared" si="221"/>
        <v/>
      </c>
      <c r="CK137" s="774" t="str">
        <f t="shared" si="222"/>
        <v/>
      </c>
      <c r="CL137" s="772">
        <v>14</v>
      </c>
      <c r="CM137" s="993" t="str">
        <f t="shared" si="244"/>
        <v/>
      </c>
      <c r="CN137" s="989" t="str">
        <f t="shared" si="244"/>
        <v/>
      </c>
      <c r="CO137" s="989" t="str">
        <f t="shared" si="244"/>
        <v/>
      </c>
      <c r="CP137" s="989" t="str">
        <f t="shared" si="244"/>
        <v/>
      </c>
      <c r="CQ137" s="989" t="str">
        <f t="shared" si="244"/>
        <v/>
      </c>
      <c r="CR137" s="989" t="str">
        <f t="shared" si="244"/>
        <v/>
      </c>
      <c r="CS137" s="989" t="str">
        <f t="shared" si="244"/>
        <v/>
      </c>
      <c r="CT137" s="989" t="str">
        <f t="shared" si="244"/>
        <v/>
      </c>
      <c r="CU137" s="989" t="str">
        <f t="shared" si="244"/>
        <v/>
      </c>
      <c r="CV137" s="989" t="str">
        <f t="shared" si="244"/>
        <v/>
      </c>
      <c r="CW137" s="989" t="str">
        <f t="shared" si="245"/>
        <v/>
      </c>
      <c r="CX137" s="989" t="str">
        <f t="shared" si="245"/>
        <v/>
      </c>
      <c r="CY137" s="989" t="str">
        <f t="shared" si="245"/>
        <v/>
      </c>
      <c r="CZ137" s="989" t="str">
        <f t="shared" si="245"/>
        <v/>
      </c>
      <c r="DA137" s="989" t="str">
        <f t="shared" si="245"/>
        <v/>
      </c>
      <c r="DB137" s="989" t="str">
        <f t="shared" si="245"/>
        <v/>
      </c>
      <c r="DC137" s="989" t="str">
        <f t="shared" si="245"/>
        <v/>
      </c>
      <c r="DD137" s="989" t="str">
        <f t="shared" si="245"/>
        <v/>
      </c>
      <c r="DE137" s="989" t="str">
        <f t="shared" si="245"/>
        <v/>
      </c>
      <c r="DF137" s="989" t="str">
        <f t="shared" si="245"/>
        <v/>
      </c>
      <c r="DG137" s="989" t="str">
        <f t="shared" si="246"/>
        <v/>
      </c>
      <c r="DH137" s="989" t="str">
        <f t="shared" si="246"/>
        <v/>
      </c>
      <c r="DI137" s="989" t="str">
        <f t="shared" si="246"/>
        <v/>
      </c>
      <c r="DJ137" s="989" t="str">
        <f t="shared" si="246"/>
        <v/>
      </c>
      <c r="DK137" s="989" t="str">
        <f t="shared" si="246"/>
        <v/>
      </c>
      <c r="DL137" s="989" t="str">
        <f t="shared" si="246"/>
        <v/>
      </c>
      <c r="DM137" s="989" t="str">
        <f t="shared" si="246"/>
        <v/>
      </c>
      <c r="DN137" s="989" t="str">
        <f t="shared" si="246"/>
        <v/>
      </c>
      <c r="DO137" s="989" t="str">
        <f t="shared" si="246"/>
        <v/>
      </c>
      <c r="DP137" s="989" t="str">
        <f t="shared" si="246"/>
        <v/>
      </c>
      <c r="DQ137" s="989" t="str">
        <f t="shared" si="247"/>
        <v/>
      </c>
      <c r="DR137" s="989" t="str">
        <f t="shared" si="247"/>
        <v/>
      </c>
      <c r="DS137" s="989" t="str">
        <f t="shared" si="247"/>
        <v/>
      </c>
      <c r="DT137" s="989" t="str">
        <f t="shared" si="247"/>
        <v/>
      </c>
      <c r="DU137" s="989" t="str">
        <f t="shared" si="247"/>
        <v/>
      </c>
      <c r="DV137" s="994" t="str">
        <f t="shared" si="247"/>
        <v/>
      </c>
    </row>
    <row r="138" spans="19:126" x14ac:dyDescent="0.2">
      <c r="S138" s="585"/>
      <c r="T138" s="710">
        <f t="shared" ref="T138:BC138" si="254">T40</f>
        <v>0.86867557570122089</v>
      </c>
      <c r="U138" s="711">
        <f t="shared" si="254"/>
        <v>0.81505619650702565</v>
      </c>
      <c r="V138" s="711">
        <f t="shared" si="254"/>
        <v>0.7366711796801767</v>
      </c>
      <c r="W138" s="711">
        <f t="shared" si="254"/>
        <v>0.63590334964725803</v>
      </c>
      <c r="X138" s="711">
        <f t="shared" si="254"/>
        <v>0.51581546906446607</v>
      </c>
      <c r="Y138" s="711">
        <f t="shared" si="254"/>
        <v>0.380056914917414</v>
      </c>
      <c r="Z138" s="711">
        <f t="shared" si="254"/>
        <v>0.23275264204860271</v>
      </c>
      <c r="AA138" s="711">
        <f t="shared" si="254"/>
        <v>7.8377848583379206E-2</v>
      </c>
      <c r="AB138" s="711">
        <f t="shared" si="254"/>
        <v>-7.8377848583379317E-2</v>
      </c>
      <c r="AC138" s="711">
        <f t="shared" si="254"/>
        <v>-0.23275264204860277</v>
      </c>
      <c r="AD138" s="711">
        <f t="shared" si="254"/>
        <v>-0.38005691491741389</v>
      </c>
      <c r="AE138" s="711">
        <f t="shared" si="254"/>
        <v>-0.51581546906446574</v>
      </c>
      <c r="AF138" s="711">
        <f t="shared" si="254"/>
        <v>-0.63590334964725803</v>
      </c>
      <c r="AG138" s="711">
        <f t="shared" si="254"/>
        <v>-0.73667117968017648</v>
      </c>
      <c r="AH138" s="711">
        <f t="shared" si="254"/>
        <v>-0.81505619650702565</v>
      </c>
      <c r="AI138" s="711">
        <f t="shared" si="254"/>
        <v>-0.86867557570122078</v>
      </c>
      <c r="AJ138" s="711">
        <f t="shared" si="254"/>
        <v>-0.8958991362307096</v>
      </c>
      <c r="AK138" s="711">
        <f t="shared" si="254"/>
        <v>-0.8958991362307096</v>
      </c>
      <c r="AL138" s="711">
        <f t="shared" si="254"/>
        <v>-0.868675575701221</v>
      </c>
      <c r="AM138" s="711">
        <f t="shared" si="254"/>
        <v>-0.81505619650702565</v>
      </c>
      <c r="AN138" s="711">
        <f t="shared" si="254"/>
        <v>-0.73667117968017692</v>
      </c>
      <c r="AO138" s="711">
        <f t="shared" si="254"/>
        <v>-0.63590334964725825</v>
      </c>
      <c r="AP138" s="711">
        <f t="shared" si="254"/>
        <v>-0.51581546906446629</v>
      </c>
      <c r="AQ138" s="711">
        <f t="shared" si="254"/>
        <v>-0.38005691491741445</v>
      </c>
      <c r="AR138" s="711">
        <f t="shared" si="254"/>
        <v>-0.23275264204860255</v>
      </c>
      <c r="AS138" s="711">
        <f t="shared" si="254"/>
        <v>-7.8377848583379331E-2</v>
      </c>
      <c r="AT138" s="711">
        <f t="shared" si="254"/>
        <v>7.8377848583378984E-2</v>
      </c>
      <c r="AU138" s="711">
        <f t="shared" si="254"/>
        <v>0.23275264204860305</v>
      </c>
      <c r="AV138" s="711">
        <f t="shared" si="254"/>
        <v>0.38005691491741422</v>
      </c>
      <c r="AW138" s="711">
        <f t="shared" si="254"/>
        <v>0.51581546906446596</v>
      </c>
      <c r="AX138" s="711">
        <f t="shared" si="254"/>
        <v>0.63590334964725781</v>
      </c>
      <c r="AY138" s="711">
        <f t="shared" si="254"/>
        <v>0.73667117968017648</v>
      </c>
      <c r="AZ138" s="711">
        <f t="shared" si="254"/>
        <v>0.81505619650702543</v>
      </c>
      <c r="BA138" s="711">
        <f t="shared" si="254"/>
        <v>0.86867557570122089</v>
      </c>
      <c r="BB138" s="711">
        <f t="shared" si="254"/>
        <v>0.8958991362307096</v>
      </c>
      <c r="BC138" s="712">
        <f t="shared" si="254"/>
        <v>0.89589913623070938</v>
      </c>
      <c r="BD138" s="577" t="str">
        <f>""</f>
        <v/>
      </c>
      <c r="BF138" s="772">
        <v>15</v>
      </c>
      <c r="BG138" s="773">
        <v>0</v>
      </c>
      <c r="BH138" s="772" t="str">
        <f t="shared" si="197"/>
        <v/>
      </c>
      <c r="BI138" s="773">
        <f t="shared" si="198"/>
        <v>0</v>
      </c>
      <c r="BJ138" s="773" t="str">
        <f t="shared" si="197"/>
        <v/>
      </c>
      <c r="BK138" s="773">
        <f t="shared" si="199"/>
        <v>0</v>
      </c>
      <c r="BL138" s="773" t="str">
        <f t="shared" ref="BL138" si="255">IFERROR(FIND("to",BK138,1),"")</f>
        <v/>
      </c>
      <c r="BM138" s="773">
        <f t="shared" si="201"/>
        <v>0</v>
      </c>
      <c r="BN138" s="772">
        <f t="shared" si="202"/>
        <v>2</v>
      </c>
      <c r="BO138" s="979">
        <f t="shared" si="225"/>
        <v>428</v>
      </c>
      <c r="BP138" s="979">
        <f t="shared" si="203"/>
        <v>428</v>
      </c>
      <c r="BQ138" s="979">
        <f t="shared" si="204"/>
        <v>428</v>
      </c>
      <c r="BR138" s="979">
        <f t="shared" si="205"/>
        <v>428</v>
      </c>
      <c r="BS138" s="999">
        <f t="shared" si="206"/>
        <v>428</v>
      </c>
      <c r="BT138" s="773" t="str">
        <f t="shared" si="207"/>
        <v>0</v>
      </c>
      <c r="BU138" s="773" t="str">
        <f t="shared" si="208"/>
        <v/>
      </c>
      <c r="BV138" s="773" t="str">
        <f t="shared" si="209"/>
        <v/>
      </c>
      <c r="BW138" s="773" t="str">
        <f t="shared" si="210"/>
        <v/>
      </c>
      <c r="BX138" s="773" t="str">
        <f t="shared" si="211"/>
        <v/>
      </c>
      <c r="BY138" s="774" t="str">
        <f t="shared" si="212"/>
        <v/>
      </c>
      <c r="BZ138" s="773">
        <f t="shared" si="213"/>
        <v>0</v>
      </c>
      <c r="CA138" s="773" t="str">
        <f t="shared" si="214"/>
        <v/>
      </c>
      <c r="CB138" s="773" t="str">
        <f t="shared" si="215"/>
        <v/>
      </c>
      <c r="CC138" s="773" t="str">
        <f t="shared" si="216"/>
        <v/>
      </c>
      <c r="CD138" s="773" t="str">
        <f t="shared" si="217"/>
        <v/>
      </c>
      <c r="CE138" s="774" t="str">
        <f t="shared" si="218"/>
        <v/>
      </c>
      <c r="CF138" s="772" t="str">
        <f t="shared" si="219"/>
        <v/>
      </c>
      <c r="CG138" s="773" t="str">
        <f t="shared" si="243"/>
        <v/>
      </c>
      <c r="CH138" s="772" t="str">
        <f t="shared" si="220"/>
        <v/>
      </c>
      <c r="CI138" s="773" t="str">
        <f t="shared" si="226"/>
        <v/>
      </c>
      <c r="CJ138" s="772" t="str">
        <f t="shared" si="221"/>
        <v/>
      </c>
      <c r="CK138" s="774" t="str">
        <f t="shared" si="222"/>
        <v/>
      </c>
      <c r="CL138" s="772">
        <v>15</v>
      </c>
      <c r="CM138" s="993" t="str">
        <f t="shared" si="244"/>
        <v/>
      </c>
      <c r="CN138" s="989" t="str">
        <f t="shared" si="244"/>
        <v/>
      </c>
      <c r="CO138" s="989" t="str">
        <f t="shared" si="244"/>
        <v/>
      </c>
      <c r="CP138" s="989" t="str">
        <f t="shared" si="244"/>
        <v/>
      </c>
      <c r="CQ138" s="989" t="str">
        <f t="shared" si="244"/>
        <v/>
      </c>
      <c r="CR138" s="989" t="str">
        <f t="shared" si="244"/>
        <v/>
      </c>
      <c r="CS138" s="989" t="str">
        <f t="shared" si="244"/>
        <v/>
      </c>
      <c r="CT138" s="989" t="str">
        <f t="shared" si="244"/>
        <v/>
      </c>
      <c r="CU138" s="989" t="str">
        <f t="shared" si="244"/>
        <v/>
      </c>
      <c r="CV138" s="989" t="str">
        <f t="shared" si="244"/>
        <v/>
      </c>
      <c r="CW138" s="989" t="str">
        <f t="shared" si="245"/>
        <v/>
      </c>
      <c r="CX138" s="989" t="str">
        <f t="shared" si="245"/>
        <v/>
      </c>
      <c r="CY138" s="989" t="str">
        <f t="shared" si="245"/>
        <v/>
      </c>
      <c r="CZ138" s="989" t="str">
        <f t="shared" si="245"/>
        <v/>
      </c>
      <c r="DA138" s="989" t="str">
        <f t="shared" si="245"/>
        <v/>
      </c>
      <c r="DB138" s="989" t="str">
        <f t="shared" si="245"/>
        <v/>
      </c>
      <c r="DC138" s="989" t="str">
        <f t="shared" si="245"/>
        <v/>
      </c>
      <c r="DD138" s="989" t="str">
        <f t="shared" si="245"/>
        <v/>
      </c>
      <c r="DE138" s="989" t="str">
        <f t="shared" si="245"/>
        <v/>
      </c>
      <c r="DF138" s="989" t="str">
        <f t="shared" si="245"/>
        <v/>
      </c>
      <c r="DG138" s="989" t="str">
        <f t="shared" si="246"/>
        <v/>
      </c>
      <c r="DH138" s="989" t="str">
        <f t="shared" si="246"/>
        <v/>
      </c>
      <c r="DI138" s="989" t="str">
        <f t="shared" si="246"/>
        <v/>
      </c>
      <c r="DJ138" s="989" t="str">
        <f t="shared" si="246"/>
        <v/>
      </c>
      <c r="DK138" s="989" t="str">
        <f t="shared" si="246"/>
        <v/>
      </c>
      <c r="DL138" s="989" t="str">
        <f t="shared" si="246"/>
        <v/>
      </c>
      <c r="DM138" s="989" t="str">
        <f t="shared" si="246"/>
        <v/>
      </c>
      <c r="DN138" s="989" t="str">
        <f t="shared" si="246"/>
        <v/>
      </c>
      <c r="DO138" s="989" t="str">
        <f t="shared" si="246"/>
        <v/>
      </c>
      <c r="DP138" s="989" t="str">
        <f t="shared" si="246"/>
        <v/>
      </c>
      <c r="DQ138" s="989" t="str">
        <f t="shared" si="247"/>
        <v/>
      </c>
      <c r="DR138" s="989" t="str">
        <f t="shared" si="247"/>
        <v/>
      </c>
      <c r="DS138" s="989" t="str">
        <f t="shared" si="247"/>
        <v/>
      </c>
      <c r="DT138" s="989" t="str">
        <f t="shared" si="247"/>
        <v/>
      </c>
      <c r="DU138" s="989" t="str">
        <f t="shared" si="247"/>
        <v/>
      </c>
      <c r="DV138" s="994" t="str">
        <f t="shared" si="247"/>
        <v/>
      </c>
    </row>
    <row r="139" spans="19:126" ht="13.5" thickBot="1" x14ac:dyDescent="0.25">
      <c r="S139" s="585"/>
      <c r="T139" s="707" t="str">
        <f>T128</f>
        <v>,"longitude":</v>
      </c>
      <c r="U139" s="708" t="str">
        <f t="shared" ref="U139:BC139" si="256">T139</f>
        <v>,"longitude":</v>
      </c>
      <c r="V139" s="708" t="str">
        <f t="shared" si="256"/>
        <v>,"longitude":</v>
      </c>
      <c r="W139" s="708" t="str">
        <f t="shared" si="256"/>
        <v>,"longitude":</v>
      </c>
      <c r="X139" s="708" t="str">
        <f t="shared" si="256"/>
        <v>,"longitude":</v>
      </c>
      <c r="Y139" s="708" t="str">
        <f t="shared" si="256"/>
        <v>,"longitude":</v>
      </c>
      <c r="Z139" s="708" t="str">
        <f t="shared" si="256"/>
        <v>,"longitude":</v>
      </c>
      <c r="AA139" s="708" t="str">
        <f t="shared" si="256"/>
        <v>,"longitude":</v>
      </c>
      <c r="AB139" s="708" t="str">
        <f t="shared" si="256"/>
        <v>,"longitude":</v>
      </c>
      <c r="AC139" s="708" t="str">
        <f t="shared" si="256"/>
        <v>,"longitude":</v>
      </c>
      <c r="AD139" s="708" t="str">
        <f t="shared" si="256"/>
        <v>,"longitude":</v>
      </c>
      <c r="AE139" s="708" t="str">
        <f t="shared" si="256"/>
        <v>,"longitude":</v>
      </c>
      <c r="AF139" s="708" t="str">
        <f t="shared" si="256"/>
        <v>,"longitude":</v>
      </c>
      <c r="AG139" s="708" t="str">
        <f t="shared" si="256"/>
        <v>,"longitude":</v>
      </c>
      <c r="AH139" s="708" t="str">
        <f t="shared" si="256"/>
        <v>,"longitude":</v>
      </c>
      <c r="AI139" s="708" t="str">
        <f t="shared" si="256"/>
        <v>,"longitude":</v>
      </c>
      <c r="AJ139" s="708" t="str">
        <f t="shared" si="256"/>
        <v>,"longitude":</v>
      </c>
      <c r="AK139" s="708" t="str">
        <f t="shared" si="256"/>
        <v>,"longitude":</v>
      </c>
      <c r="AL139" s="708" t="str">
        <f t="shared" si="256"/>
        <v>,"longitude":</v>
      </c>
      <c r="AM139" s="708" t="str">
        <f t="shared" si="256"/>
        <v>,"longitude":</v>
      </c>
      <c r="AN139" s="708" t="str">
        <f t="shared" si="256"/>
        <v>,"longitude":</v>
      </c>
      <c r="AO139" s="708" t="str">
        <f t="shared" si="256"/>
        <v>,"longitude":</v>
      </c>
      <c r="AP139" s="708" t="str">
        <f t="shared" si="256"/>
        <v>,"longitude":</v>
      </c>
      <c r="AQ139" s="708" t="str">
        <f t="shared" si="256"/>
        <v>,"longitude":</v>
      </c>
      <c r="AR139" s="708" t="str">
        <f t="shared" si="256"/>
        <v>,"longitude":</v>
      </c>
      <c r="AS139" s="708" t="str">
        <f t="shared" si="256"/>
        <v>,"longitude":</v>
      </c>
      <c r="AT139" s="708" t="str">
        <f t="shared" si="256"/>
        <v>,"longitude":</v>
      </c>
      <c r="AU139" s="708" t="str">
        <f t="shared" si="256"/>
        <v>,"longitude":</v>
      </c>
      <c r="AV139" s="708" t="str">
        <f t="shared" si="256"/>
        <v>,"longitude":</v>
      </c>
      <c r="AW139" s="708" t="str">
        <f t="shared" si="256"/>
        <v>,"longitude":</v>
      </c>
      <c r="AX139" s="708" t="str">
        <f t="shared" si="256"/>
        <v>,"longitude":</v>
      </c>
      <c r="AY139" s="708" t="str">
        <f t="shared" si="256"/>
        <v>,"longitude":</v>
      </c>
      <c r="AZ139" s="708" t="str">
        <f t="shared" si="256"/>
        <v>,"longitude":</v>
      </c>
      <c r="BA139" s="708" t="str">
        <f t="shared" si="256"/>
        <v>,"longitude":</v>
      </c>
      <c r="BB139" s="708" t="str">
        <f t="shared" si="256"/>
        <v>,"longitude":</v>
      </c>
      <c r="BC139" s="709" t="str">
        <f t="shared" si="256"/>
        <v>,"longitude":</v>
      </c>
      <c r="BD139" s="577" t="str">
        <f>""</f>
        <v/>
      </c>
      <c r="BF139" s="775">
        <v>16</v>
      </c>
      <c r="BG139" s="777">
        <v>0</v>
      </c>
      <c r="BH139" s="775" t="str">
        <f t="shared" si="197"/>
        <v/>
      </c>
      <c r="BI139" s="777">
        <f t="shared" si="198"/>
        <v>0</v>
      </c>
      <c r="BJ139" s="777" t="str">
        <f t="shared" si="197"/>
        <v/>
      </c>
      <c r="BK139" s="777">
        <f t="shared" si="199"/>
        <v>0</v>
      </c>
      <c r="BL139" s="777" t="str">
        <f t="shared" ref="BL139" si="257">IFERROR(FIND("to",BK139,1),"")</f>
        <v/>
      </c>
      <c r="BM139" s="777">
        <f t="shared" si="201"/>
        <v>0</v>
      </c>
      <c r="BN139" s="775">
        <f t="shared" si="202"/>
        <v>2</v>
      </c>
      <c r="BO139" s="980">
        <f t="shared" si="225"/>
        <v>428</v>
      </c>
      <c r="BP139" s="980">
        <f t="shared" si="203"/>
        <v>428</v>
      </c>
      <c r="BQ139" s="980">
        <f t="shared" si="204"/>
        <v>428</v>
      </c>
      <c r="BR139" s="980">
        <f t="shared" si="205"/>
        <v>428</v>
      </c>
      <c r="BS139" s="1000">
        <f t="shared" si="206"/>
        <v>428</v>
      </c>
      <c r="BT139" s="777" t="str">
        <f t="shared" si="207"/>
        <v>0</v>
      </c>
      <c r="BU139" s="777" t="str">
        <f t="shared" si="208"/>
        <v/>
      </c>
      <c r="BV139" s="777" t="str">
        <f t="shared" si="209"/>
        <v/>
      </c>
      <c r="BW139" s="777" t="str">
        <f t="shared" si="210"/>
        <v/>
      </c>
      <c r="BX139" s="777" t="str">
        <f t="shared" si="211"/>
        <v/>
      </c>
      <c r="BY139" s="776" t="str">
        <f t="shared" si="212"/>
        <v/>
      </c>
      <c r="BZ139" s="777">
        <f t="shared" si="213"/>
        <v>0</v>
      </c>
      <c r="CA139" s="777" t="str">
        <f t="shared" si="214"/>
        <v/>
      </c>
      <c r="CB139" s="777" t="str">
        <f t="shared" si="215"/>
        <v/>
      </c>
      <c r="CC139" s="777" t="str">
        <f t="shared" si="216"/>
        <v/>
      </c>
      <c r="CD139" s="777" t="str">
        <f t="shared" si="217"/>
        <v/>
      </c>
      <c r="CE139" s="776" t="str">
        <f t="shared" si="218"/>
        <v/>
      </c>
      <c r="CF139" s="775" t="str">
        <f t="shared" si="219"/>
        <v/>
      </c>
      <c r="CG139" s="777" t="str">
        <f t="shared" si="243"/>
        <v/>
      </c>
      <c r="CH139" s="775" t="str">
        <f t="shared" si="220"/>
        <v/>
      </c>
      <c r="CI139" s="777" t="str">
        <f t="shared" si="226"/>
        <v/>
      </c>
      <c r="CJ139" s="775" t="str">
        <f t="shared" si="221"/>
        <v/>
      </c>
      <c r="CK139" s="776" t="str">
        <f t="shared" si="222"/>
        <v/>
      </c>
      <c r="CL139" s="775">
        <v>16</v>
      </c>
      <c r="CM139" s="995" t="str">
        <f t="shared" si="244"/>
        <v/>
      </c>
      <c r="CN139" s="996" t="str">
        <f t="shared" si="244"/>
        <v/>
      </c>
      <c r="CO139" s="996" t="str">
        <f t="shared" si="244"/>
        <v/>
      </c>
      <c r="CP139" s="996" t="str">
        <f t="shared" si="244"/>
        <v/>
      </c>
      <c r="CQ139" s="996" t="str">
        <f t="shared" si="244"/>
        <v/>
      </c>
      <c r="CR139" s="996" t="str">
        <f t="shared" si="244"/>
        <v/>
      </c>
      <c r="CS139" s="996" t="str">
        <f t="shared" si="244"/>
        <v/>
      </c>
      <c r="CT139" s="996" t="str">
        <f t="shared" si="244"/>
        <v/>
      </c>
      <c r="CU139" s="996" t="str">
        <f t="shared" si="244"/>
        <v/>
      </c>
      <c r="CV139" s="996" t="str">
        <f t="shared" si="244"/>
        <v/>
      </c>
      <c r="CW139" s="996" t="str">
        <f t="shared" si="245"/>
        <v/>
      </c>
      <c r="CX139" s="996" t="str">
        <f t="shared" si="245"/>
        <v/>
      </c>
      <c r="CY139" s="996" t="str">
        <f t="shared" si="245"/>
        <v/>
      </c>
      <c r="CZ139" s="996" t="str">
        <f t="shared" si="245"/>
        <v/>
      </c>
      <c r="DA139" s="996" t="str">
        <f t="shared" si="245"/>
        <v/>
      </c>
      <c r="DB139" s="996" t="str">
        <f t="shared" si="245"/>
        <v/>
      </c>
      <c r="DC139" s="996" t="str">
        <f t="shared" si="245"/>
        <v/>
      </c>
      <c r="DD139" s="996" t="str">
        <f t="shared" si="245"/>
        <v/>
      </c>
      <c r="DE139" s="996" t="str">
        <f t="shared" si="245"/>
        <v/>
      </c>
      <c r="DF139" s="996" t="str">
        <f t="shared" si="245"/>
        <v/>
      </c>
      <c r="DG139" s="996" t="str">
        <f t="shared" si="246"/>
        <v/>
      </c>
      <c r="DH139" s="996" t="str">
        <f t="shared" si="246"/>
        <v/>
      </c>
      <c r="DI139" s="996" t="str">
        <f t="shared" si="246"/>
        <v/>
      </c>
      <c r="DJ139" s="996" t="str">
        <f t="shared" si="246"/>
        <v/>
      </c>
      <c r="DK139" s="996" t="str">
        <f t="shared" si="246"/>
        <v/>
      </c>
      <c r="DL139" s="996" t="str">
        <f t="shared" si="246"/>
        <v/>
      </c>
      <c r="DM139" s="996" t="str">
        <f t="shared" si="246"/>
        <v/>
      </c>
      <c r="DN139" s="996" t="str">
        <f t="shared" si="246"/>
        <v/>
      </c>
      <c r="DO139" s="996" t="str">
        <f t="shared" si="246"/>
        <v/>
      </c>
      <c r="DP139" s="996" t="str">
        <f t="shared" si="246"/>
        <v/>
      </c>
      <c r="DQ139" s="996" t="str">
        <f t="shared" si="247"/>
        <v/>
      </c>
      <c r="DR139" s="996" t="str">
        <f t="shared" si="247"/>
        <v/>
      </c>
      <c r="DS139" s="996" t="str">
        <f t="shared" si="247"/>
        <v/>
      </c>
      <c r="DT139" s="996" t="str">
        <f t="shared" si="247"/>
        <v/>
      </c>
      <c r="DU139" s="996" t="str">
        <f t="shared" si="247"/>
        <v/>
      </c>
      <c r="DV139" s="997" t="str">
        <f t="shared" si="247"/>
        <v/>
      </c>
    </row>
    <row r="140" spans="19:126" x14ac:dyDescent="0.2">
      <c r="S140" s="585"/>
      <c r="T140" s="710">
        <f t="shared" ref="T140:BC140" si="258">T41</f>
        <v>0.2327507215976371</v>
      </c>
      <c r="U140" s="711">
        <f t="shared" si="258"/>
        <v>0.38004855395397791</v>
      </c>
      <c r="V140" s="711">
        <f t="shared" si="258"/>
        <v>0.5157945673732075</v>
      </c>
      <c r="W140" s="711">
        <f t="shared" si="258"/>
        <v>0.63586418826989588</v>
      </c>
      <c r="X140" s="711">
        <f t="shared" si="258"/>
        <v>0.7366102972558326</v>
      </c>
      <c r="Y140" s="711">
        <f t="shared" si="258"/>
        <v>0.81497374065309858</v>
      </c>
      <c r="Z140" s="711">
        <f t="shared" si="258"/>
        <v>0.86857575451882618</v>
      </c>
      <c r="AA140" s="711">
        <f t="shared" si="258"/>
        <v>0.8957896341261582</v>
      </c>
      <c r="AB140" s="711">
        <f t="shared" si="258"/>
        <v>0.89578963412615886</v>
      </c>
      <c r="AC140" s="711">
        <f t="shared" si="258"/>
        <v>0.86857575451882763</v>
      </c>
      <c r="AD140" s="711">
        <f t="shared" si="258"/>
        <v>0.81497374065310069</v>
      </c>
      <c r="AE140" s="711">
        <f t="shared" si="258"/>
        <v>0.73661029725583527</v>
      </c>
      <c r="AF140" s="711">
        <f t="shared" si="258"/>
        <v>0.6358641882698981</v>
      </c>
      <c r="AG140" s="711">
        <f t="shared" si="258"/>
        <v>0.5157945673732095</v>
      </c>
      <c r="AH140" s="711">
        <f t="shared" si="258"/>
        <v>0.38004855395397896</v>
      </c>
      <c r="AI140" s="711">
        <f t="shared" si="258"/>
        <v>0.23275072159763774</v>
      </c>
      <c r="AJ140" s="711">
        <f t="shared" si="258"/>
        <v>7.837777524958732E-2</v>
      </c>
      <c r="AK140" s="711">
        <f t="shared" si="258"/>
        <v>-7.8377775249586654E-2</v>
      </c>
      <c r="AL140" s="711">
        <f t="shared" si="258"/>
        <v>-0.23275072159763674</v>
      </c>
      <c r="AM140" s="711">
        <f t="shared" si="258"/>
        <v>-0.3800485539539778</v>
      </c>
      <c r="AN140" s="711">
        <f t="shared" si="258"/>
        <v>-0.51579456737320728</v>
      </c>
      <c r="AO140" s="711">
        <f t="shared" si="258"/>
        <v>-0.63586418826989588</v>
      </c>
      <c r="AP140" s="711">
        <f t="shared" si="258"/>
        <v>-0.73661029725583238</v>
      </c>
      <c r="AQ140" s="711">
        <f t="shared" si="258"/>
        <v>-0.81497374065309847</v>
      </c>
      <c r="AR140" s="711">
        <f t="shared" si="258"/>
        <v>-0.86857575451882618</v>
      </c>
      <c r="AS140" s="711">
        <f t="shared" si="258"/>
        <v>-0.8957896341261582</v>
      </c>
      <c r="AT140" s="711">
        <f t="shared" si="258"/>
        <v>-0.89578963412615886</v>
      </c>
      <c r="AU140" s="711">
        <f t="shared" si="258"/>
        <v>-0.8685757545188274</v>
      </c>
      <c r="AV140" s="711">
        <f t="shared" si="258"/>
        <v>-0.81497374065310069</v>
      </c>
      <c r="AW140" s="711">
        <f t="shared" si="258"/>
        <v>-0.73661029725583493</v>
      </c>
      <c r="AX140" s="711">
        <f t="shared" si="258"/>
        <v>-0.63586418826989821</v>
      </c>
      <c r="AY140" s="711">
        <f t="shared" si="258"/>
        <v>-0.51579456737320961</v>
      </c>
      <c r="AZ140" s="711">
        <f t="shared" si="258"/>
        <v>-0.38004855395397946</v>
      </c>
      <c r="BA140" s="711">
        <f t="shared" si="258"/>
        <v>-0.23275072159763743</v>
      </c>
      <c r="BB140" s="711">
        <f t="shared" si="258"/>
        <v>-7.8377775249587042E-2</v>
      </c>
      <c r="BC140" s="712">
        <f t="shared" si="258"/>
        <v>7.8377775249587334E-2</v>
      </c>
      <c r="BD140" s="577" t="str">
        <f>""</f>
        <v/>
      </c>
      <c r="BO140" s="675"/>
      <c r="BP140" s="675"/>
      <c r="BQ140" s="675"/>
      <c r="BR140" s="675"/>
      <c r="BS140" s="675"/>
      <c r="BT140" s="675"/>
      <c r="BU140" s="675"/>
      <c r="BV140" s="675"/>
      <c r="CP140" s="675"/>
      <c r="CQ140" s="675"/>
      <c r="CR140" s="675"/>
    </row>
    <row r="141" spans="19:126" ht="13.5" thickBot="1" x14ac:dyDescent="0.25">
      <c r="S141" s="642" t="s">
        <v>500</v>
      </c>
      <c r="T141" s="654" t="str">
        <f t="shared" ref="T141:BC141" si="259">IF(T133="",T130,CONCATENATE(T130,T131,T132,T133,T134,T135,T136,T137,T138,T139,T140,"}}],"))</f>
        <v>{"direction":10,"fetchPoints":[{"left":{"latitude":0.00307203909640892,"longitude":0.000268768595102742},"right":{"latitude":0.00297869674290592,"longitude":0.0007981393863477}},{"left":{"latitude":0.89589913623071,"longitude":0.0783874311275482},"right":{"latitude":0.868675575701221,"longitude":0.232750721597637}}],</v>
      </c>
      <c r="U141" s="655" t="str">
        <f t="shared" si="259"/>
        <v>{"direction":20,"fetchPoints":[{"left":{"latitude":0.00297869674290592,"longitude":0.000798139387503729},"right":{"latitude":0.00279484819610047,"longitude":0.00130325911648073}},{"left":{"latitude":0.868675575701221,"longitude":0.232779395422981},"right":{"latitude":0.815056196507026,"longitude":0.380048553953978}}],</v>
      </c>
      <c r="V141" s="655" t="str">
        <f t="shared" si="259"/>
        <v>{"direction":30,"fetchPoints":[{"left":{"latitude":0.00279484819610047,"longitude":0.00130325911836838},"right":{"latitude":0.00252607960109505,"longitude":0.00176877997766961}},{"left":{"latitude":0.815056196507026,"longitude":0.380095373340785},"right":{"latitude":0.736671179680177,"longitude":0.515794567373208}}],</v>
      </c>
      <c r="W141" s="655" t="str">
        <f t="shared" si="259"/>
        <v>{"direction":40,"fetchPoints":[{"left":{"latitude":0.00252607960109505,"longitude":0.00176877998023152},"right":{"latitude":0.0021805573556912,"longitude":0.00218055735411203}},{"left":{"latitude":0.736671179680177,"longitude":0.515858108172444},"right":{"latitude":0.635903349647258,"longitude":0.635864188269896}}],</v>
      </c>
      <c r="X141" s="655" t="str">
        <f t="shared" si="259"/>
        <v>{"direction":50,"fetchPoints":[{"left":{"latitude":0.0021805573556912,"longitude":0.00218055735727036},"right":{"latitude":0.00176877997851245,"longitude":0.00252607959863997}},{"left":{"latitude":0.635903349647258,"longitude":0.635942518261085},"right":{"latitude":0.515815469064466,"longitude":0.736610297255833}}],</v>
      </c>
      <c r="Y141" s="655" t="str">
        <f t="shared" si="259"/>
        <v>{"direction":60,"fetchPoints":[{"left":{"latitude":0.00176877997851245,"longitude":0.00252607960229875},"right":{"latitude":0.00130325911681788,"longitude":0.00279484819277541}},{"left":{"latitude":0.515815469064466,"longitude":0.736701035276063},"right":{"latitude":0.380056914917414,"longitude":0.814973740653099}}],</v>
      </c>
      <c r="Z141" s="655" t="str">
        <f t="shared" si="259"/>
        <v>{"direction":70,"fetchPoints":[{"left":{"latitude":0.00130325911681788,"longitude":0.00279484819682348},"right":{"latitude":0.000798139386425139,"longitude":0.00297869673888057}},{"left":{"latitude":0.380056914917414,"longitude":0.815074129254374},"right":{"latitude":0.232752642048603,"longitude":0.868575754518826}}],</v>
      </c>
      <c r="AA141" s="655" t="str">
        <f t="shared" si="259"/>
        <v>{"direction":80,"fetchPoints":[{"left":{"latitude":0.000798139386425139,"longitude":0.00297869674319492},"right":{"latitude":0.000268768594716413,"longitude":0.00307203909199317}},{"left":{"latitude":0.232752642048603,"longitude":0.868682743863914},"right":{"latitude":0.0783778485833792,"longitude":0.895789634126158}}],</v>
      </c>
      <c r="AB141" s="655" t="str">
        <f t="shared" si="259"/>
        <v>{"direction":90,"fetchPoints":[{"left":{"latitude":0.000268768594716413,"longitude":0.00307203909644272},"right":{"latitude":-0.000268768594716414,"longitude":0.00307203909199317}},{"left":{"latitude":0.0783778485833792,"longitude":0.895899974543841},"right":{"latitude":-0.0783778485833793,"longitude":0.895789634126159}}],</v>
      </c>
      <c r="AC141" s="655" t="str">
        <f t="shared" si="259"/>
        <v>{"direction":100,"fetchPoints":[{"left":{"latitude":-0.000268768594716414,"longitude":0.00307203909644272},"right":{"latitude":-0.00079813938642514,"longitude":0.00297869673888057}},{"left":{"latitude":-0.0783778485833793,"longitude":0.895899974543841},"right":{"latitude":-0.232752642048603,"longitude":0.868575754518828}}],</v>
      </c>
      <c r="AD141" s="655" t="str">
        <f t="shared" si="259"/>
        <v>{"direction":110,"fetchPoints":[{"left":{"latitude":-0.00079813938642514,"longitude":0.00297869674319492},"right":{"latitude":-0.00130325911681788,"longitude":0.00279484819277541}},{"left":{"latitude":-0.232752642048603,"longitude":0.868682743863914},"right":{"latitude":-0.380056914917414,"longitude":0.814973740653101}}],</v>
      </c>
      <c r="AE141" s="655" t="str">
        <f t="shared" si="259"/>
        <v>{"direction":120,"fetchPoints":[{"left":{"latitude":-0.00130325911681788,"longitude":0.00279484819682348},"right":{"latitude":-0.00176877997851245,"longitude":0.00252607959863997}},{"left":{"latitude":-0.380056914917414,"longitude":0.815074129254374},"right":{"latitude":-0.515815469064466,"longitude":0.736610297255835}}],</v>
      </c>
      <c r="AF141" s="655" t="str">
        <f t="shared" si="259"/>
        <v>{"direction":130,"fetchPoints":[{"left":{"latitude":-0.00176877997851245,"longitude":0.00252607960229875},"right":{"latitude":-0.0021805573556912,"longitude":0.00218055735411203}},{"left":{"latitude":-0.515815469064466,"longitude":0.736701035276063},"right":{"latitude":-0.635903349647258,"longitude":0.635864188269898}}],</v>
      </c>
      <c r="AG141" s="655" t="str">
        <f t="shared" si="259"/>
        <v>{"direction":140,"fetchPoints":[{"left":{"latitude":-0.0021805573556912,"longitude":0.00218055735727036},"right":{"latitude":-0.00252607960109505,"longitude":0.00176877997766961}},{"left":{"latitude":-0.635903349647258,"longitude":0.635942518261085},"right":{"latitude":-0.736671179680176,"longitude":0.51579456737321}}],</v>
      </c>
      <c r="AH141" s="655" t="str">
        <f t="shared" si="259"/>
        <v>{"direction":150,"fetchPoints":[{"left":{"latitude":-0.00252607960109505,"longitude":0.00176877998023152},"right":{"latitude":-0.00279484819610047,"longitude":0.00130325911648073}},{"left":{"latitude":-0.736671179680176,"longitude":0.515858108172445},"right":{"latitude":-0.815056196507026,"longitude":0.380048553953979}}],</v>
      </c>
      <c r="AI141" s="655" t="str">
        <f t="shared" si="259"/>
        <v>{"direction":160,"fetchPoints":[{"left":{"latitude":-0.00279484819610047,"longitude":0.00130325911836838},"right":{"latitude":-0.00297869674290592,"longitude":0.000798139386347701}},{"left":{"latitude":-0.815056196507026,"longitude":0.380095373340785},"right":{"latitude":-0.868675575701221,"longitude":0.232750721597638}}],</v>
      </c>
      <c r="AJ141" s="655" t="str">
        <f t="shared" si="259"/>
        <v>{"direction":170,"fetchPoints":[{"left":{"latitude":-0.00297869674290592,"longitude":0.00079813938750373},"right":{"latitude":-0.00307203909640892,"longitude":0.000268768594713458}},{"left":{"latitude":-0.868675575701221,"longitude":0.232779395422981},"right":{"latitude":-0.89589913623071,"longitude":0.0783777752495873}}],</v>
      </c>
      <c r="AK141" s="655" t="str">
        <f t="shared" si="259"/>
        <v>{"direction":180,"fetchPoints":[{"left":{"latitude":-0.00307203909640892,"longitude":0.000268768595102743},"right":{"latitude":-0.00307203909640892,"longitude":-0.000268768594713456}},{"left":{"latitude":-0.89589913623071,"longitude":0.0783874311275487},"right":{"latitude":-0.89589913623071,"longitude":-0.0783777752495867}}],</v>
      </c>
      <c r="AL141" s="655" t="str">
        <f t="shared" si="259"/>
        <v>{"direction":190,"fetchPoints":[{"left":{"latitude":-0.00307203909640892,"longitude":-0.000268768595102741},"right":{"latitude":-0.00297869674290592,"longitude":-0.000798139386347699}},{"left":{"latitude":-0.89589913623071,"longitude":-0.078387431127548},"right":{"latitude":-0.868675575701221,"longitude":-0.232750721597637}}],</v>
      </c>
      <c r="AM141" s="655" t="str">
        <f t="shared" si="259"/>
        <v>{"direction":200,"fetchPoints":[{"left":{"latitude":-0.00297869674290592,"longitude":-0.000798139387503727},"right":{"latitude":-0.00279484819610047,"longitude":-0.00130325911648073}},{"left":{"latitude":-0.868675575701221,"longitude":-0.23277939542298},"right":{"latitude":-0.815056196507026,"longitude":-0.380048553953978}}],</v>
      </c>
      <c r="AN141" s="655" t="str">
        <f t="shared" si="259"/>
        <v>{"direction":210,"fetchPoints":[{"left":{"latitude":-0.00279484819610047,"longitude":-0.00130325911836838},"right":{"latitude":-0.00252607960109505,"longitude":-0.00176877997766961}},{"left":{"latitude":-0.815056196507026,"longitude":-0.380095373340785},"right":{"latitude":-0.736671179680177,"longitude":-0.515794567373207}}],</v>
      </c>
      <c r="AO141" s="655" t="str">
        <f t="shared" si="259"/>
        <v>{"direction":220,"fetchPoints":[{"left":{"latitude":-0.00252607960109505,"longitude":-0.00176877998023152},"right":{"latitude":-0.0021805573556912,"longitude":-0.00218055735411203}},{"left":{"latitude":-0.736671179680177,"longitude":-0.515858108172444},"right":{"latitude":-0.635903349647258,"longitude":-0.635864188269896}}],</v>
      </c>
      <c r="AP141" s="655" t="str">
        <f t="shared" si="259"/>
        <v>{"direction":230,"fetchPoints":[{"left":{"latitude":-0.0021805573556912,"longitude":-0.00218055735727036},"right":{"latitude":-0.00176877997851246,"longitude":-0.00252607959863997}},{"left":{"latitude":-0.635903349647258,"longitude":-0.635942518261085},"right":{"latitude":-0.515815469064466,"longitude":-0.736610297255832}}],</v>
      </c>
      <c r="AQ141" s="655" t="str">
        <f t="shared" si="259"/>
        <v>{"direction":240,"fetchPoints":[{"left":{"latitude":-0.00176877997851246,"longitude":-0.00252607960229875},"right":{"latitude":-0.00130325911681788,"longitude":-0.00279484819277541}},{"left":{"latitude":-0.515815469064466,"longitude":-0.736701035276063},"right":{"latitude":-0.380056914917414,"longitude":-0.814973740653098}}],</v>
      </c>
      <c r="AR141" s="655" t="str">
        <f t="shared" si="259"/>
        <v>{"direction":250,"fetchPoints":[{"left":{"latitude":-0.00130325911681788,"longitude":-0.00279484819682348},"right":{"latitude":-0.000798139386425139,"longitude":-0.00297869673888057}},{"left":{"latitude":-0.380056914917414,"longitude":-0.815074129254374},"right":{"latitude":-0.232752642048603,"longitude":-0.868575754518826}}],</v>
      </c>
      <c r="AS141" s="655" t="str">
        <f t="shared" si="259"/>
        <v>{"direction":260,"fetchPoints":[{"left":{"latitude":-0.000798139386425139,"longitude":-0.00297869674319492},"right":{"latitude":-0.000268768594716414,"longitude":-0.00307203909199317}},{"left":{"latitude":-0.232752642048603,"longitude":-0.868682743863914},"right":{"latitude":-0.0783778485833793,"longitude":-0.895789634126158}}],</v>
      </c>
      <c r="AT141" s="655" t="str">
        <f t="shared" si="259"/>
        <v>{"direction":270,"fetchPoints":[{"left":{"latitude":-0.000268768594716414,"longitude":-0.00307203909644272},"right":{"latitude":0.000268768594716413,"longitude":-0.00307203909199317}},{"left":{"latitude":-0.0783778485833793,"longitude":-0.895899974543841},"right":{"latitude":0.078377848583379,"longitude":-0.895789634126159}}],</v>
      </c>
      <c r="AU141" s="655" t="str">
        <f t="shared" si="259"/>
        <v>{"direction":280,"fetchPoints":[{"left":{"latitude":0.000268768594716413,"longitude":-0.00307203909644272},"right":{"latitude":0.00079813938642514,"longitude":-0.00297869673888057}},{"left":{"latitude":0.078377848583379,"longitude":-0.895899974543841},"right":{"latitude":0.232752642048603,"longitude":-0.868575754518827}}],</v>
      </c>
      <c r="AV141" s="655" t="str">
        <f t="shared" si="259"/>
        <v>{"direction":290,"fetchPoints":[{"left":{"latitude":0.00079813938642514,"longitude":-0.00297869674319492},"right":{"latitude":0.00130325911681788,"longitude":-0.00279484819277541}},{"left":{"latitude":0.232752642048603,"longitude":-0.868682743863914},"right":{"latitude":0.380056914917414,"longitude":-0.814973740653101}}],</v>
      </c>
      <c r="AW141" s="655" t="str">
        <f t="shared" si="259"/>
        <v>{"direction":300,"fetchPoints":[{"left":{"latitude":0.00130325911681788,"longitude":-0.00279484819682348},"right":{"latitude":0.00176877997851245,"longitude":-0.00252607959863997}},{"left":{"latitude":0.380056914917414,"longitude":-0.815074129254374},"right":{"latitude":0.515815469064466,"longitude":-0.736610297255835}}],</v>
      </c>
      <c r="AX141" s="655" t="str">
        <f t="shared" si="259"/>
        <v>{"direction":310,"fetchPoints":[{"left":{"latitude":0.00176877997851245,"longitude":-0.00252607960229875},"right":{"latitude":0.0021805573556912,"longitude":-0.00218055735411203}},{"left":{"latitude":0.515815469064466,"longitude":-0.736701035276063},"right":{"latitude":0.635903349647258,"longitude":-0.635864188269898}}],</v>
      </c>
      <c r="AY141" s="655" t="str">
        <f t="shared" si="259"/>
        <v>{"direction":320,"fetchPoints":[{"left":{"latitude":0.0021805573556912,"longitude":-0.00218055735727036},"right":{"latitude":0.00252607960109505,"longitude":-0.00176877997766961}},{"left":{"latitude":0.635903349647258,"longitude":-0.635942518261085},"right":{"latitude":0.736671179680176,"longitude":-0.51579456737321}}],</v>
      </c>
      <c r="AZ141" s="655" t="str">
        <f t="shared" si="259"/>
        <v>{"direction":330,"fetchPoints":[{"left":{"latitude":0.00252607960109505,"longitude":-0.00176877998023152},"right":{"latitude":0.00279484819610047,"longitude":-0.00130325911648074}},{"left":{"latitude":0.736671179680176,"longitude":-0.515858108172445},"right":{"latitude":0.815056196507025,"longitude":-0.380048553953979}}],</v>
      </c>
      <c r="BA141" s="655" t="str">
        <f t="shared" si="259"/>
        <v>{"direction":340,"fetchPoints":[{"left":{"latitude":0.00279484819610047,"longitude":-0.00130325911836838},"right":{"latitude":0.00297869674290592,"longitude":-0.0007981393863477}},{"left":{"latitude":0.815056196507025,"longitude":-0.380095373340785},"right":{"latitude":0.868675575701221,"longitude":-0.232750721597637}}],</v>
      </c>
      <c r="BB141" s="655" t="str">
        <f t="shared" si="259"/>
        <v>{"direction":350,"fetchPoints":[{"left":{"latitude":0.00297869674290592,"longitude":-0.000798139387503728},"right":{"latitude":0.00307203909640892,"longitude":-0.000268768594713457}},{"left":{"latitude":0.868675575701221,"longitude":-0.232779395422981},"right":{"latitude":0.89589913623071,"longitude":-0.078377775249587}}],</v>
      </c>
      <c r="BC141" s="656" t="str">
        <f t="shared" si="259"/>
        <v>{"direction":360,"fetchPoints":[{"left":{"latitude":0.00307203909640892,"longitude":-0.000268768595102742},"right":{"latitude":0.00307203909640892,"longitude":0.000268768594713458}},{"left":{"latitude":0.89589913623071,"longitude":-0.0783874311275484},"right":{"latitude":0.895899136230709,"longitude":0.0783777752495873}}],</v>
      </c>
      <c r="BD141" s="577" t="str">
        <f>""</f>
        <v/>
      </c>
      <c r="BO141" s="675"/>
      <c r="BP141" s="675"/>
      <c r="BQ141" s="675"/>
      <c r="BR141" s="675"/>
      <c r="BS141" s="675"/>
      <c r="BT141" s="675"/>
      <c r="BU141" s="675"/>
      <c r="BV141" s="675"/>
      <c r="CP141" s="675"/>
      <c r="CQ141" s="675"/>
      <c r="CR141" s="675"/>
    </row>
    <row r="142" spans="19:126" x14ac:dyDescent="0.2">
      <c r="S142" s="642" t="s">
        <v>481</v>
      </c>
      <c r="T142" s="880" t="str">
        <f t="shared" ref="T142:BC142" si="260">INDEX($BF$20:$BZ$20,MATCH(T$64,$BF$4:$BZ$4,0))</f>
        <v>"zNaughts":[0.005]}</v>
      </c>
      <c r="U142" s="880" t="str">
        <f t="shared" si="260"/>
        <v>"zNaughts":[0.005]}</v>
      </c>
      <c r="V142" s="880" t="str">
        <f t="shared" si="260"/>
        <v>"zNaughts":[0.005]}</v>
      </c>
      <c r="W142" s="880" t="str">
        <f t="shared" si="260"/>
        <v>"zNaughts":[0.005]}</v>
      </c>
      <c r="X142" s="880" t="str">
        <f t="shared" si="260"/>
        <v>"zNaughts":[0.005]}</v>
      </c>
      <c r="Y142" s="880" t="str">
        <f t="shared" si="260"/>
        <v>"zNaughts":[0.005]}</v>
      </c>
      <c r="Z142" s="880" t="str">
        <f t="shared" si="260"/>
        <v>"zNaughts":[0.005]}</v>
      </c>
      <c r="AA142" s="880" t="str">
        <f t="shared" si="260"/>
        <v>"zNaughts":[0.005]}</v>
      </c>
      <c r="AB142" s="880" t="str">
        <f t="shared" si="260"/>
        <v>"zNaughts":[0.005]}</v>
      </c>
      <c r="AC142" s="880" t="str">
        <f t="shared" si="260"/>
        <v>"zNaughts":[0.005]}</v>
      </c>
      <c r="AD142" s="880" t="str">
        <f t="shared" si="260"/>
        <v>"zNaughts":[0.005]}</v>
      </c>
      <c r="AE142" s="880" t="str">
        <f t="shared" si="260"/>
        <v>"zNaughts":[0.005]}</v>
      </c>
      <c r="AF142" s="880" t="str">
        <f t="shared" si="260"/>
        <v>"zNaughts":[0.005]}</v>
      </c>
      <c r="AG142" s="880" t="str">
        <f t="shared" si="260"/>
        <v>"zNaughts":[0.005]}</v>
      </c>
      <c r="AH142" s="880" t="str">
        <f t="shared" si="260"/>
        <v>"zNaughts":[0.005]}</v>
      </c>
      <c r="AI142" s="880" t="str">
        <f t="shared" si="260"/>
        <v>"zNaughts":[0.005]}</v>
      </c>
      <c r="AJ142" s="880" t="str">
        <f t="shared" si="260"/>
        <v>"zNaughts":[0.005]}</v>
      </c>
      <c r="AK142" s="880" t="str">
        <f t="shared" si="260"/>
        <v>"zNaughts":[0.005]}</v>
      </c>
      <c r="AL142" s="880" t="str">
        <f t="shared" si="260"/>
        <v>"zNaughts":[0.005]}</v>
      </c>
      <c r="AM142" s="880" t="str">
        <f t="shared" si="260"/>
        <v>"zNaughts":[0.005]}</v>
      </c>
      <c r="AN142" s="880" t="str">
        <f t="shared" si="260"/>
        <v>"zNaughts":[0.005]}</v>
      </c>
      <c r="AO142" s="880" t="str">
        <f t="shared" si="260"/>
        <v>"zNaughts":[0.005]}</v>
      </c>
      <c r="AP142" s="880" t="str">
        <f t="shared" si="260"/>
        <v>"zNaughts":[0.005]}</v>
      </c>
      <c r="AQ142" s="880" t="str">
        <f t="shared" si="260"/>
        <v>"zNaughts":[0.005]}</v>
      </c>
      <c r="AR142" s="880" t="str">
        <f t="shared" si="260"/>
        <v>"zNaughts":[0.005]}</v>
      </c>
      <c r="AS142" s="880" t="str">
        <f t="shared" si="260"/>
        <v>"zNaughts":[0.005]}</v>
      </c>
      <c r="AT142" s="880" t="str">
        <f t="shared" si="260"/>
        <v>"zNaughts":[0.005]}</v>
      </c>
      <c r="AU142" s="880" t="str">
        <f t="shared" si="260"/>
        <v>"zNaughts":[0.005]}</v>
      </c>
      <c r="AV142" s="880" t="str">
        <f t="shared" si="260"/>
        <v>"zNaughts":[0.005]}</v>
      </c>
      <c r="AW142" s="880" t="str">
        <f t="shared" si="260"/>
        <v>"zNaughts":[0.005]}</v>
      </c>
      <c r="AX142" s="880" t="str">
        <f t="shared" si="260"/>
        <v>"zNaughts":[0.005]}</v>
      </c>
      <c r="AY142" s="880" t="str">
        <f t="shared" si="260"/>
        <v>"zNaughts":[0.005]}</v>
      </c>
      <c r="AZ142" s="880" t="str">
        <f t="shared" si="260"/>
        <v>"zNaughts":[0.005]}</v>
      </c>
      <c r="BA142" s="880" t="str">
        <f t="shared" si="260"/>
        <v>"zNaughts":[0.005]}</v>
      </c>
      <c r="BB142" s="880" t="str">
        <f t="shared" si="260"/>
        <v>"zNaughts":[0.005]}</v>
      </c>
      <c r="BC142" s="881" t="str">
        <f t="shared" si="260"/>
        <v>"zNaughts":[0.005]}</v>
      </c>
      <c r="BD142" s="577" t="str">
        <f>""</f>
        <v/>
      </c>
      <c r="BO142" s="675"/>
      <c r="BP142" s="675"/>
      <c r="BQ142" s="675"/>
      <c r="BR142" s="675"/>
      <c r="BS142" s="675"/>
      <c r="BT142" s="675"/>
      <c r="BU142" s="675"/>
      <c r="BV142" s="675"/>
      <c r="CP142" s="675"/>
      <c r="CQ142" s="675"/>
      <c r="CR142" s="675"/>
    </row>
    <row r="143" spans="19:126" ht="13.5" thickBot="1" x14ac:dyDescent="0.25">
      <c r="S143" s="676" t="s">
        <v>495</v>
      </c>
      <c r="T143" s="883" t="str">
        <f t="shared" ref="T143:BB143" si="261">CONCATENATE(T141,T142,",")</f>
        <v>{"direction":10,"fetchPoints":[{"left":{"latitude":0.00307203909640892,"longitude":0.000268768595102742},"right":{"latitude":0.00297869674290592,"longitude":0.0007981393863477}},{"left":{"latitude":0.89589913623071,"longitude":0.0783874311275482},"right":{"latitude":0.868675575701221,"longitude":0.232750721597637}}],"zNaughts":[0.005]},</v>
      </c>
      <c r="U143" s="883" t="str">
        <f t="shared" si="261"/>
        <v>{"direction":20,"fetchPoints":[{"left":{"latitude":0.00297869674290592,"longitude":0.000798139387503729},"right":{"latitude":0.00279484819610047,"longitude":0.00130325911648073}},{"left":{"latitude":0.868675575701221,"longitude":0.232779395422981},"right":{"latitude":0.815056196507026,"longitude":0.380048553953978}}],"zNaughts":[0.005]},</v>
      </c>
      <c r="V143" s="883" t="str">
        <f t="shared" si="261"/>
        <v>{"direction":30,"fetchPoints":[{"left":{"latitude":0.00279484819610047,"longitude":0.00130325911836838},"right":{"latitude":0.00252607960109505,"longitude":0.00176877997766961}},{"left":{"latitude":0.815056196507026,"longitude":0.380095373340785},"right":{"latitude":0.736671179680177,"longitude":0.515794567373208}}],"zNaughts":[0.005]},</v>
      </c>
      <c r="W143" s="883" t="str">
        <f t="shared" si="261"/>
        <v>{"direction":40,"fetchPoints":[{"left":{"latitude":0.00252607960109505,"longitude":0.00176877998023152},"right":{"latitude":0.0021805573556912,"longitude":0.00218055735411203}},{"left":{"latitude":0.736671179680177,"longitude":0.515858108172444},"right":{"latitude":0.635903349647258,"longitude":0.635864188269896}}],"zNaughts":[0.005]},</v>
      </c>
      <c r="X143" s="883" t="str">
        <f t="shared" si="261"/>
        <v>{"direction":50,"fetchPoints":[{"left":{"latitude":0.0021805573556912,"longitude":0.00218055735727036},"right":{"latitude":0.00176877997851245,"longitude":0.00252607959863997}},{"left":{"latitude":0.635903349647258,"longitude":0.635942518261085},"right":{"latitude":0.515815469064466,"longitude":0.736610297255833}}],"zNaughts":[0.005]},</v>
      </c>
      <c r="Y143" s="883" t="str">
        <f t="shared" si="261"/>
        <v>{"direction":60,"fetchPoints":[{"left":{"latitude":0.00176877997851245,"longitude":0.00252607960229875},"right":{"latitude":0.00130325911681788,"longitude":0.00279484819277541}},{"left":{"latitude":0.515815469064466,"longitude":0.736701035276063},"right":{"latitude":0.380056914917414,"longitude":0.814973740653099}}],"zNaughts":[0.005]},</v>
      </c>
      <c r="Z143" s="883" t="str">
        <f t="shared" si="261"/>
        <v>{"direction":70,"fetchPoints":[{"left":{"latitude":0.00130325911681788,"longitude":0.00279484819682348},"right":{"latitude":0.000798139386425139,"longitude":0.00297869673888057}},{"left":{"latitude":0.380056914917414,"longitude":0.815074129254374},"right":{"latitude":0.232752642048603,"longitude":0.868575754518826}}],"zNaughts":[0.005]},</v>
      </c>
      <c r="AA143" s="883" t="str">
        <f t="shared" si="261"/>
        <v>{"direction":80,"fetchPoints":[{"left":{"latitude":0.000798139386425139,"longitude":0.00297869674319492},"right":{"latitude":0.000268768594716413,"longitude":0.00307203909199317}},{"left":{"latitude":0.232752642048603,"longitude":0.868682743863914},"right":{"latitude":0.0783778485833792,"longitude":0.895789634126158}}],"zNaughts":[0.005]},</v>
      </c>
      <c r="AB143" s="883" t="str">
        <f t="shared" si="261"/>
        <v>{"direction":90,"fetchPoints":[{"left":{"latitude":0.000268768594716413,"longitude":0.00307203909644272},"right":{"latitude":-0.000268768594716414,"longitude":0.00307203909199317}},{"left":{"latitude":0.0783778485833792,"longitude":0.895899974543841},"right":{"latitude":-0.0783778485833793,"longitude":0.895789634126159}}],"zNaughts":[0.005]},</v>
      </c>
      <c r="AC143" s="883" t="str">
        <f t="shared" si="261"/>
        <v>{"direction":100,"fetchPoints":[{"left":{"latitude":-0.000268768594716414,"longitude":0.00307203909644272},"right":{"latitude":-0.00079813938642514,"longitude":0.00297869673888057}},{"left":{"latitude":-0.0783778485833793,"longitude":0.895899974543841},"right":{"latitude":-0.232752642048603,"longitude":0.868575754518828}}],"zNaughts":[0.005]},</v>
      </c>
      <c r="AD143" s="883" t="str">
        <f t="shared" si="261"/>
        <v>{"direction":110,"fetchPoints":[{"left":{"latitude":-0.00079813938642514,"longitude":0.00297869674319492},"right":{"latitude":-0.00130325911681788,"longitude":0.00279484819277541}},{"left":{"latitude":-0.232752642048603,"longitude":0.868682743863914},"right":{"latitude":-0.380056914917414,"longitude":0.814973740653101}}],"zNaughts":[0.005]},</v>
      </c>
      <c r="AE143" s="883" t="str">
        <f t="shared" si="261"/>
        <v>{"direction":120,"fetchPoints":[{"left":{"latitude":-0.00130325911681788,"longitude":0.00279484819682348},"right":{"latitude":-0.00176877997851245,"longitude":0.00252607959863997}},{"left":{"latitude":-0.380056914917414,"longitude":0.815074129254374},"right":{"latitude":-0.515815469064466,"longitude":0.736610297255835}}],"zNaughts":[0.005]},</v>
      </c>
      <c r="AF143" s="883" t="str">
        <f t="shared" si="261"/>
        <v>{"direction":130,"fetchPoints":[{"left":{"latitude":-0.00176877997851245,"longitude":0.00252607960229875},"right":{"latitude":-0.0021805573556912,"longitude":0.00218055735411203}},{"left":{"latitude":-0.515815469064466,"longitude":0.736701035276063},"right":{"latitude":-0.635903349647258,"longitude":0.635864188269898}}],"zNaughts":[0.005]},</v>
      </c>
      <c r="AG143" s="883" t="str">
        <f t="shared" si="261"/>
        <v>{"direction":140,"fetchPoints":[{"left":{"latitude":-0.0021805573556912,"longitude":0.00218055735727036},"right":{"latitude":-0.00252607960109505,"longitude":0.00176877997766961}},{"left":{"latitude":-0.635903349647258,"longitude":0.635942518261085},"right":{"latitude":-0.736671179680176,"longitude":0.51579456737321}}],"zNaughts":[0.005]},</v>
      </c>
      <c r="AH143" s="883" t="str">
        <f t="shared" si="261"/>
        <v>{"direction":150,"fetchPoints":[{"left":{"latitude":-0.00252607960109505,"longitude":0.00176877998023152},"right":{"latitude":-0.00279484819610047,"longitude":0.00130325911648073}},{"left":{"latitude":-0.736671179680176,"longitude":0.515858108172445},"right":{"latitude":-0.815056196507026,"longitude":0.380048553953979}}],"zNaughts":[0.005]},</v>
      </c>
      <c r="AI143" s="883" t="str">
        <f t="shared" si="261"/>
        <v>{"direction":160,"fetchPoints":[{"left":{"latitude":-0.00279484819610047,"longitude":0.00130325911836838},"right":{"latitude":-0.00297869674290592,"longitude":0.000798139386347701}},{"left":{"latitude":-0.815056196507026,"longitude":0.380095373340785},"right":{"latitude":-0.868675575701221,"longitude":0.232750721597638}}],"zNaughts":[0.005]},</v>
      </c>
      <c r="AJ143" s="883" t="str">
        <f t="shared" si="261"/>
        <v>{"direction":170,"fetchPoints":[{"left":{"latitude":-0.00297869674290592,"longitude":0.00079813938750373},"right":{"latitude":-0.00307203909640892,"longitude":0.000268768594713458}},{"left":{"latitude":-0.868675575701221,"longitude":0.232779395422981},"right":{"latitude":-0.89589913623071,"longitude":0.0783777752495873}}],"zNaughts":[0.005]},</v>
      </c>
      <c r="AK143" s="883" t="str">
        <f t="shared" si="261"/>
        <v>{"direction":180,"fetchPoints":[{"left":{"latitude":-0.00307203909640892,"longitude":0.000268768595102743},"right":{"latitude":-0.00307203909640892,"longitude":-0.000268768594713456}},{"left":{"latitude":-0.89589913623071,"longitude":0.0783874311275487},"right":{"latitude":-0.89589913623071,"longitude":-0.0783777752495867}}],"zNaughts":[0.005]},</v>
      </c>
      <c r="AL143" s="883" t="str">
        <f t="shared" si="261"/>
        <v>{"direction":190,"fetchPoints":[{"left":{"latitude":-0.00307203909640892,"longitude":-0.000268768595102741},"right":{"latitude":-0.00297869674290592,"longitude":-0.000798139386347699}},{"left":{"latitude":-0.89589913623071,"longitude":-0.078387431127548},"right":{"latitude":-0.868675575701221,"longitude":-0.232750721597637}}],"zNaughts":[0.005]},</v>
      </c>
      <c r="AM143" s="883" t="str">
        <f t="shared" si="261"/>
        <v>{"direction":200,"fetchPoints":[{"left":{"latitude":-0.00297869674290592,"longitude":-0.000798139387503727},"right":{"latitude":-0.00279484819610047,"longitude":-0.00130325911648073}},{"left":{"latitude":-0.868675575701221,"longitude":-0.23277939542298},"right":{"latitude":-0.815056196507026,"longitude":-0.380048553953978}}],"zNaughts":[0.005]},</v>
      </c>
      <c r="AN143" s="883" t="str">
        <f t="shared" si="261"/>
        <v>{"direction":210,"fetchPoints":[{"left":{"latitude":-0.00279484819610047,"longitude":-0.00130325911836838},"right":{"latitude":-0.00252607960109505,"longitude":-0.00176877997766961}},{"left":{"latitude":-0.815056196507026,"longitude":-0.380095373340785},"right":{"latitude":-0.736671179680177,"longitude":-0.515794567373207}}],"zNaughts":[0.005]},</v>
      </c>
      <c r="AO143" s="883" t="str">
        <f t="shared" si="261"/>
        <v>{"direction":220,"fetchPoints":[{"left":{"latitude":-0.00252607960109505,"longitude":-0.00176877998023152},"right":{"latitude":-0.0021805573556912,"longitude":-0.00218055735411203}},{"left":{"latitude":-0.736671179680177,"longitude":-0.515858108172444},"right":{"latitude":-0.635903349647258,"longitude":-0.635864188269896}}],"zNaughts":[0.005]},</v>
      </c>
      <c r="AP143" s="883" t="str">
        <f t="shared" si="261"/>
        <v>{"direction":230,"fetchPoints":[{"left":{"latitude":-0.0021805573556912,"longitude":-0.00218055735727036},"right":{"latitude":-0.00176877997851246,"longitude":-0.00252607959863997}},{"left":{"latitude":-0.635903349647258,"longitude":-0.635942518261085},"right":{"latitude":-0.515815469064466,"longitude":-0.736610297255832}}],"zNaughts":[0.005]},</v>
      </c>
      <c r="AQ143" s="883" t="str">
        <f t="shared" si="261"/>
        <v>{"direction":240,"fetchPoints":[{"left":{"latitude":-0.00176877997851246,"longitude":-0.00252607960229875},"right":{"latitude":-0.00130325911681788,"longitude":-0.00279484819277541}},{"left":{"latitude":-0.515815469064466,"longitude":-0.736701035276063},"right":{"latitude":-0.380056914917414,"longitude":-0.814973740653098}}],"zNaughts":[0.005]},</v>
      </c>
      <c r="AR143" s="883" t="str">
        <f t="shared" si="261"/>
        <v>{"direction":250,"fetchPoints":[{"left":{"latitude":-0.00130325911681788,"longitude":-0.00279484819682348},"right":{"latitude":-0.000798139386425139,"longitude":-0.00297869673888057}},{"left":{"latitude":-0.380056914917414,"longitude":-0.815074129254374},"right":{"latitude":-0.232752642048603,"longitude":-0.868575754518826}}],"zNaughts":[0.005]},</v>
      </c>
      <c r="AS143" s="883" t="str">
        <f t="shared" si="261"/>
        <v>{"direction":260,"fetchPoints":[{"left":{"latitude":-0.000798139386425139,"longitude":-0.00297869674319492},"right":{"latitude":-0.000268768594716414,"longitude":-0.00307203909199317}},{"left":{"latitude":-0.232752642048603,"longitude":-0.868682743863914},"right":{"latitude":-0.0783778485833793,"longitude":-0.895789634126158}}],"zNaughts":[0.005]},</v>
      </c>
      <c r="AT143" s="883" t="str">
        <f t="shared" si="261"/>
        <v>{"direction":270,"fetchPoints":[{"left":{"latitude":-0.000268768594716414,"longitude":-0.00307203909644272},"right":{"latitude":0.000268768594716413,"longitude":-0.00307203909199317}},{"left":{"latitude":-0.0783778485833793,"longitude":-0.895899974543841},"right":{"latitude":0.078377848583379,"longitude":-0.895789634126159}}],"zNaughts":[0.005]},</v>
      </c>
      <c r="AU143" s="883" t="str">
        <f t="shared" si="261"/>
        <v>{"direction":280,"fetchPoints":[{"left":{"latitude":0.000268768594716413,"longitude":-0.00307203909644272},"right":{"latitude":0.00079813938642514,"longitude":-0.00297869673888057}},{"left":{"latitude":0.078377848583379,"longitude":-0.895899974543841},"right":{"latitude":0.232752642048603,"longitude":-0.868575754518827}}],"zNaughts":[0.005]},</v>
      </c>
      <c r="AV143" s="883" t="str">
        <f t="shared" si="261"/>
        <v>{"direction":290,"fetchPoints":[{"left":{"latitude":0.00079813938642514,"longitude":-0.00297869674319492},"right":{"latitude":0.00130325911681788,"longitude":-0.00279484819277541}},{"left":{"latitude":0.232752642048603,"longitude":-0.868682743863914},"right":{"latitude":0.380056914917414,"longitude":-0.814973740653101}}],"zNaughts":[0.005]},</v>
      </c>
      <c r="AW143" s="883" t="str">
        <f t="shared" si="261"/>
        <v>{"direction":300,"fetchPoints":[{"left":{"latitude":0.00130325911681788,"longitude":-0.00279484819682348},"right":{"latitude":0.00176877997851245,"longitude":-0.00252607959863997}},{"left":{"latitude":0.380056914917414,"longitude":-0.815074129254374},"right":{"latitude":0.515815469064466,"longitude":-0.736610297255835}}],"zNaughts":[0.005]},</v>
      </c>
      <c r="AX143" s="883" t="str">
        <f t="shared" si="261"/>
        <v>{"direction":310,"fetchPoints":[{"left":{"latitude":0.00176877997851245,"longitude":-0.00252607960229875},"right":{"latitude":0.0021805573556912,"longitude":-0.00218055735411203}},{"left":{"latitude":0.515815469064466,"longitude":-0.736701035276063},"right":{"latitude":0.635903349647258,"longitude":-0.635864188269898}}],"zNaughts":[0.005]},</v>
      </c>
      <c r="AY143" s="883" t="str">
        <f t="shared" si="261"/>
        <v>{"direction":320,"fetchPoints":[{"left":{"latitude":0.0021805573556912,"longitude":-0.00218055735727036},"right":{"latitude":0.00252607960109505,"longitude":-0.00176877997766961}},{"left":{"latitude":0.635903349647258,"longitude":-0.635942518261085},"right":{"latitude":0.736671179680176,"longitude":-0.51579456737321}}],"zNaughts":[0.005]},</v>
      </c>
      <c r="AZ143" s="883" t="str">
        <f t="shared" si="261"/>
        <v>{"direction":330,"fetchPoints":[{"left":{"latitude":0.00252607960109505,"longitude":-0.00176877998023152},"right":{"latitude":0.00279484819610047,"longitude":-0.00130325911648074}},{"left":{"latitude":0.736671179680176,"longitude":-0.515858108172445},"right":{"latitude":0.815056196507025,"longitude":-0.380048553953979}}],"zNaughts":[0.005]},</v>
      </c>
      <c r="BA143" s="883" t="str">
        <f t="shared" si="261"/>
        <v>{"direction":340,"fetchPoints":[{"left":{"latitude":0.00279484819610047,"longitude":-0.00130325911836838},"right":{"latitude":0.00297869674290592,"longitude":-0.0007981393863477}},{"left":{"latitude":0.815056196507025,"longitude":-0.380095373340785},"right":{"latitude":0.868675575701221,"longitude":-0.232750721597637}}],"zNaughts":[0.005]},</v>
      </c>
      <c r="BB143" s="883" t="str">
        <f t="shared" si="261"/>
        <v>{"direction":350,"fetchPoints":[{"left":{"latitude":0.00297869674290592,"longitude":-0.000798139387503728},"right":{"latitude":0.00307203909640892,"longitude":-0.000268768594713457}},{"left":{"latitude":0.868675575701221,"longitude":-0.232779395422981},"right":{"latitude":0.89589913623071,"longitude":-0.078377775249587}}],"zNaughts":[0.005]},</v>
      </c>
      <c r="BC143" s="884" t="str">
        <f>CONCATENATE(BC141,BC142,"],")</f>
        <v>{"direction":360,"fetchPoints":[{"left":{"latitude":0.00307203909640892,"longitude":-0.000268768595102742},"right":{"latitude":0.00307203909640892,"longitude":0.000268768594713458}},{"left":{"latitude":0.89589913623071,"longitude":-0.0783874311275484},"right":{"latitude":0.895899136230709,"longitude":0.0783777752495873}}],"zNaughts":[0.005]}],</v>
      </c>
      <c r="BD143" s="577" t="str">
        <f>""</f>
        <v/>
      </c>
      <c r="BO143" s="675"/>
      <c r="BP143" s="675"/>
      <c r="BQ143" s="675"/>
      <c r="BR143" s="675"/>
      <c r="BS143" s="675"/>
      <c r="BT143" s="675"/>
      <c r="BU143" s="675"/>
      <c r="BV143" s="675"/>
      <c r="CP143" s="675"/>
      <c r="CQ143" s="675"/>
      <c r="CR143" s="675"/>
    </row>
    <row r="144" spans="19:126" x14ac:dyDescent="0.2">
      <c r="BD144" s="851"/>
      <c r="BE144" s="851"/>
      <c r="BF144" s="851"/>
      <c r="BG144" s="851"/>
      <c r="BH144" s="851"/>
      <c r="BI144" s="851"/>
      <c r="BJ144" s="851"/>
      <c r="BK144" s="851"/>
      <c r="BL144" s="851"/>
      <c r="BM144" s="851"/>
      <c r="BN144" s="851"/>
      <c r="BO144" s="851"/>
      <c r="BP144" s="851"/>
      <c r="BQ144" s="851"/>
      <c r="BR144" s="851"/>
      <c r="BS144" s="851"/>
      <c r="BT144" s="851"/>
      <c r="BU144" s="851"/>
      <c r="BV144" s="851"/>
      <c r="BW144" s="851"/>
      <c r="BX144" s="851"/>
      <c r="BY144" s="851"/>
      <c r="BZ144" s="851"/>
      <c r="CA144" s="851"/>
      <c r="CB144" s="851"/>
      <c r="CC144" s="851"/>
      <c r="CD144" s="851"/>
      <c r="CE144" s="851"/>
      <c r="CF144" s="851"/>
      <c r="CG144" s="851"/>
      <c r="CH144" s="851"/>
      <c r="CI144" s="851"/>
      <c r="CJ144" s="851"/>
      <c r="CK144" s="851"/>
      <c r="CL144" s="851"/>
      <c r="CM144" s="851"/>
      <c r="CN144" s="851"/>
      <c r="CO144" s="851"/>
      <c r="CP144" s="851"/>
      <c r="CQ144" s="851"/>
      <c r="CR144" s="851"/>
      <c r="CS144" s="851"/>
      <c r="CT144" s="851"/>
      <c r="CU144" s="851"/>
      <c r="CV144" s="851"/>
      <c r="CW144" s="851"/>
      <c r="CX144" s="851"/>
    </row>
    <row r="145" spans="56:102" x14ac:dyDescent="0.2">
      <c r="BD145" s="851"/>
      <c r="BE145" s="851"/>
      <c r="BF145" s="851"/>
      <c r="BG145" s="851"/>
      <c r="BH145" s="851"/>
      <c r="BI145" s="851"/>
      <c r="BJ145" s="851"/>
      <c r="BK145" s="851"/>
      <c r="BL145" s="851"/>
      <c r="BM145" s="851"/>
      <c r="BN145" s="851"/>
      <c r="BO145" s="851"/>
      <c r="BP145" s="851"/>
      <c r="BQ145" s="851"/>
      <c r="BR145" s="851"/>
      <c r="BS145" s="851"/>
      <c r="BT145" s="851"/>
      <c r="BU145" s="851"/>
      <c r="BV145" s="851"/>
      <c r="BW145" s="851"/>
      <c r="BX145" s="851"/>
      <c r="BY145" s="851"/>
      <c r="BZ145" s="851"/>
      <c r="CA145" s="851"/>
      <c r="CB145" s="851"/>
      <c r="CC145" s="851"/>
      <c r="CD145" s="851"/>
      <c r="CE145" s="851"/>
      <c r="CF145" s="851"/>
      <c r="CG145" s="851"/>
      <c r="CH145" s="851"/>
      <c r="CI145" s="851"/>
      <c r="CJ145" s="851"/>
      <c r="CK145" s="851"/>
      <c r="CL145" s="851"/>
      <c r="CM145" s="851"/>
      <c r="CN145" s="851"/>
      <c r="CO145" s="851"/>
      <c r="CP145" s="851"/>
      <c r="CQ145" s="851"/>
      <c r="CR145" s="851"/>
      <c r="CS145" s="851"/>
      <c r="CT145" s="851"/>
      <c r="CU145" s="851"/>
      <c r="CV145" s="851"/>
      <c r="CW145" s="851"/>
      <c r="CX145" s="851"/>
    </row>
    <row r="146" spans="56:102" x14ac:dyDescent="0.2">
      <c r="BD146" s="851"/>
      <c r="BE146" s="851"/>
      <c r="BF146" s="851"/>
      <c r="BG146" s="851"/>
      <c r="BH146" s="851"/>
      <c r="BI146" s="851"/>
      <c r="BJ146" s="851"/>
      <c r="BK146" s="851"/>
      <c r="BL146" s="851"/>
      <c r="BM146" s="851"/>
      <c r="BN146" s="851"/>
      <c r="BO146" s="851"/>
      <c r="BP146" s="851"/>
      <c r="BQ146" s="851"/>
      <c r="BR146" s="851"/>
      <c r="BS146" s="851"/>
      <c r="BT146" s="851"/>
      <c r="BU146" s="851"/>
      <c r="BV146" s="851"/>
      <c r="BW146" s="851"/>
      <c r="BX146" s="851"/>
      <c r="BY146" s="851"/>
      <c r="BZ146" s="851"/>
      <c r="CA146" s="851"/>
      <c r="CB146" s="851"/>
      <c r="CC146" s="851"/>
      <c r="CD146" s="851"/>
      <c r="CE146" s="851"/>
      <c r="CF146" s="851"/>
      <c r="CG146" s="851"/>
      <c r="CH146" s="851"/>
      <c r="CI146" s="851"/>
      <c r="CJ146" s="851"/>
      <c r="CK146" s="851"/>
      <c r="CL146" s="851"/>
      <c r="CM146" s="851"/>
      <c r="CN146" s="851"/>
      <c r="CO146" s="851"/>
      <c r="CP146" s="851"/>
      <c r="CQ146" s="851"/>
      <c r="CR146" s="851"/>
      <c r="CS146" s="851"/>
      <c r="CT146" s="851"/>
      <c r="CU146" s="851"/>
      <c r="CV146" s="851"/>
      <c r="CW146" s="851"/>
      <c r="CX146" s="851"/>
    </row>
    <row r="147" spans="56:102" x14ac:dyDescent="0.2">
      <c r="BD147" s="851"/>
      <c r="BE147" s="851"/>
      <c r="BF147" s="851"/>
      <c r="BG147" s="851"/>
      <c r="BH147" s="851"/>
      <c r="BI147" s="851"/>
      <c r="BJ147" s="851"/>
      <c r="BK147" s="851"/>
      <c r="BL147" s="851"/>
      <c r="BM147" s="851"/>
      <c r="BN147" s="851"/>
      <c r="BO147" s="851"/>
      <c r="BP147" s="851"/>
      <c r="BQ147" s="851"/>
      <c r="BR147" s="851"/>
      <c r="BS147" s="851"/>
      <c r="BT147" s="851"/>
      <c r="BU147" s="851"/>
      <c r="BV147" s="851"/>
      <c r="BW147" s="851"/>
      <c r="BX147" s="851"/>
      <c r="BY147" s="851"/>
      <c r="BZ147" s="851"/>
      <c r="CA147" s="851"/>
      <c r="CB147" s="851"/>
      <c r="CC147" s="851"/>
      <c r="CD147" s="851"/>
      <c r="CE147" s="851"/>
      <c r="CF147" s="851"/>
      <c r="CG147" s="851"/>
      <c r="CH147" s="851"/>
      <c r="CI147" s="851"/>
      <c r="CJ147" s="851"/>
      <c r="CK147" s="851"/>
      <c r="CL147" s="851"/>
      <c r="CM147" s="851"/>
      <c r="CN147" s="851"/>
      <c r="CO147" s="851"/>
      <c r="CP147" s="851"/>
      <c r="CQ147" s="851"/>
      <c r="CR147" s="851"/>
      <c r="CS147" s="851"/>
      <c r="CT147" s="851"/>
      <c r="CU147" s="851"/>
      <c r="CV147" s="851"/>
      <c r="CW147" s="851"/>
      <c r="CX147" s="851"/>
    </row>
    <row r="148" spans="56:102" x14ac:dyDescent="0.2">
      <c r="BD148" s="851"/>
      <c r="BE148" s="851"/>
      <c r="BF148" s="851"/>
      <c r="BG148" s="851"/>
      <c r="BH148" s="851"/>
      <c r="BI148" s="851"/>
      <c r="BJ148" s="851"/>
      <c r="BK148" s="851"/>
      <c r="BL148" s="851"/>
      <c r="BM148" s="851"/>
      <c r="BN148" s="851"/>
      <c r="BO148" s="851"/>
      <c r="BP148" s="851"/>
      <c r="BQ148" s="851"/>
      <c r="BR148" s="851"/>
      <c r="BS148" s="851"/>
      <c r="BT148" s="851"/>
      <c r="BU148" s="851"/>
      <c r="BV148" s="851"/>
      <c r="BW148" s="851"/>
      <c r="BX148" s="851"/>
      <c r="BY148" s="851"/>
      <c r="BZ148" s="851"/>
      <c r="CA148" s="851"/>
      <c r="CB148" s="851"/>
      <c r="CC148" s="851"/>
      <c r="CD148" s="851"/>
      <c r="CE148" s="851"/>
      <c r="CF148" s="851"/>
      <c r="CG148" s="851"/>
      <c r="CH148" s="851"/>
      <c r="CI148" s="851"/>
      <c r="CJ148" s="851"/>
      <c r="CK148" s="851"/>
      <c r="CL148" s="851"/>
      <c r="CM148" s="851"/>
      <c r="CN148" s="851"/>
      <c r="CO148" s="851"/>
      <c r="CP148" s="851"/>
      <c r="CQ148" s="851"/>
      <c r="CR148" s="851"/>
      <c r="CS148" s="851"/>
      <c r="CT148" s="851"/>
      <c r="CU148" s="851"/>
      <c r="CV148" s="851"/>
      <c r="CW148" s="851"/>
      <c r="CX148" s="851"/>
    </row>
    <row r="149" spans="56:102" x14ac:dyDescent="0.2">
      <c r="BD149" s="851"/>
      <c r="BE149" s="851"/>
      <c r="BF149" s="851"/>
      <c r="BG149" s="851"/>
      <c r="BH149" s="851"/>
      <c r="BI149" s="851"/>
      <c r="BJ149" s="851"/>
      <c r="BK149" s="851"/>
      <c r="BL149" s="851"/>
      <c r="BM149" s="851"/>
      <c r="BN149" s="851"/>
      <c r="BO149" s="851"/>
      <c r="BP149" s="851"/>
      <c r="BQ149" s="851"/>
      <c r="BR149" s="851"/>
      <c r="BS149" s="851"/>
      <c r="BT149" s="851"/>
      <c r="BU149" s="851"/>
      <c r="BV149" s="851"/>
      <c r="BW149" s="851"/>
      <c r="BX149" s="851"/>
      <c r="BY149" s="851"/>
      <c r="BZ149" s="851"/>
      <c r="CA149" s="851"/>
      <c r="CB149" s="851"/>
      <c r="CC149" s="851"/>
      <c r="CD149" s="851"/>
      <c r="CE149" s="851"/>
      <c r="CF149" s="851"/>
      <c r="CG149" s="851"/>
      <c r="CH149" s="851"/>
      <c r="CI149" s="851"/>
      <c r="CJ149" s="851"/>
      <c r="CK149" s="851"/>
      <c r="CL149" s="851"/>
      <c r="CM149" s="851"/>
      <c r="CN149" s="851"/>
      <c r="CO149" s="851"/>
      <c r="CP149" s="851"/>
      <c r="CQ149" s="851"/>
      <c r="CR149" s="851"/>
      <c r="CS149" s="851"/>
      <c r="CT149" s="851"/>
      <c r="CU149" s="851"/>
      <c r="CV149" s="851"/>
      <c r="CW149" s="851"/>
      <c r="CX149" s="851"/>
    </row>
    <row r="150" spans="56:102" x14ac:dyDescent="0.2">
      <c r="BD150" s="851"/>
      <c r="BE150" s="851"/>
      <c r="BF150" s="851"/>
      <c r="BG150" s="851"/>
      <c r="BH150" s="851"/>
      <c r="BI150" s="851"/>
      <c r="BJ150" s="851"/>
      <c r="BK150" s="851"/>
      <c r="BL150" s="851"/>
      <c r="BM150" s="851"/>
      <c r="BN150" s="851"/>
      <c r="BO150" s="851"/>
      <c r="BP150" s="851"/>
      <c r="BQ150" s="851"/>
      <c r="BR150" s="851"/>
      <c r="BS150" s="851"/>
      <c r="BT150" s="851"/>
      <c r="BU150" s="851"/>
      <c r="BV150" s="851"/>
      <c r="BW150" s="851"/>
      <c r="BX150" s="851"/>
      <c r="BY150" s="851"/>
      <c r="BZ150" s="851"/>
      <c r="CA150" s="851"/>
      <c r="CB150" s="851"/>
      <c r="CC150" s="851"/>
      <c r="CD150" s="851"/>
      <c r="CE150" s="851"/>
      <c r="CF150" s="851"/>
      <c r="CG150" s="851"/>
      <c r="CH150" s="851"/>
      <c r="CI150" s="851"/>
      <c r="CJ150" s="851"/>
      <c r="CK150" s="851"/>
      <c r="CL150" s="851"/>
      <c r="CM150" s="851"/>
      <c r="CN150" s="851"/>
      <c r="CO150" s="851"/>
      <c r="CP150" s="851"/>
      <c r="CQ150" s="851"/>
      <c r="CR150" s="851"/>
      <c r="CS150" s="851"/>
      <c r="CT150" s="851"/>
      <c r="CU150" s="851"/>
      <c r="CV150" s="851"/>
      <c r="CW150" s="851"/>
      <c r="CX150" s="851"/>
    </row>
    <row r="151" spans="56:102" x14ac:dyDescent="0.2">
      <c r="BD151" s="851"/>
      <c r="BE151" s="851"/>
      <c r="BF151" s="851"/>
      <c r="BG151" s="851"/>
      <c r="BH151" s="851"/>
      <c r="BI151" s="851"/>
      <c r="BJ151" s="851"/>
      <c r="BK151" s="851"/>
      <c r="BL151" s="851"/>
      <c r="BM151" s="851"/>
      <c r="BN151" s="851"/>
      <c r="BO151" s="851"/>
      <c r="BP151" s="851"/>
      <c r="BQ151" s="851"/>
      <c r="BR151" s="851"/>
      <c r="BS151" s="851"/>
      <c r="BT151" s="851"/>
      <c r="BU151" s="851"/>
      <c r="BV151" s="851"/>
      <c r="BW151" s="851"/>
      <c r="BX151" s="851"/>
      <c r="BY151" s="851"/>
      <c r="BZ151" s="851"/>
      <c r="CA151" s="851"/>
      <c r="CB151" s="851"/>
      <c r="CC151" s="851"/>
      <c r="CD151" s="851"/>
      <c r="CE151" s="851"/>
      <c r="CF151" s="851"/>
      <c r="CG151" s="851"/>
      <c r="CH151" s="851"/>
      <c r="CI151" s="851"/>
      <c r="CJ151" s="851"/>
      <c r="CK151" s="851"/>
      <c r="CL151" s="851"/>
      <c r="CM151" s="851"/>
      <c r="CN151" s="851"/>
      <c r="CO151" s="851"/>
      <c r="CP151" s="851"/>
      <c r="CQ151" s="851"/>
      <c r="CR151" s="851"/>
      <c r="CS151" s="851"/>
      <c r="CT151" s="851"/>
      <c r="CU151" s="851"/>
      <c r="CV151" s="851"/>
      <c r="CW151" s="851"/>
      <c r="CX151" s="851"/>
    </row>
    <row r="152" spans="56:102" x14ac:dyDescent="0.2">
      <c r="BD152" s="851"/>
      <c r="BE152" s="851"/>
      <c r="BF152" s="851"/>
      <c r="BG152" s="851"/>
      <c r="BH152" s="851"/>
      <c r="BI152" s="851"/>
      <c r="BJ152" s="851"/>
      <c r="BK152" s="851"/>
      <c r="BL152" s="851"/>
      <c r="BM152" s="851"/>
      <c r="BN152" s="851"/>
      <c r="BO152" s="851"/>
      <c r="BP152" s="851"/>
      <c r="BQ152" s="851"/>
      <c r="BR152" s="851"/>
      <c r="BS152" s="851"/>
      <c r="BT152" s="851"/>
      <c r="BU152" s="851"/>
      <c r="BV152" s="851"/>
      <c r="BW152" s="851"/>
      <c r="BX152" s="851"/>
      <c r="BY152" s="851"/>
      <c r="BZ152" s="851"/>
      <c r="CA152" s="851"/>
      <c r="CB152" s="851"/>
      <c r="CC152" s="851"/>
      <c r="CD152" s="851"/>
      <c r="CE152" s="851"/>
      <c r="CF152" s="851"/>
      <c r="CG152" s="851"/>
      <c r="CH152" s="851"/>
      <c r="CI152" s="851"/>
      <c r="CJ152" s="851"/>
      <c r="CK152" s="851"/>
      <c r="CL152" s="851"/>
      <c r="CM152" s="851"/>
      <c r="CN152" s="851"/>
      <c r="CO152" s="851"/>
      <c r="CP152" s="851"/>
      <c r="CQ152" s="851"/>
      <c r="CR152" s="851"/>
      <c r="CS152" s="851"/>
      <c r="CT152" s="851"/>
      <c r="CU152" s="851"/>
      <c r="CV152" s="851"/>
      <c r="CW152" s="851"/>
      <c r="CX152" s="851"/>
    </row>
    <row r="153" spans="56:102" x14ac:dyDescent="0.2">
      <c r="BD153" s="851"/>
      <c r="BE153" s="851"/>
      <c r="BF153" s="851"/>
      <c r="BG153" s="851"/>
      <c r="BH153" s="851"/>
      <c r="BI153" s="851"/>
      <c r="BJ153" s="851"/>
      <c r="BK153" s="851"/>
      <c r="BL153" s="851"/>
      <c r="BM153" s="851"/>
      <c r="BN153" s="851"/>
      <c r="BO153" s="851"/>
      <c r="BP153" s="851"/>
      <c r="BQ153" s="851"/>
      <c r="BR153" s="851"/>
      <c r="BS153" s="851"/>
      <c r="BT153" s="851"/>
      <c r="BU153" s="851"/>
      <c r="BV153" s="851"/>
      <c r="BW153" s="851"/>
      <c r="BX153" s="851"/>
      <c r="BY153" s="851"/>
      <c r="BZ153" s="851"/>
      <c r="CA153" s="851"/>
      <c r="CB153" s="851"/>
      <c r="CC153" s="851"/>
      <c r="CD153" s="851"/>
      <c r="CE153" s="851"/>
      <c r="CF153" s="851"/>
      <c r="CG153" s="851"/>
      <c r="CH153" s="851"/>
      <c r="CI153" s="851"/>
      <c r="CJ153" s="851"/>
      <c r="CK153" s="851"/>
      <c r="CL153" s="851"/>
      <c r="CM153" s="851"/>
      <c r="CN153" s="851"/>
      <c r="CO153" s="851"/>
      <c r="CP153" s="851"/>
      <c r="CQ153" s="851"/>
      <c r="CR153" s="851"/>
      <c r="CS153" s="851"/>
      <c r="CT153" s="851"/>
      <c r="CU153" s="851"/>
      <c r="CV153" s="851"/>
      <c r="CW153" s="851"/>
      <c r="CX153" s="851"/>
    </row>
    <row r="154" spans="56:102" x14ac:dyDescent="0.2">
      <c r="BD154" s="851"/>
      <c r="BE154" s="851"/>
      <c r="BF154" s="851"/>
      <c r="BG154" s="851"/>
      <c r="BH154" s="851"/>
      <c r="BI154" s="851"/>
      <c r="BJ154" s="851"/>
      <c r="BK154" s="851"/>
      <c r="BL154" s="851"/>
      <c r="BM154" s="851"/>
      <c r="BN154" s="851"/>
      <c r="BO154" s="851"/>
      <c r="BP154" s="851"/>
      <c r="BQ154" s="851"/>
      <c r="BR154" s="851"/>
      <c r="BS154" s="851"/>
      <c r="BT154" s="851"/>
      <c r="BU154" s="851"/>
      <c r="BV154" s="851"/>
      <c r="BW154" s="851"/>
      <c r="BX154" s="851"/>
      <c r="BY154" s="851"/>
      <c r="BZ154" s="851"/>
      <c r="CA154" s="851"/>
      <c r="CB154" s="851"/>
      <c r="CC154" s="851"/>
      <c r="CD154" s="851"/>
      <c r="CE154" s="851"/>
      <c r="CF154" s="851"/>
      <c r="CG154" s="851"/>
      <c r="CH154" s="851"/>
      <c r="CI154" s="851"/>
      <c r="CJ154" s="851"/>
      <c r="CK154" s="851"/>
      <c r="CL154" s="851"/>
      <c r="CM154" s="851"/>
      <c r="CN154" s="851"/>
      <c r="CO154" s="851"/>
      <c r="CP154" s="851"/>
      <c r="CQ154" s="851"/>
      <c r="CR154" s="851"/>
      <c r="CS154" s="851"/>
      <c r="CT154" s="851"/>
      <c r="CU154" s="851"/>
      <c r="CV154" s="851"/>
      <c r="CW154" s="851"/>
      <c r="CX154" s="851"/>
    </row>
    <row r="155" spans="56:102" x14ac:dyDescent="0.2">
      <c r="BD155" s="851"/>
      <c r="BE155" s="851"/>
      <c r="BF155" s="851"/>
      <c r="BG155" s="851"/>
      <c r="BH155" s="851"/>
      <c r="BI155" s="851"/>
      <c r="BJ155" s="851"/>
      <c r="BK155" s="851"/>
      <c r="BL155" s="851"/>
      <c r="BM155" s="851"/>
      <c r="BN155" s="851"/>
      <c r="BO155" s="851"/>
      <c r="BP155" s="851"/>
      <c r="BQ155" s="851"/>
      <c r="BR155" s="851"/>
      <c r="BS155" s="851"/>
      <c r="BT155" s="851"/>
      <c r="BU155" s="851"/>
      <c r="BV155" s="851"/>
      <c r="BW155" s="851"/>
      <c r="BX155" s="851"/>
      <c r="BY155" s="851"/>
      <c r="BZ155" s="851"/>
      <c r="CA155" s="851"/>
      <c r="CB155" s="851"/>
      <c r="CC155" s="851"/>
      <c r="CD155" s="851"/>
      <c r="CE155" s="851"/>
      <c r="CF155" s="851"/>
      <c r="CG155" s="851"/>
      <c r="CH155" s="851"/>
      <c r="CI155" s="851"/>
      <c r="CJ155" s="851"/>
      <c r="CK155" s="851"/>
      <c r="CL155" s="851"/>
      <c r="CM155" s="851"/>
      <c r="CN155" s="851"/>
      <c r="CO155" s="851"/>
      <c r="CP155" s="851"/>
      <c r="CQ155" s="851"/>
      <c r="CR155" s="851"/>
      <c r="CS155" s="851"/>
      <c r="CT155" s="851"/>
      <c r="CU155" s="851"/>
      <c r="CV155" s="851"/>
      <c r="CW155" s="851"/>
      <c r="CX155" s="851"/>
    </row>
    <row r="156" spans="56:102" x14ac:dyDescent="0.2">
      <c r="BD156" s="851"/>
      <c r="BE156" s="851"/>
      <c r="BF156" s="851"/>
      <c r="BG156" s="851"/>
      <c r="BH156" s="851"/>
      <c r="BI156" s="851"/>
      <c r="BJ156" s="851"/>
      <c r="BK156" s="851"/>
      <c r="BL156" s="851"/>
      <c r="BM156" s="851"/>
      <c r="BN156" s="851"/>
      <c r="BO156" s="851"/>
      <c r="BP156" s="851"/>
      <c r="BQ156" s="851"/>
      <c r="BR156" s="851"/>
      <c r="BS156" s="851"/>
      <c r="BT156" s="851"/>
      <c r="BU156" s="851"/>
      <c r="BV156" s="851"/>
      <c r="BW156" s="851"/>
      <c r="BX156" s="851"/>
      <c r="BY156" s="851"/>
      <c r="BZ156" s="851"/>
      <c r="CA156" s="851"/>
      <c r="CB156" s="851"/>
      <c r="CC156" s="851"/>
      <c r="CD156" s="851"/>
      <c r="CE156" s="851"/>
      <c r="CF156" s="851"/>
      <c r="CG156" s="851"/>
      <c r="CH156" s="851"/>
      <c r="CI156" s="851"/>
      <c r="CJ156" s="851"/>
      <c r="CK156" s="851"/>
      <c r="CL156" s="851"/>
      <c r="CM156" s="851"/>
      <c r="CN156" s="851"/>
      <c r="CO156" s="851"/>
      <c r="CP156" s="851"/>
      <c r="CQ156" s="851"/>
      <c r="CR156" s="851"/>
      <c r="CS156" s="851"/>
      <c r="CT156" s="851"/>
      <c r="CU156" s="851"/>
      <c r="CV156" s="851"/>
      <c r="CW156" s="851"/>
      <c r="CX156" s="851"/>
    </row>
    <row r="157" spans="56:102" x14ac:dyDescent="0.2">
      <c r="BD157" s="851"/>
      <c r="BE157" s="851"/>
      <c r="BF157" s="851"/>
      <c r="BG157" s="851"/>
      <c r="BH157" s="851"/>
      <c r="BI157" s="851"/>
      <c r="BJ157" s="851"/>
      <c r="BK157" s="851"/>
      <c r="BL157" s="851"/>
      <c r="BM157" s="851"/>
      <c r="BN157" s="851"/>
      <c r="BO157" s="851"/>
      <c r="BP157" s="851"/>
      <c r="BQ157" s="851"/>
      <c r="BR157" s="851"/>
      <c r="BS157" s="851"/>
      <c r="BT157" s="851"/>
      <c r="BU157" s="851"/>
      <c r="BV157" s="851"/>
      <c r="BW157" s="851"/>
      <c r="BX157" s="851"/>
      <c r="BY157" s="851"/>
      <c r="BZ157" s="851"/>
      <c r="CA157" s="851"/>
      <c r="CB157" s="851"/>
      <c r="CC157" s="851"/>
      <c r="CD157" s="851"/>
      <c r="CE157" s="851"/>
      <c r="CF157" s="851"/>
      <c r="CG157" s="851"/>
      <c r="CH157" s="851"/>
      <c r="CI157" s="851"/>
      <c r="CJ157" s="851"/>
      <c r="CK157" s="851"/>
      <c r="CL157" s="851"/>
      <c r="CM157" s="851"/>
      <c r="CN157" s="851"/>
      <c r="CO157" s="851"/>
      <c r="CP157" s="851"/>
      <c r="CQ157" s="851"/>
      <c r="CR157" s="851"/>
      <c r="CS157" s="851"/>
      <c r="CT157" s="851"/>
      <c r="CU157" s="851"/>
      <c r="CV157" s="851"/>
      <c r="CW157" s="851"/>
      <c r="CX157" s="851"/>
    </row>
    <row r="158" spans="56:102" x14ac:dyDescent="0.2">
      <c r="BD158" s="851"/>
      <c r="BE158" s="851"/>
      <c r="BF158" s="851"/>
      <c r="BG158" s="851"/>
      <c r="BH158" s="851"/>
      <c r="BI158" s="851"/>
      <c r="BJ158" s="851"/>
      <c r="BK158" s="851"/>
      <c r="BL158" s="851"/>
      <c r="BM158" s="851"/>
      <c r="BN158" s="851"/>
      <c r="BO158" s="851"/>
      <c r="BP158" s="851"/>
      <c r="BQ158" s="851"/>
      <c r="BR158" s="851"/>
      <c r="BS158" s="851"/>
      <c r="BT158" s="851"/>
      <c r="BU158" s="851"/>
      <c r="BV158" s="851"/>
      <c r="BW158" s="851"/>
      <c r="BX158" s="851"/>
      <c r="BY158" s="851"/>
      <c r="BZ158" s="851"/>
      <c r="CA158" s="851"/>
      <c r="CB158" s="851"/>
      <c r="CC158" s="851"/>
      <c r="CD158" s="851"/>
      <c r="CE158" s="851"/>
      <c r="CF158" s="851"/>
      <c r="CG158" s="851"/>
      <c r="CH158" s="851"/>
      <c r="CI158" s="851"/>
      <c r="CJ158" s="851"/>
      <c r="CK158" s="851"/>
      <c r="CL158" s="851"/>
      <c r="CM158" s="851"/>
      <c r="CN158" s="851"/>
      <c r="CO158" s="851"/>
      <c r="CP158" s="851"/>
      <c r="CQ158" s="851"/>
      <c r="CR158" s="851"/>
      <c r="CS158" s="851"/>
      <c r="CT158" s="851"/>
      <c r="CU158" s="851"/>
      <c r="CV158" s="851"/>
      <c r="CW158" s="851"/>
      <c r="CX158" s="851"/>
    </row>
    <row r="159" spans="56:102" x14ac:dyDescent="0.2">
      <c r="BD159" s="851"/>
      <c r="BE159" s="851"/>
      <c r="BF159" s="851"/>
      <c r="BG159" s="851"/>
      <c r="BH159" s="851"/>
      <c r="BI159" s="851"/>
      <c r="BJ159" s="851"/>
      <c r="BK159" s="851"/>
      <c r="BL159" s="851"/>
      <c r="BM159" s="851"/>
      <c r="BN159" s="851"/>
      <c r="BO159" s="851"/>
      <c r="BP159" s="851"/>
      <c r="BQ159" s="851"/>
      <c r="BR159" s="851"/>
      <c r="BS159" s="851"/>
      <c r="BT159" s="851"/>
      <c r="BU159" s="851"/>
      <c r="BV159" s="851"/>
      <c r="BW159" s="851"/>
      <c r="BX159" s="851"/>
      <c r="BY159" s="851"/>
      <c r="BZ159" s="851"/>
      <c r="CA159" s="851"/>
      <c r="CB159" s="851"/>
      <c r="CC159" s="851"/>
      <c r="CD159" s="851"/>
      <c r="CE159" s="851"/>
      <c r="CF159" s="851"/>
      <c r="CG159" s="851"/>
      <c r="CH159" s="851"/>
      <c r="CI159" s="851"/>
      <c r="CJ159" s="851"/>
      <c r="CK159" s="851"/>
      <c r="CL159" s="851"/>
      <c r="CM159" s="851"/>
      <c r="CN159" s="851"/>
      <c r="CO159" s="851"/>
      <c r="CP159" s="851"/>
      <c r="CQ159" s="851"/>
      <c r="CR159" s="851"/>
      <c r="CS159" s="851"/>
      <c r="CT159" s="851"/>
      <c r="CU159" s="851"/>
      <c r="CV159" s="851"/>
      <c r="CW159" s="851"/>
      <c r="CX159" s="851"/>
    </row>
    <row r="160" spans="56:102" x14ac:dyDescent="0.2">
      <c r="BD160" s="851"/>
      <c r="BE160" s="851"/>
      <c r="BF160" s="851"/>
      <c r="BG160" s="851"/>
      <c r="BH160" s="851"/>
      <c r="BI160" s="851"/>
      <c r="BJ160" s="851"/>
      <c r="BK160" s="851"/>
      <c r="BL160" s="851"/>
      <c r="BM160" s="851"/>
      <c r="BN160" s="851"/>
      <c r="BO160" s="851"/>
      <c r="BP160" s="851"/>
      <c r="BQ160" s="851"/>
      <c r="BR160" s="851"/>
      <c r="BS160" s="851"/>
      <c r="BT160" s="851"/>
      <c r="BU160" s="851"/>
      <c r="BV160" s="851"/>
      <c r="BW160" s="851"/>
      <c r="BX160" s="851"/>
      <c r="BY160" s="851"/>
      <c r="BZ160" s="851"/>
      <c r="CA160" s="851"/>
      <c r="CB160" s="851"/>
      <c r="CC160" s="851"/>
      <c r="CD160" s="851"/>
      <c r="CE160" s="851"/>
      <c r="CF160" s="851"/>
      <c r="CG160" s="851"/>
      <c r="CH160" s="851"/>
      <c r="CI160" s="851"/>
      <c r="CJ160" s="851"/>
      <c r="CK160" s="851"/>
      <c r="CL160" s="851"/>
      <c r="CM160" s="851"/>
      <c r="CN160" s="851"/>
      <c r="CO160" s="851"/>
      <c r="CP160" s="851"/>
      <c r="CQ160" s="851"/>
      <c r="CR160" s="851"/>
      <c r="CS160" s="851"/>
      <c r="CT160" s="851"/>
      <c r="CU160" s="851"/>
      <c r="CV160" s="851"/>
      <c r="CW160" s="851"/>
      <c r="CX160" s="851"/>
    </row>
    <row r="161" spans="56:102" x14ac:dyDescent="0.2">
      <c r="BD161" s="851"/>
      <c r="BE161" s="851"/>
      <c r="BF161" s="851"/>
      <c r="BG161" s="851"/>
      <c r="BH161" s="851"/>
      <c r="BI161" s="851"/>
      <c r="BJ161" s="851"/>
      <c r="BK161" s="851"/>
      <c r="BL161" s="851"/>
      <c r="BM161" s="851"/>
      <c r="BN161" s="851"/>
      <c r="BO161" s="851"/>
      <c r="BP161" s="851"/>
      <c r="BQ161" s="851"/>
      <c r="BR161" s="851"/>
      <c r="BS161" s="851"/>
      <c r="BT161" s="851"/>
      <c r="BU161" s="851"/>
      <c r="BV161" s="851"/>
      <c r="BW161" s="851"/>
      <c r="BX161" s="851"/>
      <c r="BY161" s="851"/>
      <c r="BZ161" s="851"/>
      <c r="CA161" s="851"/>
      <c r="CB161" s="851"/>
      <c r="CC161" s="851"/>
      <c r="CD161" s="851"/>
      <c r="CE161" s="851"/>
      <c r="CF161" s="851"/>
      <c r="CG161" s="851"/>
      <c r="CH161" s="851"/>
      <c r="CI161" s="851"/>
      <c r="CJ161" s="851"/>
      <c r="CK161" s="851"/>
      <c r="CL161" s="851"/>
      <c r="CM161" s="851"/>
      <c r="CN161" s="851"/>
      <c r="CO161" s="851"/>
      <c r="CP161" s="851"/>
      <c r="CQ161" s="851"/>
      <c r="CR161" s="851"/>
      <c r="CS161" s="851"/>
      <c r="CT161" s="851"/>
      <c r="CU161" s="851"/>
      <c r="CV161" s="851"/>
      <c r="CW161" s="851"/>
      <c r="CX161" s="851"/>
    </row>
    <row r="162" spans="56:102" x14ac:dyDescent="0.2">
      <c r="BD162" s="851"/>
      <c r="BE162" s="851"/>
      <c r="BF162" s="851"/>
      <c r="BG162" s="851"/>
      <c r="BH162" s="851"/>
      <c r="BI162" s="851"/>
      <c r="BJ162" s="851"/>
      <c r="BK162" s="851"/>
      <c r="BL162" s="851"/>
      <c r="BM162" s="851"/>
      <c r="BN162" s="851"/>
      <c r="BO162" s="851"/>
      <c r="BP162" s="851"/>
      <c r="BQ162" s="851"/>
      <c r="BR162" s="851"/>
      <c r="BS162" s="851"/>
      <c r="BT162" s="851"/>
      <c r="BU162" s="851"/>
      <c r="BV162" s="851"/>
      <c r="BW162" s="851"/>
      <c r="BX162" s="851"/>
      <c r="BY162" s="851"/>
      <c r="BZ162" s="851"/>
      <c r="CA162" s="851"/>
      <c r="CB162" s="851"/>
      <c r="CC162" s="851"/>
      <c r="CD162" s="851"/>
      <c r="CE162" s="851"/>
      <c r="CF162" s="851"/>
      <c r="CG162" s="851"/>
      <c r="CH162" s="851"/>
      <c r="CI162" s="851"/>
      <c r="CJ162" s="851"/>
      <c r="CK162" s="851"/>
      <c r="CL162" s="851"/>
      <c r="CM162" s="851"/>
      <c r="CN162" s="851"/>
      <c r="CO162" s="851"/>
      <c r="CP162" s="851"/>
      <c r="CQ162" s="851"/>
      <c r="CR162" s="851"/>
      <c r="CS162" s="851"/>
      <c r="CT162" s="851"/>
      <c r="CU162" s="851"/>
      <c r="CV162" s="851"/>
      <c r="CW162" s="851"/>
      <c r="CX162" s="851"/>
    </row>
    <row r="163" spans="56:102" x14ac:dyDescent="0.2">
      <c r="BD163" s="851"/>
      <c r="BE163" s="851"/>
      <c r="BF163" s="851"/>
      <c r="BG163" s="851"/>
      <c r="BH163" s="851"/>
      <c r="BI163" s="851"/>
      <c r="BJ163" s="851"/>
      <c r="BK163" s="851"/>
      <c r="BL163" s="851"/>
      <c r="BM163" s="851"/>
      <c r="BN163" s="851"/>
      <c r="BO163" s="851"/>
      <c r="BP163" s="851"/>
      <c r="BQ163" s="851"/>
      <c r="BR163" s="851"/>
      <c r="BS163" s="851"/>
      <c r="BT163" s="851"/>
      <c r="BU163" s="851"/>
      <c r="BV163" s="851"/>
      <c r="BW163" s="851"/>
      <c r="BX163" s="851"/>
      <c r="BY163" s="851"/>
      <c r="BZ163" s="851"/>
      <c r="CA163" s="851"/>
      <c r="CB163" s="851"/>
      <c r="CC163" s="851"/>
      <c r="CD163" s="851"/>
      <c r="CE163" s="851"/>
      <c r="CF163" s="851"/>
      <c r="CG163" s="851"/>
      <c r="CH163" s="851"/>
      <c r="CI163" s="851"/>
      <c r="CJ163" s="851"/>
      <c r="CK163" s="851"/>
      <c r="CL163" s="851"/>
      <c r="CM163" s="851"/>
      <c r="CN163" s="851"/>
      <c r="CO163" s="851"/>
      <c r="CP163" s="851"/>
      <c r="CQ163" s="851"/>
      <c r="CR163" s="851"/>
      <c r="CS163" s="851"/>
      <c r="CT163" s="851"/>
      <c r="CU163" s="851"/>
      <c r="CV163" s="851"/>
      <c r="CW163" s="851"/>
      <c r="CX163" s="851"/>
    </row>
    <row r="164" spans="56:102" x14ac:dyDescent="0.2">
      <c r="BD164" s="851"/>
      <c r="BE164" s="851"/>
      <c r="BF164" s="851"/>
      <c r="BG164" s="851"/>
      <c r="BH164" s="851"/>
      <c r="BI164" s="851"/>
      <c r="BJ164" s="851"/>
      <c r="BK164" s="851"/>
      <c r="BL164" s="851"/>
      <c r="BM164" s="851"/>
      <c r="BN164" s="851"/>
      <c r="BO164" s="851"/>
      <c r="BP164" s="851"/>
      <c r="BQ164" s="851"/>
      <c r="BR164" s="851"/>
      <c r="BS164" s="851"/>
      <c r="BT164" s="851"/>
      <c r="BU164" s="851"/>
      <c r="BV164" s="851"/>
      <c r="BW164" s="851"/>
      <c r="BX164" s="851"/>
      <c r="BY164" s="851"/>
      <c r="BZ164" s="851"/>
      <c r="CA164" s="851"/>
      <c r="CB164" s="851"/>
      <c r="CC164" s="851"/>
      <c r="CD164" s="851"/>
      <c r="CE164" s="851"/>
      <c r="CF164" s="851"/>
      <c r="CG164" s="851"/>
      <c r="CH164" s="851"/>
      <c r="CI164" s="851"/>
      <c r="CJ164" s="851"/>
      <c r="CK164" s="851"/>
      <c r="CL164" s="851"/>
      <c r="CM164" s="851"/>
      <c r="CN164" s="851"/>
      <c r="CO164" s="851"/>
      <c r="CP164" s="851"/>
      <c r="CQ164" s="851"/>
      <c r="CR164" s="851"/>
      <c r="CS164" s="851"/>
      <c r="CT164" s="851"/>
      <c r="CU164" s="851"/>
      <c r="CV164" s="851"/>
      <c r="CW164" s="851"/>
      <c r="CX164" s="851"/>
    </row>
    <row r="165" spans="56:102" x14ac:dyDescent="0.2">
      <c r="BD165" s="851"/>
      <c r="BE165" s="851"/>
      <c r="BF165" s="851"/>
      <c r="BG165" s="851"/>
      <c r="BH165" s="851"/>
      <c r="BI165" s="851"/>
      <c r="BJ165" s="851"/>
      <c r="BK165" s="851"/>
      <c r="BL165" s="851"/>
      <c r="BM165" s="851"/>
      <c r="BN165" s="851"/>
      <c r="BO165" s="851"/>
      <c r="BP165" s="851"/>
      <c r="BQ165" s="851"/>
      <c r="BR165" s="851"/>
      <c r="BS165" s="851"/>
      <c r="BT165" s="851"/>
      <c r="BU165" s="851"/>
      <c r="BV165" s="851"/>
      <c r="BW165" s="851"/>
      <c r="BX165" s="851"/>
      <c r="BY165" s="851"/>
      <c r="BZ165" s="851"/>
      <c r="CA165" s="851"/>
      <c r="CB165" s="851"/>
      <c r="CC165" s="851"/>
      <c r="CD165" s="851"/>
      <c r="CE165" s="851"/>
      <c r="CF165" s="851"/>
      <c r="CG165" s="851"/>
      <c r="CH165" s="851"/>
      <c r="CI165" s="851"/>
      <c r="CJ165" s="851"/>
      <c r="CK165" s="851"/>
      <c r="CL165" s="851"/>
      <c r="CM165" s="851"/>
      <c r="CN165" s="851"/>
      <c r="CO165" s="851"/>
      <c r="CP165" s="851"/>
      <c r="CQ165" s="851"/>
      <c r="CR165" s="851"/>
      <c r="CS165" s="851"/>
      <c r="CT165" s="851"/>
      <c r="CU165" s="851"/>
      <c r="CV165" s="851"/>
      <c r="CW165" s="851"/>
      <c r="CX165" s="851"/>
    </row>
    <row r="166" spans="56:102" ht="15.75" customHeight="1" x14ac:dyDescent="0.2">
      <c r="BD166" s="851"/>
      <c r="BE166" s="851"/>
      <c r="BF166" s="851"/>
      <c r="BG166" s="851"/>
      <c r="BH166" s="851"/>
      <c r="BI166" s="851"/>
      <c r="BJ166" s="851"/>
      <c r="BK166" s="851"/>
      <c r="BL166" s="851"/>
      <c r="BM166" s="851"/>
      <c r="BN166" s="851"/>
      <c r="BO166" s="851"/>
      <c r="BP166" s="851"/>
      <c r="BQ166" s="851"/>
      <c r="BR166" s="851"/>
      <c r="BS166" s="851"/>
      <c r="BT166" s="851"/>
      <c r="BU166" s="851"/>
      <c r="BV166" s="851"/>
      <c r="BW166" s="851"/>
      <c r="BX166" s="851"/>
      <c r="BY166" s="851"/>
      <c r="BZ166" s="851"/>
      <c r="CA166" s="851"/>
      <c r="CB166" s="851"/>
      <c r="CC166" s="851"/>
      <c r="CD166" s="851"/>
      <c r="CE166" s="851"/>
      <c r="CF166" s="851"/>
      <c r="CG166" s="851"/>
      <c r="CH166" s="851"/>
      <c r="CI166" s="851"/>
      <c r="CJ166" s="851"/>
      <c r="CK166" s="851"/>
      <c r="CL166" s="851"/>
      <c r="CM166" s="851"/>
      <c r="CN166" s="851"/>
      <c r="CO166" s="851"/>
      <c r="CP166" s="851"/>
      <c r="CQ166" s="851"/>
      <c r="CR166" s="851"/>
      <c r="CS166" s="851"/>
      <c r="CT166" s="851"/>
      <c r="CU166" s="851"/>
      <c r="CV166" s="851"/>
      <c r="CW166" s="851"/>
      <c r="CX166" s="851"/>
    </row>
    <row r="167" spans="56:102" ht="26.25" customHeight="1" x14ac:dyDescent="0.2">
      <c r="BD167" s="851"/>
      <c r="BE167" s="851"/>
      <c r="BF167" s="851"/>
      <c r="BG167" s="851"/>
      <c r="BH167" s="851"/>
      <c r="BI167" s="851"/>
      <c r="BJ167" s="851"/>
      <c r="BK167" s="851"/>
      <c r="BL167" s="851"/>
      <c r="BM167" s="851"/>
      <c r="BN167" s="851"/>
      <c r="BO167" s="851"/>
      <c r="BP167" s="851"/>
      <c r="BQ167" s="851"/>
      <c r="BR167" s="851"/>
      <c r="BS167" s="851"/>
      <c r="BT167" s="851"/>
      <c r="BU167" s="851"/>
      <c r="BV167" s="851"/>
      <c r="BW167" s="851"/>
      <c r="BX167" s="851"/>
      <c r="BY167" s="851"/>
      <c r="BZ167" s="851"/>
      <c r="CA167" s="851"/>
      <c r="CB167" s="851"/>
      <c r="CC167" s="851"/>
      <c r="CD167" s="851"/>
      <c r="CE167" s="851"/>
      <c r="CF167" s="851"/>
      <c r="CG167" s="851"/>
      <c r="CH167" s="851"/>
      <c r="CI167" s="851"/>
      <c r="CJ167" s="851"/>
      <c r="CK167" s="851"/>
      <c r="CL167" s="851"/>
      <c r="CM167" s="851"/>
      <c r="CN167" s="851"/>
      <c r="CO167" s="851"/>
      <c r="CP167" s="851"/>
      <c r="CQ167" s="851"/>
      <c r="CR167" s="851"/>
      <c r="CS167" s="851"/>
      <c r="CT167" s="851"/>
      <c r="CU167" s="851"/>
      <c r="CV167" s="851"/>
      <c r="CW167" s="851"/>
      <c r="CX167" s="851"/>
    </row>
    <row r="168" spans="56:102" ht="35.25" customHeight="1" x14ac:dyDescent="0.2">
      <c r="BD168" s="851"/>
      <c r="BE168" s="851"/>
      <c r="BF168" s="851"/>
      <c r="BG168" s="851"/>
      <c r="BH168" s="851"/>
      <c r="BI168" s="851"/>
      <c r="BJ168" s="851"/>
      <c r="BK168" s="851"/>
      <c r="BL168" s="851"/>
      <c r="BM168" s="851"/>
      <c r="BN168" s="851"/>
      <c r="BO168" s="851"/>
      <c r="BP168" s="851"/>
      <c r="BQ168" s="851"/>
      <c r="BR168" s="851"/>
      <c r="BS168" s="851"/>
      <c r="BT168" s="851"/>
      <c r="BU168" s="851"/>
      <c r="BV168" s="851"/>
      <c r="BW168" s="851"/>
      <c r="BX168" s="851"/>
      <c r="BY168" s="851"/>
      <c r="BZ168" s="851"/>
      <c r="CA168" s="851"/>
      <c r="CB168" s="851"/>
      <c r="CC168" s="851"/>
      <c r="CD168" s="851"/>
      <c r="CE168" s="851"/>
      <c r="CF168" s="851"/>
      <c r="CG168" s="851"/>
      <c r="CH168" s="851"/>
      <c r="CI168" s="851"/>
      <c r="CJ168" s="851"/>
      <c r="CK168" s="851"/>
      <c r="CL168" s="851"/>
      <c r="CM168" s="851"/>
      <c r="CN168" s="851"/>
      <c r="CO168" s="851"/>
      <c r="CP168" s="851"/>
      <c r="CQ168" s="851"/>
      <c r="CR168" s="851"/>
      <c r="CS168" s="851"/>
      <c r="CT168" s="851"/>
      <c r="CU168" s="851"/>
      <c r="CV168" s="851"/>
      <c r="CW168" s="851"/>
      <c r="CX168" s="851"/>
    </row>
    <row r="169" spans="56:102" x14ac:dyDescent="0.2">
      <c r="BD169" s="851"/>
      <c r="BE169" s="851"/>
      <c r="BF169" s="851"/>
      <c r="BG169" s="851"/>
      <c r="BH169" s="851"/>
      <c r="BI169" s="851"/>
      <c r="BJ169" s="851"/>
      <c r="BK169" s="851"/>
      <c r="BL169" s="851"/>
      <c r="BM169" s="851"/>
      <c r="BN169" s="851"/>
      <c r="BO169" s="851"/>
      <c r="BP169" s="851"/>
      <c r="BQ169" s="851"/>
      <c r="BR169" s="851"/>
      <c r="BS169" s="851"/>
      <c r="BT169" s="851"/>
      <c r="BU169" s="851"/>
      <c r="BV169" s="851"/>
      <c r="BW169" s="851"/>
      <c r="BX169" s="851"/>
      <c r="BY169" s="851"/>
      <c r="BZ169" s="851"/>
      <c r="CA169" s="851"/>
      <c r="CB169" s="851"/>
      <c r="CC169" s="851"/>
      <c r="CD169" s="851"/>
      <c r="CE169" s="851"/>
      <c r="CF169" s="851"/>
      <c r="CG169" s="851"/>
      <c r="CH169" s="851"/>
      <c r="CI169" s="851"/>
      <c r="CJ169" s="851"/>
      <c r="CK169" s="851"/>
      <c r="CL169" s="851"/>
      <c r="CM169" s="851"/>
      <c r="CN169" s="851"/>
      <c r="CO169" s="851"/>
      <c r="CP169" s="851"/>
      <c r="CQ169" s="851"/>
      <c r="CR169" s="851"/>
      <c r="CS169" s="851"/>
      <c r="CT169" s="851"/>
      <c r="CU169" s="851"/>
      <c r="CV169" s="851"/>
      <c r="CW169" s="851"/>
      <c r="CX169" s="851"/>
    </row>
    <row r="170" spans="56:102" x14ac:dyDescent="0.2">
      <c r="BD170" s="851"/>
      <c r="BE170" s="851"/>
      <c r="BF170" s="851"/>
      <c r="BG170" s="851"/>
      <c r="BH170" s="851"/>
      <c r="BI170" s="851"/>
      <c r="BJ170" s="851"/>
      <c r="BK170" s="851"/>
      <c r="BL170" s="851"/>
      <c r="BM170" s="851"/>
      <c r="BN170" s="851"/>
      <c r="BO170" s="851"/>
      <c r="BP170" s="851"/>
      <c r="BQ170" s="851"/>
      <c r="BR170" s="851"/>
      <c r="BS170" s="851"/>
      <c r="BT170" s="851"/>
      <c r="BU170" s="851"/>
      <c r="BV170" s="851"/>
      <c r="BW170" s="851"/>
      <c r="BX170" s="851"/>
      <c r="BY170" s="851"/>
      <c r="BZ170" s="851"/>
      <c r="CA170" s="851"/>
      <c r="CB170" s="851"/>
      <c r="CC170" s="851"/>
      <c r="CD170" s="851"/>
      <c r="CE170" s="851"/>
      <c r="CF170" s="851"/>
      <c r="CG170" s="851"/>
      <c r="CH170" s="851"/>
      <c r="CI170" s="851"/>
      <c r="CJ170" s="851"/>
      <c r="CK170" s="851"/>
      <c r="CL170" s="851"/>
      <c r="CM170" s="851"/>
      <c r="CN170" s="851"/>
      <c r="CO170" s="851"/>
      <c r="CP170" s="851"/>
      <c r="CQ170" s="851"/>
      <c r="CR170" s="851"/>
      <c r="CS170" s="851"/>
      <c r="CT170" s="851"/>
      <c r="CU170" s="851"/>
      <c r="CV170" s="851"/>
      <c r="CW170" s="851"/>
      <c r="CX170" s="851"/>
    </row>
    <row r="171" spans="56:102" x14ac:dyDescent="0.2">
      <c r="BD171" s="851"/>
      <c r="BE171" s="851"/>
      <c r="BF171" s="851"/>
      <c r="BG171" s="851"/>
      <c r="BH171" s="851"/>
      <c r="BI171" s="851"/>
      <c r="BJ171" s="851"/>
      <c r="BK171" s="851"/>
      <c r="BL171" s="851"/>
      <c r="BM171" s="851"/>
      <c r="BN171" s="851"/>
      <c r="BO171" s="851"/>
      <c r="BP171" s="851"/>
      <c r="BQ171" s="851"/>
      <c r="BR171" s="851"/>
      <c r="BS171" s="851"/>
      <c r="BT171" s="851"/>
      <c r="BU171" s="851"/>
      <c r="BV171" s="851"/>
      <c r="BW171" s="851"/>
      <c r="BX171" s="851"/>
      <c r="BY171" s="851"/>
      <c r="BZ171" s="851"/>
      <c r="CA171" s="851"/>
      <c r="CB171" s="851"/>
      <c r="CC171" s="851"/>
      <c r="CD171" s="851"/>
      <c r="CE171" s="851"/>
      <c r="CF171" s="851"/>
      <c r="CG171" s="851"/>
      <c r="CH171" s="851"/>
      <c r="CI171" s="851"/>
      <c r="CJ171" s="851"/>
      <c r="CK171" s="851"/>
      <c r="CL171" s="851"/>
      <c r="CM171" s="851"/>
      <c r="CN171" s="851"/>
      <c r="CO171" s="851"/>
      <c r="CP171" s="851"/>
      <c r="CQ171" s="851"/>
      <c r="CR171" s="851"/>
      <c r="CS171" s="851"/>
      <c r="CT171" s="851"/>
      <c r="CU171" s="851"/>
      <c r="CV171" s="851"/>
      <c r="CW171" s="851"/>
      <c r="CX171" s="851"/>
    </row>
    <row r="172" spans="56:102" x14ac:dyDescent="0.2">
      <c r="BD172" s="851"/>
      <c r="BE172" s="851"/>
      <c r="BF172" s="851"/>
      <c r="BG172" s="851"/>
      <c r="BH172" s="851"/>
      <c r="BI172" s="851"/>
      <c r="BJ172" s="851"/>
      <c r="BK172" s="851"/>
      <c r="BL172" s="851"/>
      <c r="BM172" s="851"/>
      <c r="BN172" s="851"/>
      <c r="BO172" s="851"/>
      <c r="BP172" s="851"/>
      <c r="BQ172" s="851"/>
      <c r="BR172" s="851"/>
      <c r="BS172" s="851"/>
      <c r="BT172" s="851"/>
      <c r="BU172" s="851"/>
      <c r="BV172" s="851"/>
      <c r="BW172" s="851"/>
      <c r="BX172" s="851"/>
      <c r="BY172" s="851"/>
      <c r="BZ172" s="851"/>
      <c r="CA172" s="851"/>
      <c r="CB172" s="851"/>
      <c r="CC172" s="851"/>
      <c r="CD172" s="851"/>
      <c r="CE172" s="851"/>
      <c r="CF172" s="851"/>
      <c r="CG172" s="851"/>
      <c r="CH172" s="851"/>
      <c r="CI172" s="851"/>
      <c r="CJ172" s="851"/>
      <c r="CK172" s="851"/>
      <c r="CL172" s="851"/>
      <c r="CM172" s="851"/>
      <c r="CN172" s="851"/>
      <c r="CO172" s="851"/>
      <c r="CP172" s="851"/>
      <c r="CQ172" s="851"/>
      <c r="CR172" s="851"/>
      <c r="CS172" s="851"/>
      <c r="CT172" s="851"/>
      <c r="CU172" s="851"/>
      <c r="CV172" s="851"/>
      <c r="CW172" s="851"/>
      <c r="CX172" s="851"/>
    </row>
    <row r="173" spans="56:102" x14ac:dyDescent="0.2">
      <c r="BD173" s="851"/>
      <c r="BE173" s="851"/>
      <c r="BF173" s="851"/>
      <c r="BG173" s="851"/>
      <c r="BH173" s="851"/>
      <c r="BI173" s="851"/>
      <c r="BJ173" s="851"/>
      <c r="BK173" s="851"/>
      <c r="BL173" s="851"/>
      <c r="BM173" s="851"/>
      <c r="BN173" s="851"/>
      <c r="BO173" s="851"/>
      <c r="BP173" s="851"/>
      <c r="BQ173" s="851"/>
      <c r="BR173" s="851"/>
      <c r="BS173" s="851"/>
      <c r="BT173" s="851"/>
      <c r="BU173" s="851"/>
      <c r="BV173" s="851"/>
      <c r="BW173" s="851"/>
      <c r="BX173" s="851"/>
      <c r="BY173" s="851"/>
      <c r="BZ173" s="851"/>
      <c r="CA173" s="851"/>
      <c r="CB173" s="851"/>
      <c r="CC173" s="851"/>
      <c r="CD173" s="851"/>
      <c r="CE173" s="851"/>
      <c r="CF173" s="851"/>
      <c r="CG173" s="851"/>
      <c r="CH173" s="851"/>
      <c r="CI173" s="851"/>
      <c r="CJ173" s="851"/>
      <c r="CK173" s="851"/>
      <c r="CL173" s="851"/>
      <c r="CM173" s="851"/>
      <c r="CN173" s="851"/>
      <c r="CO173" s="851"/>
      <c r="CP173" s="851"/>
      <c r="CQ173" s="851"/>
      <c r="CR173" s="851"/>
      <c r="CS173" s="851"/>
      <c r="CT173" s="851"/>
      <c r="CU173" s="851"/>
      <c r="CV173" s="851"/>
      <c r="CW173" s="851"/>
      <c r="CX173" s="851"/>
    </row>
    <row r="174" spans="56:102" x14ac:dyDescent="0.2">
      <c r="BD174" s="851"/>
      <c r="BE174" s="851"/>
      <c r="BF174" s="851"/>
      <c r="BG174" s="851"/>
      <c r="BH174" s="851"/>
      <c r="BI174" s="851"/>
      <c r="BJ174" s="851"/>
      <c r="BK174" s="851"/>
      <c r="BL174" s="851"/>
      <c r="BM174" s="851"/>
      <c r="BN174" s="851"/>
      <c r="BO174" s="851"/>
      <c r="BP174" s="851"/>
      <c r="BQ174" s="851"/>
      <c r="BR174" s="851"/>
      <c r="BS174" s="851"/>
      <c r="BT174" s="851"/>
      <c r="BU174" s="851"/>
      <c r="BV174" s="851"/>
      <c r="BW174" s="851"/>
      <c r="BX174" s="851"/>
      <c r="BY174" s="851"/>
      <c r="BZ174" s="851"/>
      <c r="CA174" s="851"/>
      <c r="CB174" s="851"/>
      <c r="CC174" s="851"/>
      <c r="CD174" s="851"/>
      <c r="CE174" s="851"/>
      <c r="CF174" s="851"/>
      <c r="CG174" s="851"/>
      <c r="CH174" s="851"/>
      <c r="CI174" s="851"/>
      <c r="CJ174" s="851"/>
      <c r="CK174" s="851"/>
      <c r="CL174" s="851"/>
      <c r="CM174" s="851"/>
      <c r="CN174" s="851"/>
      <c r="CO174" s="851"/>
      <c r="CP174" s="851"/>
      <c r="CQ174" s="851"/>
      <c r="CR174" s="851"/>
      <c r="CS174" s="851"/>
      <c r="CT174" s="851"/>
      <c r="CU174" s="851"/>
      <c r="CV174" s="851"/>
      <c r="CW174" s="851"/>
      <c r="CX174" s="851"/>
    </row>
    <row r="175" spans="56:102" x14ac:dyDescent="0.2">
      <c r="BD175" s="851"/>
      <c r="BE175" s="851"/>
      <c r="BF175" s="851"/>
      <c r="BG175" s="851"/>
      <c r="BH175" s="851"/>
      <c r="BI175" s="851"/>
      <c r="BJ175" s="851"/>
      <c r="BK175" s="851"/>
      <c r="BL175" s="851"/>
      <c r="BM175" s="851"/>
      <c r="BN175" s="851"/>
      <c r="BO175" s="851"/>
      <c r="BP175" s="851"/>
      <c r="BQ175" s="851"/>
      <c r="BR175" s="851"/>
      <c r="BS175" s="851"/>
      <c r="BT175" s="851"/>
      <c r="BU175" s="851"/>
      <c r="BV175" s="851"/>
      <c r="BW175" s="851"/>
      <c r="BX175" s="851"/>
      <c r="BY175" s="851"/>
      <c r="BZ175" s="851"/>
      <c r="CA175" s="851"/>
      <c r="CB175" s="851"/>
      <c r="CC175" s="851"/>
      <c r="CD175" s="851"/>
      <c r="CE175" s="851"/>
      <c r="CF175" s="851"/>
      <c r="CG175" s="851"/>
      <c r="CH175" s="851"/>
      <c r="CI175" s="851"/>
      <c r="CJ175" s="851"/>
      <c r="CK175" s="851"/>
      <c r="CL175" s="851"/>
      <c r="CM175" s="851"/>
      <c r="CN175" s="851"/>
      <c r="CO175" s="851"/>
      <c r="CP175" s="851"/>
      <c r="CQ175" s="851"/>
      <c r="CR175" s="851"/>
      <c r="CS175" s="851"/>
      <c r="CT175" s="851"/>
      <c r="CU175" s="851"/>
      <c r="CV175" s="851"/>
      <c r="CW175" s="851"/>
      <c r="CX175" s="851"/>
    </row>
    <row r="176" spans="56:102" x14ac:dyDescent="0.2">
      <c r="BD176" s="851"/>
      <c r="BE176" s="851"/>
      <c r="BF176" s="851"/>
      <c r="BG176" s="851"/>
      <c r="BH176" s="851"/>
      <c r="BI176" s="851"/>
      <c r="BJ176" s="851"/>
      <c r="BK176" s="851"/>
      <c r="BL176" s="851"/>
      <c r="BM176" s="851"/>
      <c r="BN176" s="851"/>
      <c r="BO176" s="851"/>
      <c r="BP176" s="851"/>
      <c r="BQ176" s="851"/>
      <c r="BR176" s="851"/>
      <c r="BS176" s="851"/>
      <c r="BT176" s="851"/>
      <c r="BU176" s="851"/>
      <c r="BV176" s="851"/>
      <c r="BW176" s="851"/>
      <c r="BX176" s="851"/>
      <c r="BY176" s="851"/>
      <c r="BZ176" s="851"/>
      <c r="CA176" s="851"/>
      <c r="CB176" s="851"/>
      <c r="CC176" s="851"/>
      <c r="CD176" s="851"/>
      <c r="CE176" s="851"/>
      <c r="CF176" s="851"/>
      <c r="CG176" s="851"/>
      <c r="CH176" s="851"/>
      <c r="CI176" s="851"/>
      <c r="CJ176" s="851"/>
      <c r="CK176" s="851"/>
      <c r="CL176" s="851"/>
      <c r="CM176" s="851"/>
      <c r="CN176" s="851"/>
      <c r="CO176" s="851"/>
      <c r="CP176" s="851"/>
      <c r="CQ176" s="851"/>
      <c r="CR176" s="851"/>
      <c r="CS176" s="851"/>
      <c r="CT176" s="851"/>
      <c r="CU176" s="851"/>
      <c r="CV176" s="851"/>
      <c r="CW176" s="851"/>
      <c r="CX176" s="851"/>
    </row>
    <row r="177" spans="56:142" x14ac:dyDescent="0.2">
      <c r="BD177" s="851"/>
      <c r="BE177" s="851"/>
      <c r="BF177" s="851"/>
      <c r="BG177" s="851"/>
      <c r="BH177" s="851"/>
      <c r="BI177" s="851"/>
      <c r="BJ177" s="851"/>
      <c r="BK177" s="851"/>
      <c r="BL177" s="851"/>
      <c r="BM177" s="851"/>
      <c r="BN177" s="851"/>
      <c r="BO177" s="851"/>
      <c r="BP177" s="851"/>
      <c r="BQ177" s="851"/>
      <c r="BR177" s="851"/>
      <c r="BS177" s="851"/>
      <c r="BT177" s="851"/>
      <c r="BU177" s="851"/>
      <c r="BV177" s="851"/>
      <c r="BW177" s="851"/>
      <c r="BX177" s="851"/>
      <c r="BY177" s="851"/>
      <c r="BZ177" s="851"/>
      <c r="CA177" s="851"/>
      <c r="CB177" s="851"/>
      <c r="CC177" s="851"/>
      <c r="CD177" s="851"/>
      <c r="CE177" s="851"/>
      <c r="CF177" s="851"/>
      <c r="CG177" s="851"/>
      <c r="CH177" s="851"/>
      <c r="CI177" s="851"/>
      <c r="CJ177" s="851"/>
      <c r="CK177" s="851"/>
      <c r="CL177" s="851"/>
      <c r="CM177" s="851"/>
      <c r="CN177" s="851"/>
      <c r="CO177" s="851"/>
      <c r="CP177" s="851"/>
      <c r="CQ177" s="851"/>
      <c r="CR177" s="851"/>
      <c r="CS177" s="851"/>
      <c r="CT177" s="851"/>
      <c r="CU177" s="851"/>
      <c r="CV177" s="851"/>
      <c r="CW177" s="851"/>
      <c r="CX177" s="851"/>
    </row>
    <row r="178" spans="56:142" x14ac:dyDescent="0.2">
      <c r="BD178" s="851"/>
      <c r="BE178" s="851"/>
      <c r="BF178" s="851"/>
      <c r="BG178" s="851"/>
      <c r="BH178" s="851"/>
      <c r="BI178" s="851"/>
      <c r="BJ178" s="851"/>
      <c r="BK178" s="851"/>
      <c r="BL178" s="851"/>
      <c r="BM178" s="851"/>
      <c r="BN178" s="851"/>
      <c r="BO178" s="851"/>
      <c r="BP178" s="851"/>
      <c r="BQ178" s="851"/>
      <c r="BR178" s="851"/>
      <c r="BS178" s="851"/>
      <c r="BT178" s="851"/>
      <c r="BU178" s="851"/>
      <c r="BV178" s="851"/>
      <c r="BW178" s="851"/>
      <c r="BX178" s="851"/>
      <c r="BY178" s="851"/>
      <c r="BZ178" s="851"/>
      <c r="CA178" s="851"/>
      <c r="CB178" s="851"/>
      <c r="CC178" s="851"/>
      <c r="CD178" s="851"/>
      <c r="CE178" s="851"/>
      <c r="CF178" s="851"/>
      <c r="CG178" s="851"/>
      <c r="CH178" s="851"/>
      <c r="CI178" s="851"/>
      <c r="CJ178" s="851"/>
      <c r="CK178" s="851"/>
      <c r="CL178" s="851"/>
      <c r="CM178" s="851"/>
      <c r="CN178" s="851"/>
      <c r="CO178" s="851"/>
      <c r="CP178" s="851"/>
      <c r="CQ178" s="851"/>
      <c r="CR178" s="851"/>
      <c r="CS178" s="851"/>
      <c r="CT178" s="851"/>
      <c r="CU178" s="851"/>
      <c r="CV178" s="851"/>
      <c r="CW178" s="851"/>
      <c r="CX178" s="851"/>
    </row>
    <row r="179" spans="56:142" x14ac:dyDescent="0.2">
      <c r="BD179" s="851"/>
      <c r="BE179" s="851"/>
      <c r="BF179" s="851"/>
      <c r="BG179" s="851"/>
      <c r="BH179" s="851"/>
      <c r="BI179" s="851"/>
      <c r="BJ179" s="851"/>
      <c r="BK179" s="851"/>
      <c r="BL179" s="851"/>
      <c r="BM179" s="851"/>
      <c r="BN179" s="851"/>
      <c r="BO179" s="851"/>
      <c r="BP179" s="851"/>
      <c r="BQ179" s="851"/>
      <c r="BR179" s="851"/>
      <c r="BS179" s="851"/>
      <c r="BT179" s="851"/>
      <c r="BU179" s="851"/>
      <c r="BV179" s="851"/>
      <c r="BW179" s="851"/>
      <c r="BX179" s="851"/>
      <c r="BY179" s="851"/>
      <c r="BZ179" s="851"/>
      <c r="CA179" s="851"/>
      <c r="CB179" s="851"/>
      <c r="CC179" s="851"/>
      <c r="CD179" s="851"/>
      <c r="CE179" s="851"/>
      <c r="CF179" s="851"/>
      <c r="CG179" s="851"/>
      <c r="CH179" s="851"/>
      <c r="CI179" s="851"/>
      <c r="CJ179" s="851"/>
      <c r="CK179" s="851"/>
      <c r="CL179" s="851"/>
      <c r="CM179" s="851"/>
      <c r="CN179" s="851"/>
      <c r="CO179" s="851"/>
      <c r="CP179" s="851"/>
      <c r="CQ179" s="851"/>
      <c r="CR179" s="851"/>
      <c r="CS179" s="851"/>
      <c r="CT179" s="851"/>
      <c r="CU179" s="851"/>
      <c r="CV179" s="851"/>
      <c r="CW179" s="851"/>
      <c r="CX179" s="851"/>
    </row>
    <row r="180" spans="56:142" x14ac:dyDescent="0.2">
      <c r="BD180" s="851"/>
      <c r="BE180" s="851"/>
      <c r="BF180" s="851"/>
      <c r="BG180" s="851"/>
      <c r="BH180" s="851"/>
      <c r="BI180" s="851"/>
      <c r="BJ180" s="851"/>
      <c r="BK180" s="851"/>
      <c r="BL180" s="851"/>
      <c r="BM180" s="851"/>
      <c r="BN180" s="851"/>
      <c r="BO180" s="851"/>
      <c r="BP180" s="851"/>
      <c r="BQ180" s="851"/>
      <c r="BR180" s="851"/>
      <c r="BS180" s="851"/>
      <c r="BT180" s="851"/>
      <c r="BU180" s="851"/>
      <c r="BV180" s="851"/>
      <c r="BW180" s="851"/>
      <c r="BX180" s="851"/>
      <c r="BY180" s="851"/>
      <c r="BZ180" s="851"/>
      <c r="CA180" s="851"/>
      <c r="CB180" s="851"/>
      <c r="CC180" s="851"/>
      <c r="CD180" s="851"/>
      <c r="CE180" s="851"/>
      <c r="CF180" s="851"/>
      <c r="CG180" s="851"/>
      <c r="CH180" s="851"/>
      <c r="CI180" s="851"/>
      <c r="CJ180" s="851"/>
      <c r="CK180" s="851"/>
      <c r="CL180" s="851"/>
      <c r="CM180" s="851"/>
      <c r="CN180" s="851"/>
      <c r="CO180" s="851"/>
      <c r="CP180" s="851"/>
      <c r="CQ180" s="851"/>
      <c r="CR180" s="851"/>
      <c r="CS180" s="851"/>
      <c r="CT180" s="851"/>
      <c r="CU180" s="851"/>
      <c r="CV180" s="851"/>
      <c r="CW180" s="851"/>
      <c r="CX180" s="851"/>
    </row>
    <row r="181" spans="56:142" x14ac:dyDescent="0.2">
      <c r="BD181" s="851"/>
      <c r="BE181" s="851"/>
      <c r="BF181" s="851"/>
      <c r="BG181" s="851"/>
      <c r="BH181" s="851"/>
      <c r="BI181" s="851"/>
      <c r="BJ181" s="851"/>
      <c r="BK181" s="851"/>
      <c r="BL181" s="851"/>
      <c r="BM181" s="851"/>
      <c r="BN181" s="851"/>
      <c r="BO181" s="851"/>
      <c r="BP181" s="851"/>
      <c r="BQ181" s="851"/>
      <c r="BR181" s="851"/>
      <c r="BS181" s="851"/>
      <c r="BT181" s="851"/>
      <c r="BU181" s="851"/>
      <c r="BV181" s="851"/>
      <c r="BW181" s="851"/>
      <c r="BX181" s="851"/>
      <c r="BY181" s="851"/>
      <c r="BZ181" s="851"/>
      <c r="CA181" s="851"/>
      <c r="CB181" s="851"/>
      <c r="CC181" s="851"/>
      <c r="CD181" s="851"/>
      <c r="CE181" s="851"/>
      <c r="CF181" s="851"/>
      <c r="CG181" s="851"/>
      <c r="CH181" s="851"/>
      <c r="CI181" s="851"/>
      <c r="CJ181" s="851"/>
      <c r="CK181" s="851"/>
      <c r="CL181" s="851"/>
      <c r="CM181" s="851"/>
      <c r="CN181" s="851"/>
      <c r="CO181" s="851"/>
      <c r="CP181" s="851"/>
      <c r="CQ181" s="851"/>
      <c r="CR181" s="851"/>
      <c r="CS181" s="851"/>
      <c r="CT181" s="851"/>
      <c r="CU181" s="851"/>
      <c r="CV181" s="851"/>
      <c r="CW181" s="851"/>
      <c r="CX181" s="851"/>
    </row>
    <row r="182" spans="56:142" x14ac:dyDescent="0.2">
      <c r="BD182" s="851"/>
      <c r="BE182" s="851"/>
      <c r="BF182" s="851"/>
      <c r="BG182" s="851"/>
      <c r="BH182" s="851"/>
      <c r="BI182" s="851"/>
      <c r="BJ182" s="851"/>
      <c r="BK182" s="851"/>
      <c r="BL182" s="851"/>
      <c r="BM182" s="851"/>
      <c r="BN182" s="851"/>
      <c r="BO182" s="851"/>
      <c r="BP182" s="851"/>
      <c r="BQ182" s="851"/>
      <c r="BR182" s="851"/>
      <c r="BS182" s="851"/>
      <c r="BT182" s="851"/>
      <c r="BU182" s="851"/>
      <c r="BV182" s="851"/>
      <c r="BW182" s="851"/>
      <c r="BX182" s="851"/>
      <c r="BY182" s="851"/>
      <c r="BZ182" s="851"/>
      <c r="CA182" s="851"/>
      <c r="CB182" s="851"/>
      <c r="CC182" s="851"/>
      <c r="CD182" s="851"/>
      <c r="CE182" s="851"/>
      <c r="CF182" s="851"/>
      <c r="CG182" s="851"/>
      <c r="CH182" s="851"/>
      <c r="CI182" s="851"/>
      <c r="CJ182" s="851"/>
      <c r="CK182" s="851"/>
      <c r="CL182" s="851"/>
      <c r="CM182" s="851"/>
      <c r="CN182" s="851"/>
      <c r="CO182" s="851"/>
      <c r="CP182" s="851"/>
      <c r="CQ182" s="851"/>
      <c r="CR182" s="851"/>
      <c r="CS182" s="851"/>
      <c r="CT182" s="851"/>
      <c r="CU182" s="851"/>
      <c r="CV182" s="851"/>
      <c r="CW182" s="851"/>
      <c r="CX182" s="851"/>
    </row>
    <row r="183" spans="56:142" x14ac:dyDescent="0.2">
      <c r="BD183" s="851"/>
      <c r="BE183" s="851"/>
      <c r="BF183" s="851"/>
      <c r="BG183" s="851"/>
      <c r="BH183" s="851"/>
      <c r="BI183" s="851"/>
      <c r="BJ183" s="851"/>
      <c r="BK183" s="851"/>
      <c r="BL183" s="851"/>
      <c r="BM183" s="851"/>
      <c r="BN183" s="851"/>
      <c r="BO183" s="851"/>
      <c r="BP183" s="851"/>
      <c r="BQ183" s="851"/>
      <c r="BR183" s="851"/>
      <c r="BS183" s="851"/>
      <c r="BT183" s="851"/>
      <c r="BU183" s="851"/>
      <c r="BV183" s="851"/>
      <c r="BW183" s="851"/>
      <c r="BX183" s="851"/>
      <c r="BY183" s="851"/>
      <c r="BZ183" s="851"/>
      <c r="CA183" s="851"/>
      <c r="CB183" s="851"/>
      <c r="CC183" s="851"/>
      <c r="CD183" s="851"/>
      <c r="CE183" s="851"/>
      <c r="CF183" s="851"/>
      <c r="CG183" s="851"/>
      <c r="CH183" s="851"/>
      <c r="CI183" s="851"/>
      <c r="CJ183" s="851"/>
      <c r="CK183" s="851"/>
      <c r="CL183" s="851"/>
      <c r="CM183" s="851"/>
      <c r="CN183" s="851"/>
      <c r="CO183" s="851"/>
      <c r="CP183" s="851"/>
      <c r="CQ183" s="851"/>
      <c r="CR183" s="851"/>
      <c r="CS183" s="851"/>
      <c r="CT183" s="851"/>
      <c r="CU183" s="851"/>
      <c r="CV183" s="851"/>
      <c r="CW183" s="851"/>
      <c r="CX183" s="851"/>
    </row>
    <row r="184" spans="56:142" x14ac:dyDescent="0.2">
      <c r="BD184" s="851"/>
      <c r="BE184" s="851"/>
      <c r="BF184" s="851"/>
      <c r="BG184" s="851"/>
      <c r="BH184" s="851"/>
      <c r="BI184" s="851"/>
      <c r="BJ184" s="851"/>
      <c r="BK184" s="851"/>
      <c r="BL184" s="851"/>
      <c r="BM184" s="851"/>
      <c r="BN184" s="851"/>
      <c r="BO184" s="851"/>
      <c r="BP184" s="851"/>
      <c r="BQ184" s="851"/>
      <c r="BR184" s="851"/>
      <c r="BS184" s="851"/>
      <c r="BT184" s="851"/>
      <c r="BU184" s="851"/>
      <c r="BV184" s="851"/>
      <c r="BW184" s="851"/>
      <c r="BX184" s="851"/>
      <c r="BY184" s="851"/>
      <c r="BZ184" s="851"/>
      <c r="CA184" s="851"/>
      <c r="CB184" s="851"/>
      <c r="CC184" s="851"/>
      <c r="CD184" s="851"/>
      <c r="CE184" s="851"/>
      <c r="CF184" s="851"/>
      <c r="CG184" s="851"/>
      <c r="CH184" s="851"/>
      <c r="CI184" s="851"/>
      <c r="CJ184" s="851"/>
      <c r="CK184" s="851"/>
      <c r="CL184" s="851"/>
      <c r="CM184" s="851"/>
      <c r="CN184" s="851"/>
      <c r="CO184" s="851"/>
      <c r="CP184" s="851"/>
      <c r="CQ184" s="851"/>
      <c r="CR184" s="851"/>
      <c r="CS184" s="851"/>
      <c r="CT184" s="851"/>
      <c r="CU184" s="851"/>
      <c r="CV184" s="851"/>
      <c r="CW184" s="851"/>
      <c r="CX184" s="851"/>
    </row>
    <row r="185" spans="56:142" x14ac:dyDescent="0.2">
      <c r="BD185" s="851"/>
      <c r="BE185" s="851"/>
      <c r="BF185" s="851"/>
      <c r="BG185" s="851"/>
      <c r="BH185" s="851"/>
      <c r="BI185" s="851"/>
      <c r="BJ185" s="851"/>
      <c r="BK185" s="851"/>
      <c r="BL185" s="851"/>
      <c r="BM185" s="851"/>
      <c r="BN185" s="851"/>
      <c r="BO185" s="851"/>
      <c r="BP185" s="851"/>
      <c r="BQ185" s="851"/>
      <c r="BR185" s="851"/>
      <c r="BS185" s="851"/>
      <c r="BT185" s="851"/>
      <c r="BU185" s="851"/>
      <c r="BV185" s="851"/>
      <c r="BW185" s="851"/>
      <c r="BX185" s="851"/>
      <c r="BY185" s="851"/>
      <c r="BZ185" s="851"/>
      <c r="CA185" s="851"/>
      <c r="CB185" s="851"/>
      <c r="CC185" s="851"/>
      <c r="CD185" s="851"/>
      <c r="CE185" s="851"/>
      <c r="CF185" s="851"/>
      <c r="CG185" s="851"/>
      <c r="CH185" s="851"/>
      <c r="CI185" s="851"/>
      <c r="CJ185" s="851"/>
      <c r="CK185" s="851"/>
      <c r="CL185" s="851"/>
      <c r="CM185" s="851"/>
      <c r="CN185" s="851"/>
      <c r="CO185" s="851"/>
      <c r="CP185" s="851"/>
      <c r="CQ185" s="851"/>
      <c r="CR185" s="851"/>
      <c r="CS185" s="851"/>
      <c r="CT185" s="851"/>
      <c r="CU185" s="851"/>
      <c r="CV185" s="851"/>
      <c r="CW185" s="851"/>
      <c r="CX185" s="851"/>
    </row>
    <row r="186" spans="56:142" x14ac:dyDescent="0.2">
      <c r="BD186" s="851"/>
      <c r="BE186" s="851"/>
      <c r="BF186" s="851"/>
      <c r="BG186" s="851"/>
      <c r="BH186" s="851"/>
      <c r="BI186" s="851"/>
      <c r="BJ186" s="851"/>
      <c r="BK186" s="851"/>
      <c r="BL186" s="851"/>
      <c r="BM186" s="851"/>
      <c r="BN186" s="851"/>
      <c r="BO186" s="851"/>
      <c r="BP186" s="851"/>
      <c r="BQ186" s="851"/>
      <c r="BR186" s="851"/>
      <c r="BS186" s="851"/>
      <c r="BT186" s="851"/>
      <c r="BU186" s="851"/>
      <c r="BV186" s="851"/>
      <c r="BW186" s="851"/>
      <c r="BX186" s="851"/>
      <c r="BY186" s="851"/>
      <c r="BZ186" s="851"/>
      <c r="CA186" s="851"/>
      <c r="CB186" s="851"/>
      <c r="CC186" s="851"/>
      <c r="CD186" s="851"/>
      <c r="CE186" s="851"/>
      <c r="CF186" s="851"/>
      <c r="CG186" s="851"/>
      <c r="CH186" s="851"/>
      <c r="CI186" s="851"/>
      <c r="CJ186" s="851"/>
      <c r="CK186" s="851"/>
      <c r="CL186" s="851"/>
      <c r="CM186" s="851"/>
      <c r="CN186" s="851"/>
      <c r="CO186" s="851"/>
      <c r="CP186" s="851"/>
      <c r="CQ186" s="851"/>
      <c r="CR186" s="851"/>
      <c r="CS186" s="851"/>
      <c r="CT186" s="851"/>
      <c r="CU186" s="851"/>
      <c r="CV186" s="851"/>
      <c r="CW186" s="851"/>
      <c r="CX186" s="851"/>
      <c r="DZ186" s="981"/>
      <c r="EA186" s="1244"/>
      <c r="EB186" s="1244"/>
      <c r="EC186" s="1244"/>
      <c r="ED186" s="1244"/>
      <c r="EE186" s="1244"/>
      <c r="EF186" s="1244"/>
      <c r="EG186" s="1244"/>
      <c r="EH186" s="1244"/>
      <c r="EI186" s="1243"/>
      <c r="EJ186" s="1243"/>
      <c r="EK186" s="981"/>
      <c r="EL186" s="981"/>
    </row>
    <row r="187" spans="56:142" x14ac:dyDescent="0.2">
      <c r="BD187" s="851"/>
      <c r="BE187" s="851"/>
      <c r="BF187" s="851"/>
      <c r="BG187" s="851"/>
      <c r="BH187" s="851"/>
      <c r="BI187" s="851"/>
      <c r="BJ187" s="851"/>
      <c r="BK187" s="851"/>
      <c r="BL187" s="851"/>
      <c r="BM187" s="851"/>
      <c r="BN187" s="851"/>
      <c r="BO187" s="851"/>
      <c r="BP187" s="851"/>
      <c r="BQ187" s="851"/>
      <c r="BR187" s="851"/>
      <c r="BS187" s="851"/>
      <c r="BT187" s="851"/>
      <c r="BU187" s="851"/>
      <c r="BV187" s="851"/>
      <c r="BW187" s="851"/>
      <c r="BX187" s="851"/>
      <c r="BY187" s="851"/>
      <c r="BZ187" s="851"/>
      <c r="CA187" s="851"/>
      <c r="CB187" s="851"/>
      <c r="CC187" s="851"/>
      <c r="CD187" s="851"/>
      <c r="CE187" s="851"/>
      <c r="CF187" s="851"/>
      <c r="CG187" s="851"/>
      <c r="CH187" s="851"/>
      <c r="CI187" s="851"/>
      <c r="CJ187" s="851"/>
      <c r="CK187" s="851"/>
      <c r="CL187" s="851"/>
      <c r="CM187" s="851"/>
      <c r="CN187" s="851"/>
      <c r="CO187" s="851"/>
      <c r="CP187" s="851"/>
      <c r="CQ187" s="851"/>
      <c r="CR187" s="851"/>
      <c r="CS187" s="851"/>
      <c r="CT187" s="851"/>
      <c r="CU187" s="851"/>
      <c r="CV187" s="851"/>
      <c r="CW187" s="851"/>
      <c r="CX187" s="851"/>
      <c r="DZ187" s="981"/>
      <c r="EA187" s="982"/>
      <c r="EB187" s="982"/>
      <c r="EC187" s="982"/>
      <c r="ED187" s="982"/>
      <c r="EE187" s="982"/>
      <c r="EF187" s="982"/>
      <c r="EG187" s="982"/>
      <c r="EH187" s="982"/>
      <c r="EI187" s="1243"/>
      <c r="EJ187" s="1243"/>
      <c r="EK187" s="981"/>
      <c r="EL187" s="981"/>
    </row>
    <row r="188" spans="56:142" x14ac:dyDescent="0.2">
      <c r="BD188" s="851"/>
      <c r="BE188" s="851"/>
      <c r="BF188" s="851"/>
      <c r="BG188" s="851"/>
      <c r="BH188" s="851"/>
      <c r="BI188" s="851"/>
      <c r="BJ188" s="851"/>
      <c r="BK188" s="851"/>
      <c r="BL188" s="851"/>
      <c r="BM188" s="851"/>
      <c r="BN188" s="851"/>
      <c r="BO188" s="851"/>
      <c r="BP188" s="851"/>
      <c r="BQ188" s="851"/>
      <c r="BR188" s="851"/>
      <c r="BS188" s="851"/>
      <c r="BT188" s="851"/>
      <c r="BU188" s="851"/>
      <c r="BV188" s="851"/>
      <c r="BW188" s="851"/>
      <c r="BX188" s="851"/>
      <c r="BY188" s="851"/>
      <c r="BZ188" s="851"/>
      <c r="CA188" s="851"/>
      <c r="CB188" s="851"/>
      <c r="CC188" s="851"/>
      <c r="CD188" s="851"/>
      <c r="CE188" s="851"/>
      <c r="CF188" s="851"/>
      <c r="CG188" s="851"/>
      <c r="CH188" s="851"/>
      <c r="CI188" s="851"/>
      <c r="CJ188" s="851"/>
      <c r="CK188" s="851"/>
      <c r="CL188" s="851"/>
      <c r="CM188" s="851"/>
      <c r="CN188" s="851"/>
      <c r="CO188" s="851"/>
      <c r="CP188" s="851"/>
      <c r="CQ188" s="851"/>
      <c r="CR188" s="851"/>
      <c r="CS188" s="851"/>
      <c r="CT188" s="851"/>
      <c r="CU188" s="851"/>
      <c r="CV188" s="851"/>
      <c r="CW188" s="851"/>
      <c r="CX188" s="851"/>
      <c r="DZ188" s="981"/>
      <c r="EA188" s="983"/>
      <c r="EB188" s="983"/>
      <c r="EC188" s="983"/>
      <c r="ED188" s="983"/>
      <c r="EE188" s="984"/>
      <c r="EF188" s="984"/>
      <c r="EG188" s="984"/>
      <c r="EH188" s="984"/>
      <c r="EI188" s="766"/>
      <c r="EJ188" s="766"/>
      <c r="EK188" s="981"/>
      <c r="EL188" s="981"/>
    </row>
    <row r="189" spans="56:142" x14ac:dyDescent="0.2">
      <c r="BD189" s="851"/>
      <c r="BE189" s="851"/>
      <c r="BF189" s="851"/>
      <c r="BG189" s="851"/>
      <c r="BH189" s="851"/>
      <c r="BI189" s="851"/>
      <c r="BJ189" s="851"/>
      <c r="BK189" s="851"/>
      <c r="BL189" s="851"/>
      <c r="BM189" s="851"/>
      <c r="BN189" s="851"/>
      <c r="BO189" s="851"/>
      <c r="BP189" s="851"/>
      <c r="BQ189" s="851"/>
      <c r="BR189" s="851"/>
      <c r="BS189" s="851"/>
      <c r="BT189" s="851"/>
      <c r="BU189" s="851"/>
      <c r="BV189" s="851"/>
      <c r="BW189" s="851"/>
      <c r="BX189" s="851"/>
      <c r="BY189" s="851"/>
      <c r="BZ189" s="851"/>
      <c r="CA189" s="851"/>
      <c r="CB189" s="851"/>
      <c r="CC189" s="851"/>
      <c r="CD189" s="851"/>
      <c r="CE189" s="851"/>
      <c r="CF189" s="851"/>
      <c r="CG189" s="851"/>
      <c r="CH189" s="851"/>
      <c r="CI189" s="851"/>
      <c r="CJ189" s="851"/>
      <c r="CK189" s="851"/>
      <c r="CL189" s="851"/>
      <c r="CM189" s="851"/>
      <c r="CN189" s="851"/>
      <c r="CO189" s="851"/>
      <c r="CP189" s="851"/>
      <c r="CQ189" s="851"/>
      <c r="CR189" s="851"/>
      <c r="CS189" s="851"/>
      <c r="CT189" s="851"/>
      <c r="CU189" s="851"/>
      <c r="CV189" s="851"/>
      <c r="CW189" s="851"/>
      <c r="CX189" s="851"/>
      <c r="DZ189" s="981"/>
      <c r="EA189" s="614"/>
      <c r="EB189" s="614"/>
      <c r="EC189" s="614"/>
      <c r="ED189" s="614"/>
      <c r="EE189" s="981"/>
      <c r="EF189" s="981"/>
      <c r="EG189" s="981"/>
      <c r="EH189" s="981"/>
      <c r="EI189" s="768"/>
      <c r="EJ189" s="768"/>
      <c r="EK189" s="981"/>
      <c r="EL189" s="981"/>
    </row>
    <row r="190" spans="56:142" x14ac:dyDescent="0.2">
      <c r="BD190" s="851"/>
      <c r="BE190" s="851"/>
      <c r="BF190" s="851"/>
      <c r="BG190" s="851"/>
      <c r="BH190" s="851"/>
      <c r="BI190" s="851"/>
      <c r="BJ190" s="851"/>
      <c r="BK190" s="851"/>
      <c r="BL190" s="851"/>
      <c r="BM190" s="851"/>
      <c r="BN190" s="851"/>
      <c r="BO190" s="851"/>
      <c r="BP190" s="851"/>
      <c r="BQ190" s="851"/>
      <c r="BR190" s="851"/>
      <c r="BS190" s="851"/>
      <c r="BT190" s="851"/>
      <c r="BU190" s="851"/>
      <c r="BV190" s="851"/>
      <c r="BW190" s="851"/>
      <c r="BX190" s="851"/>
      <c r="BY190" s="851"/>
      <c r="BZ190" s="851"/>
      <c r="CA190" s="851"/>
      <c r="CB190" s="851"/>
      <c r="CC190" s="851"/>
      <c r="CD190" s="851"/>
      <c r="CE190" s="851"/>
      <c r="CF190" s="851"/>
      <c r="CG190" s="851"/>
      <c r="CH190" s="851"/>
      <c r="CI190" s="851"/>
      <c r="CJ190" s="851"/>
      <c r="CK190" s="851"/>
      <c r="CL190" s="851"/>
      <c r="CM190" s="851"/>
      <c r="CN190" s="851"/>
      <c r="CO190" s="851"/>
      <c r="CP190" s="851"/>
      <c r="CQ190" s="851"/>
      <c r="CR190" s="851"/>
      <c r="CS190" s="851"/>
      <c r="CT190" s="851"/>
      <c r="CU190" s="851"/>
      <c r="CV190" s="851"/>
      <c r="CW190" s="851"/>
      <c r="CX190" s="851"/>
      <c r="DZ190" s="981"/>
      <c r="EA190" s="614"/>
      <c r="EB190" s="614"/>
      <c r="EC190" s="614"/>
      <c r="ED190" s="614"/>
      <c r="EE190" s="981"/>
      <c r="EF190" s="981"/>
      <c r="EG190" s="981"/>
      <c r="EH190" s="981"/>
      <c r="EI190" s="768"/>
      <c r="EJ190" s="768"/>
      <c r="EK190" s="981"/>
      <c r="EL190" s="981"/>
    </row>
    <row r="191" spans="56:142" x14ac:dyDescent="0.2">
      <c r="BD191" s="851"/>
      <c r="BE191" s="851"/>
      <c r="BF191" s="851"/>
      <c r="BG191" s="851"/>
      <c r="BH191" s="851"/>
      <c r="BI191" s="851"/>
      <c r="BJ191" s="851"/>
      <c r="BK191" s="851"/>
      <c r="BL191" s="851"/>
      <c r="BM191" s="851"/>
      <c r="BN191" s="851"/>
      <c r="BO191" s="851"/>
      <c r="BP191" s="851"/>
      <c r="BQ191" s="851"/>
      <c r="BR191" s="851"/>
      <c r="BS191" s="851"/>
      <c r="BT191" s="851"/>
      <c r="BU191" s="851"/>
      <c r="BV191" s="851"/>
      <c r="BW191" s="851"/>
      <c r="BX191" s="851"/>
      <c r="BY191" s="851"/>
      <c r="BZ191" s="851"/>
      <c r="CA191" s="851"/>
      <c r="CB191" s="851"/>
      <c r="CC191" s="851"/>
      <c r="CD191" s="851"/>
      <c r="CE191" s="851"/>
      <c r="CF191" s="851"/>
      <c r="CG191" s="851"/>
      <c r="CH191" s="851"/>
      <c r="CI191" s="851"/>
      <c r="CJ191" s="851"/>
      <c r="CK191" s="851"/>
      <c r="CL191" s="851"/>
      <c r="CM191" s="851"/>
      <c r="CN191" s="851"/>
      <c r="CO191" s="851"/>
      <c r="CP191" s="851"/>
      <c r="CQ191" s="851"/>
      <c r="CR191" s="851"/>
      <c r="CS191" s="851"/>
      <c r="CT191" s="851"/>
      <c r="CU191" s="851"/>
      <c r="CV191" s="851"/>
      <c r="CW191" s="851"/>
      <c r="CX191" s="851"/>
      <c r="DZ191" s="981"/>
      <c r="EA191" s="614"/>
      <c r="EB191" s="614"/>
      <c r="EC191" s="614"/>
      <c r="ED191" s="614"/>
      <c r="EE191" s="981"/>
      <c r="EF191" s="981"/>
      <c r="EG191" s="981"/>
      <c r="EH191" s="981"/>
      <c r="EI191" s="768"/>
      <c r="EJ191" s="768"/>
      <c r="EK191" s="981"/>
      <c r="EL191" s="981"/>
    </row>
    <row r="192" spans="56:142" x14ac:dyDescent="0.2">
      <c r="BD192" s="851"/>
      <c r="BE192" s="851"/>
      <c r="BF192" s="851"/>
      <c r="BG192" s="851"/>
      <c r="BH192" s="851"/>
      <c r="BI192" s="851"/>
      <c r="BJ192" s="851"/>
      <c r="BK192" s="851"/>
      <c r="BL192" s="851"/>
      <c r="BM192" s="851"/>
      <c r="BN192" s="851"/>
      <c r="BO192" s="851"/>
      <c r="BP192" s="851"/>
      <c r="BQ192" s="851"/>
      <c r="BR192" s="851"/>
      <c r="BS192" s="851"/>
      <c r="BT192" s="851"/>
      <c r="BU192" s="851"/>
      <c r="BV192" s="851"/>
      <c r="BW192" s="851"/>
      <c r="BX192" s="851"/>
      <c r="BY192" s="851"/>
      <c r="BZ192" s="851"/>
      <c r="CA192" s="851"/>
      <c r="CB192" s="851"/>
      <c r="CC192" s="851"/>
      <c r="CD192" s="851"/>
      <c r="CE192" s="851"/>
      <c r="CF192" s="851"/>
      <c r="CG192" s="851"/>
      <c r="CH192" s="851"/>
      <c r="CI192" s="851"/>
      <c r="CJ192" s="851"/>
      <c r="CK192" s="851"/>
      <c r="CL192" s="851"/>
      <c r="CM192" s="851"/>
      <c r="CN192" s="851"/>
      <c r="CO192" s="851"/>
      <c r="CP192" s="851"/>
      <c r="CQ192" s="851"/>
      <c r="CR192" s="851"/>
      <c r="CS192" s="851"/>
      <c r="CT192" s="851"/>
      <c r="CU192" s="851"/>
      <c r="CV192" s="851"/>
      <c r="CW192" s="851"/>
      <c r="CX192" s="851"/>
      <c r="DZ192" s="981"/>
      <c r="EA192" s="614"/>
      <c r="EB192" s="614"/>
      <c r="EC192" s="614"/>
      <c r="ED192" s="614"/>
      <c r="EE192" s="981"/>
      <c r="EF192" s="981"/>
      <c r="EG192" s="981"/>
      <c r="EH192" s="981"/>
      <c r="EI192" s="768"/>
      <c r="EJ192" s="768"/>
      <c r="EK192" s="981"/>
      <c r="EL192" s="981"/>
    </row>
    <row r="193" spans="56:142" x14ac:dyDescent="0.2">
      <c r="BD193" s="851"/>
      <c r="BE193" s="851"/>
      <c r="BF193" s="851"/>
      <c r="BG193" s="851"/>
      <c r="BH193" s="851"/>
      <c r="BI193" s="851"/>
      <c r="BJ193" s="851"/>
      <c r="BK193" s="851"/>
      <c r="BL193" s="851"/>
      <c r="BM193" s="851"/>
      <c r="BN193" s="851"/>
      <c r="BO193" s="851"/>
      <c r="BP193" s="851"/>
      <c r="BQ193" s="851"/>
      <c r="BR193" s="851"/>
      <c r="BS193" s="851"/>
      <c r="BT193" s="851"/>
      <c r="BU193" s="851"/>
      <c r="BV193" s="851"/>
      <c r="BW193" s="851"/>
      <c r="BX193" s="851"/>
      <c r="BY193" s="851"/>
      <c r="BZ193" s="851"/>
      <c r="CA193" s="851"/>
      <c r="CB193" s="851"/>
      <c r="CC193" s="851"/>
      <c r="CD193" s="851"/>
      <c r="CE193" s="851"/>
      <c r="CF193" s="851"/>
      <c r="CG193" s="851"/>
      <c r="CH193" s="851"/>
      <c r="CI193" s="851"/>
      <c r="CJ193" s="851"/>
      <c r="CK193" s="851"/>
      <c r="CL193" s="851"/>
      <c r="CM193" s="851"/>
      <c r="CN193" s="851"/>
      <c r="CO193" s="851"/>
      <c r="CP193" s="851"/>
      <c r="CQ193" s="851"/>
      <c r="CR193" s="851"/>
      <c r="CS193" s="851"/>
      <c r="CT193" s="851"/>
      <c r="CU193" s="851"/>
      <c r="CV193" s="851"/>
      <c r="CW193" s="851"/>
      <c r="CX193" s="851"/>
      <c r="DZ193" s="981"/>
      <c r="EA193" s="614"/>
      <c r="EB193" s="614"/>
      <c r="EC193" s="614"/>
      <c r="ED193" s="614"/>
      <c r="EE193" s="981"/>
      <c r="EF193" s="981"/>
      <c r="EG193" s="981"/>
      <c r="EH193" s="981"/>
      <c r="EI193" s="768"/>
      <c r="EJ193" s="768"/>
      <c r="EK193" s="981"/>
      <c r="EL193" s="981"/>
    </row>
    <row r="194" spans="56:142" x14ac:dyDescent="0.2">
      <c r="BD194" s="851"/>
      <c r="BE194" s="851"/>
      <c r="BF194" s="851"/>
      <c r="BG194" s="851"/>
      <c r="BH194" s="851"/>
      <c r="BI194" s="851"/>
      <c r="BJ194" s="851"/>
      <c r="BK194" s="851"/>
      <c r="BL194" s="851"/>
      <c r="BM194" s="851"/>
      <c r="BN194" s="851"/>
      <c r="BO194" s="851"/>
      <c r="BP194" s="851"/>
      <c r="BQ194" s="851"/>
      <c r="BR194" s="851"/>
      <c r="BS194" s="851"/>
      <c r="BT194" s="851"/>
      <c r="BU194" s="851"/>
      <c r="BV194" s="851"/>
      <c r="BW194" s="851"/>
      <c r="BX194" s="851"/>
      <c r="BY194" s="851"/>
      <c r="BZ194" s="851"/>
      <c r="CA194" s="851"/>
      <c r="CB194" s="851"/>
      <c r="CC194" s="851"/>
      <c r="CD194" s="851"/>
      <c r="CE194" s="851"/>
      <c r="CF194" s="851"/>
      <c r="CG194" s="851"/>
      <c r="CH194" s="851"/>
      <c r="CI194" s="851"/>
      <c r="CJ194" s="851"/>
      <c r="CK194" s="851"/>
      <c r="CL194" s="851"/>
      <c r="CM194" s="851"/>
      <c r="CN194" s="851"/>
      <c r="CO194" s="851"/>
      <c r="CP194" s="851"/>
      <c r="CQ194" s="851"/>
      <c r="CR194" s="851"/>
      <c r="CS194" s="851"/>
      <c r="CT194" s="851"/>
      <c r="CU194" s="851"/>
      <c r="CV194" s="851"/>
      <c r="CW194" s="851"/>
      <c r="CX194" s="851"/>
      <c r="DZ194" s="981"/>
      <c r="EA194" s="614"/>
      <c r="EB194" s="614"/>
      <c r="EC194" s="614"/>
      <c r="ED194" s="614"/>
      <c r="EE194" s="981"/>
      <c r="EF194" s="981"/>
      <c r="EG194" s="981"/>
      <c r="EH194" s="981"/>
      <c r="EI194" s="768"/>
      <c r="EJ194" s="768"/>
      <c r="EK194" s="981"/>
      <c r="EL194" s="981"/>
    </row>
    <row r="195" spans="56:142" x14ac:dyDescent="0.2">
      <c r="BD195" s="851"/>
      <c r="BE195" s="851"/>
      <c r="BF195" s="851"/>
      <c r="BG195" s="851"/>
      <c r="BH195" s="851"/>
      <c r="BI195" s="851"/>
      <c r="BJ195" s="851"/>
      <c r="BK195" s="851"/>
      <c r="BL195" s="851"/>
      <c r="BM195" s="851"/>
      <c r="BN195" s="851"/>
      <c r="BO195" s="851"/>
      <c r="BP195" s="851"/>
      <c r="BQ195" s="851"/>
      <c r="BR195" s="851"/>
      <c r="BS195" s="851"/>
      <c r="BT195" s="851"/>
      <c r="BU195" s="851"/>
      <c r="BV195" s="851"/>
      <c r="BW195" s="851"/>
      <c r="BX195" s="851"/>
      <c r="BY195" s="851"/>
      <c r="BZ195" s="851"/>
      <c r="CA195" s="851"/>
      <c r="CB195" s="851"/>
      <c r="CC195" s="851"/>
      <c r="CD195" s="851"/>
      <c r="CE195" s="851"/>
      <c r="CF195" s="851"/>
      <c r="CG195" s="851"/>
      <c r="CH195" s="851"/>
      <c r="CI195" s="851"/>
      <c r="CJ195" s="851"/>
      <c r="CK195" s="851"/>
      <c r="CL195" s="851"/>
      <c r="CM195" s="851"/>
      <c r="CN195" s="851"/>
      <c r="CO195" s="851"/>
      <c r="CP195" s="851"/>
      <c r="CQ195" s="851"/>
      <c r="CR195" s="851"/>
      <c r="CS195" s="851"/>
      <c r="CT195" s="851"/>
      <c r="CU195" s="851"/>
      <c r="CV195" s="851"/>
      <c r="CW195" s="851"/>
      <c r="CX195" s="851"/>
      <c r="DZ195" s="981"/>
      <c r="EA195" s="614"/>
      <c r="EB195" s="614"/>
      <c r="EC195" s="614"/>
      <c r="ED195" s="614"/>
      <c r="EE195" s="981"/>
      <c r="EF195" s="981"/>
      <c r="EG195" s="981"/>
      <c r="EH195" s="981"/>
      <c r="EI195" s="768"/>
      <c r="EJ195" s="768"/>
      <c r="EK195" s="981"/>
      <c r="EL195" s="981"/>
    </row>
    <row r="196" spans="56:142" x14ac:dyDescent="0.2">
      <c r="BD196" s="851"/>
      <c r="BE196" s="851"/>
      <c r="BF196" s="851"/>
      <c r="BG196" s="851"/>
      <c r="BH196" s="851"/>
      <c r="BI196" s="851"/>
      <c r="BJ196" s="851"/>
      <c r="BK196" s="851"/>
      <c r="BL196" s="851"/>
      <c r="BM196" s="851"/>
      <c r="BN196" s="851"/>
      <c r="BO196" s="851"/>
      <c r="BP196" s="851"/>
      <c r="BQ196" s="851"/>
      <c r="BR196" s="851"/>
      <c r="BS196" s="851"/>
      <c r="BT196" s="851"/>
      <c r="BU196" s="851"/>
      <c r="BV196" s="851"/>
      <c r="BW196" s="851"/>
      <c r="BX196" s="851"/>
      <c r="BY196" s="851"/>
      <c r="BZ196" s="851"/>
      <c r="CA196" s="851"/>
      <c r="CB196" s="851"/>
      <c r="CC196" s="851"/>
      <c r="CD196" s="851"/>
      <c r="CE196" s="851"/>
      <c r="CF196" s="851"/>
      <c r="CG196" s="851"/>
      <c r="CH196" s="851"/>
      <c r="CI196" s="851"/>
      <c r="CJ196" s="851"/>
      <c r="CK196" s="851"/>
      <c r="CL196" s="851"/>
      <c r="CM196" s="851"/>
      <c r="CN196" s="851"/>
      <c r="CO196" s="851"/>
      <c r="CP196" s="851"/>
      <c r="CQ196" s="851"/>
      <c r="CR196" s="851"/>
      <c r="CS196" s="851"/>
      <c r="CT196" s="851"/>
      <c r="CU196" s="851"/>
      <c r="CV196" s="851"/>
      <c r="CW196" s="851"/>
      <c r="CX196" s="851"/>
      <c r="DZ196" s="981"/>
      <c r="EA196" s="614"/>
      <c r="EB196" s="614"/>
      <c r="EC196" s="614"/>
      <c r="ED196" s="614"/>
      <c r="EE196" s="981"/>
      <c r="EF196" s="981"/>
      <c r="EG196" s="981"/>
      <c r="EH196" s="981"/>
      <c r="EI196" s="768"/>
      <c r="EJ196" s="768"/>
      <c r="EK196" s="981"/>
      <c r="EL196" s="981"/>
    </row>
    <row r="197" spans="56:142" x14ac:dyDescent="0.2">
      <c r="BD197" s="851"/>
      <c r="BE197" s="851"/>
      <c r="BF197" s="851"/>
      <c r="BG197" s="851"/>
      <c r="BH197" s="851"/>
      <c r="BI197" s="851"/>
      <c r="BJ197" s="851"/>
      <c r="BK197" s="851"/>
      <c r="BL197" s="851"/>
      <c r="BM197" s="851"/>
      <c r="BN197" s="851"/>
      <c r="BO197" s="851"/>
      <c r="BP197" s="851"/>
      <c r="BQ197" s="851"/>
      <c r="BR197" s="851"/>
      <c r="BS197" s="851"/>
      <c r="BT197" s="851"/>
      <c r="BU197" s="851"/>
      <c r="BV197" s="851"/>
      <c r="BW197" s="851"/>
      <c r="BX197" s="851"/>
      <c r="BY197" s="851"/>
      <c r="BZ197" s="851"/>
      <c r="CA197" s="851"/>
      <c r="CB197" s="851"/>
      <c r="CC197" s="851"/>
      <c r="CD197" s="851"/>
      <c r="CE197" s="851"/>
      <c r="CF197" s="851"/>
      <c r="CG197" s="851"/>
      <c r="CH197" s="851"/>
      <c r="CI197" s="851"/>
      <c r="CJ197" s="851"/>
      <c r="CK197" s="851"/>
      <c r="CL197" s="851"/>
      <c r="CM197" s="851"/>
      <c r="CN197" s="851"/>
      <c r="CO197" s="851"/>
      <c r="CP197" s="851"/>
      <c r="CQ197" s="851"/>
      <c r="CR197" s="851"/>
      <c r="CS197" s="851"/>
      <c r="CT197" s="851"/>
      <c r="CU197" s="851"/>
      <c r="CV197" s="851"/>
      <c r="CW197" s="851"/>
      <c r="CX197" s="851"/>
      <c r="DZ197" s="981"/>
      <c r="EA197" s="614"/>
      <c r="EB197" s="614"/>
      <c r="EC197" s="614"/>
      <c r="ED197" s="614"/>
      <c r="EE197" s="981"/>
      <c r="EF197" s="981"/>
      <c r="EG197" s="981"/>
      <c r="EH197" s="981"/>
      <c r="EI197" s="768"/>
      <c r="EJ197" s="768"/>
      <c r="EK197" s="981"/>
      <c r="EL197" s="981"/>
    </row>
    <row r="198" spans="56:142" x14ac:dyDescent="0.2">
      <c r="BD198" s="851"/>
      <c r="BE198" s="851"/>
      <c r="BF198" s="851"/>
      <c r="BG198" s="851"/>
      <c r="BH198" s="851"/>
      <c r="BI198" s="851"/>
      <c r="BJ198" s="851"/>
      <c r="BK198" s="851"/>
      <c r="BL198" s="851"/>
      <c r="BM198" s="851"/>
      <c r="BN198" s="851"/>
      <c r="BO198" s="851"/>
      <c r="BP198" s="851"/>
      <c r="BQ198" s="851"/>
      <c r="BR198" s="851"/>
      <c r="BS198" s="851"/>
      <c r="BT198" s="851"/>
      <c r="BU198" s="851"/>
      <c r="BV198" s="851"/>
      <c r="BW198" s="851"/>
      <c r="BX198" s="851"/>
      <c r="BY198" s="851"/>
      <c r="BZ198" s="851"/>
      <c r="CA198" s="851"/>
      <c r="CB198" s="851"/>
      <c r="CC198" s="851"/>
      <c r="CD198" s="851"/>
      <c r="CE198" s="851"/>
      <c r="CF198" s="851"/>
      <c r="CG198" s="851"/>
      <c r="CH198" s="851"/>
      <c r="CI198" s="851"/>
      <c r="CJ198" s="851"/>
      <c r="CK198" s="851"/>
      <c r="CL198" s="851"/>
      <c r="CM198" s="851"/>
      <c r="CN198" s="851"/>
      <c r="CO198" s="851"/>
      <c r="CP198" s="851"/>
      <c r="CQ198" s="851"/>
      <c r="CR198" s="851"/>
      <c r="CS198" s="851"/>
      <c r="CT198" s="851"/>
      <c r="CU198" s="851"/>
      <c r="CV198" s="851"/>
      <c r="CW198" s="851"/>
      <c r="CX198" s="851"/>
      <c r="DZ198" s="981"/>
      <c r="EA198" s="614"/>
      <c r="EB198" s="614"/>
      <c r="EC198" s="614"/>
      <c r="ED198" s="614"/>
      <c r="EE198" s="981"/>
      <c r="EF198" s="981"/>
      <c r="EG198" s="981"/>
      <c r="EH198" s="981"/>
      <c r="EI198" s="768"/>
      <c r="EJ198" s="768"/>
      <c r="EK198" s="981"/>
      <c r="EL198" s="981"/>
    </row>
    <row r="199" spans="56:142" x14ac:dyDescent="0.2">
      <c r="BD199" s="851"/>
      <c r="BE199" s="851"/>
      <c r="BF199" s="851"/>
      <c r="BG199" s="851"/>
      <c r="BH199" s="851"/>
      <c r="BI199" s="851"/>
      <c r="BJ199" s="851"/>
      <c r="BK199" s="851"/>
      <c r="BL199" s="851"/>
      <c r="BM199" s="851"/>
      <c r="BN199" s="851"/>
      <c r="BO199" s="851"/>
      <c r="BP199" s="851"/>
      <c r="BQ199" s="851"/>
      <c r="BR199" s="851"/>
      <c r="BS199" s="851"/>
      <c r="BT199" s="851"/>
      <c r="BU199" s="851"/>
      <c r="BV199" s="851"/>
      <c r="BW199" s="851"/>
      <c r="BX199" s="851"/>
      <c r="BY199" s="851"/>
      <c r="BZ199" s="851"/>
      <c r="CA199" s="851"/>
      <c r="CB199" s="851"/>
      <c r="CC199" s="851"/>
      <c r="CD199" s="851"/>
      <c r="CE199" s="851"/>
      <c r="CF199" s="851"/>
      <c r="CG199" s="851"/>
      <c r="CH199" s="851"/>
      <c r="CI199" s="851"/>
      <c r="CJ199" s="851"/>
      <c r="CK199" s="851"/>
      <c r="CL199" s="851"/>
      <c r="CM199" s="851"/>
      <c r="CN199" s="851"/>
      <c r="CO199" s="851"/>
      <c r="CP199" s="851"/>
      <c r="CQ199" s="851"/>
      <c r="CR199" s="851"/>
      <c r="CS199" s="851"/>
      <c r="CT199" s="851"/>
      <c r="CU199" s="851"/>
      <c r="CV199" s="851"/>
      <c r="CW199" s="851"/>
      <c r="CX199" s="851"/>
      <c r="DZ199" s="981"/>
      <c r="EA199" s="614"/>
      <c r="EB199" s="614"/>
      <c r="EC199" s="614"/>
      <c r="ED199" s="614"/>
      <c r="EE199" s="981"/>
      <c r="EF199" s="981"/>
      <c r="EG199" s="981"/>
      <c r="EH199" s="981"/>
      <c r="EI199" s="768"/>
      <c r="EJ199" s="768"/>
      <c r="EK199" s="981"/>
      <c r="EL199" s="981"/>
    </row>
    <row r="200" spans="56:142" x14ac:dyDescent="0.2">
      <c r="BD200" s="851"/>
      <c r="BE200" s="851"/>
      <c r="BF200" s="851"/>
      <c r="BG200" s="851"/>
      <c r="BH200" s="851"/>
      <c r="BI200" s="851"/>
      <c r="BJ200" s="851"/>
      <c r="BK200" s="851"/>
      <c r="BL200" s="851"/>
      <c r="BM200" s="851"/>
      <c r="BN200" s="851"/>
      <c r="BO200" s="851"/>
      <c r="BP200" s="851"/>
      <c r="BQ200" s="851"/>
      <c r="BR200" s="851"/>
      <c r="BS200" s="851"/>
      <c r="BT200" s="851"/>
      <c r="BU200" s="851"/>
      <c r="BV200" s="851"/>
      <c r="BW200" s="851"/>
      <c r="BX200" s="851"/>
      <c r="BY200" s="851"/>
      <c r="BZ200" s="851"/>
      <c r="CA200" s="851"/>
      <c r="CB200" s="851"/>
      <c r="CC200" s="851"/>
      <c r="CD200" s="851"/>
      <c r="CE200" s="851"/>
      <c r="CF200" s="851"/>
      <c r="CG200" s="851"/>
      <c r="CH200" s="851"/>
      <c r="CI200" s="851"/>
      <c r="CJ200" s="851"/>
      <c r="CK200" s="851"/>
      <c r="CL200" s="851"/>
      <c r="CM200" s="851"/>
      <c r="CN200" s="851"/>
      <c r="CO200" s="851"/>
      <c r="CP200" s="851"/>
      <c r="CQ200" s="851"/>
      <c r="CR200" s="851"/>
      <c r="CS200" s="851"/>
      <c r="CT200" s="851"/>
      <c r="CU200" s="851"/>
      <c r="CV200" s="851"/>
      <c r="CW200" s="851"/>
      <c r="CX200" s="851"/>
      <c r="DZ200" s="981"/>
      <c r="EA200" s="614"/>
      <c r="EB200" s="614"/>
      <c r="EC200" s="614"/>
      <c r="ED200" s="614"/>
      <c r="EE200" s="981"/>
      <c r="EF200" s="981"/>
      <c r="EG200" s="981"/>
      <c r="EH200" s="981"/>
      <c r="EI200" s="768"/>
      <c r="EJ200" s="768"/>
      <c r="EK200" s="981"/>
      <c r="EL200" s="981"/>
    </row>
    <row r="201" spans="56:142" x14ac:dyDescent="0.2">
      <c r="BD201" s="851"/>
      <c r="BE201" s="851"/>
      <c r="BF201" s="851"/>
      <c r="BG201" s="851"/>
      <c r="BH201" s="851"/>
      <c r="BI201" s="851"/>
      <c r="BJ201" s="851"/>
      <c r="BK201" s="851"/>
      <c r="BL201" s="851"/>
      <c r="BM201" s="851"/>
      <c r="BN201" s="851"/>
      <c r="BO201" s="851"/>
      <c r="BP201" s="851"/>
      <c r="BQ201" s="851"/>
      <c r="BR201" s="851"/>
      <c r="BS201" s="851"/>
      <c r="BT201" s="851"/>
      <c r="BU201" s="851"/>
      <c r="BV201" s="851"/>
      <c r="BW201" s="851"/>
      <c r="BX201" s="851"/>
      <c r="BY201" s="851"/>
      <c r="BZ201" s="851"/>
      <c r="CA201" s="851"/>
      <c r="CB201" s="851"/>
      <c r="CC201" s="851"/>
      <c r="CD201" s="851"/>
      <c r="CE201" s="851"/>
      <c r="CF201" s="851"/>
      <c r="CG201" s="851"/>
      <c r="CH201" s="851"/>
      <c r="CI201" s="851"/>
      <c r="CJ201" s="851"/>
      <c r="CK201" s="851"/>
      <c r="CL201" s="851"/>
      <c r="CM201" s="851"/>
      <c r="CN201" s="851"/>
      <c r="CO201" s="851"/>
      <c r="CP201" s="851"/>
      <c r="CQ201" s="851"/>
      <c r="CR201" s="851"/>
      <c r="CS201" s="851"/>
      <c r="CT201" s="851"/>
      <c r="CU201" s="851"/>
      <c r="CV201" s="851"/>
      <c r="CW201" s="851"/>
      <c r="CX201" s="851"/>
      <c r="DZ201" s="981"/>
      <c r="EA201" s="614"/>
      <c r="EB201" s="614"/>
      <c r="EC201" s="614"/>
      <c r="ED201" s="614"/>
      <c r="EE201" s="981"/>
      <c r="EF201" s="981"/>
      <c r="EG201" s="981"/>
      <c r="EH201" s="981"/>
      <c r="EI201" s="768"/>
      <c r="EJ201" s="768"/>
      <c r="EK201" s="981"/>
      <c r="EL201" s="981"/>
    </row>
    <row r="202" spans="56:142" x14ac:dyDescent="0.2">
      <c r="BD202" s="851"/>
      <c r="BE202" s="851"/>
      <c r="BF202" s="851"/>
      <c r="BG202" s="851"/>
      <c r="BH202" s="851"/>
      <c r="BI202" s="851"/>
      <c r="BJ202" s="851"/>
      <c r="BK202" s="851"/>
      <c r="BL202" s="851"/>
      <c r="BM202" s="851"/>
      <c r="BN202" s="851"/>
      <c r="BO202" s="851"/>
      <c r="BP202" s="851"/>
      <c r="BQ202" s="851"/>
      <c r="BR202" s="851"/>
      <c r="BS202" s="851"/>
      <c r="BT202" s="851"/>
      <c r="BU202" s="851"/>
      <c r="BV202" s="851"/>
      <c r="BW202" s="851"/>
      <c r="BX202" s="851"/>
      <c r="BY202" s="851"/>
      <c r="BZ202" s="851"/>
      <c r="CA202" s="851"/>
      <c r="CB202" s="851"/>
      <c r="CC202" s="851"/>
      <c r="CD202" s="851"/>
      <c r="CE202" s="851"/>
      <c r="CF202" s="851"/>
      <c r="CG202" s="851"/>
      <c r="CH202" s="851"/>
      <c r="CI202" s="851"/>
      <c r="CJ202" s="851"/>
      <c r="CK202" s="851"/>
      <c r="CL202" s="851"/>
      <c r="CM202" s="851"/>
      <c r="CN202" s="851"/>
      <c r="CO202" s="851"/>
      <c r="CP202" s="851"/>
      <c r="CQ202" s="851"/>
      <c r="CR202" s="851"/>
      <c r="CS202" s="851"/>
      <c r="CT202" s="851"/>
      <c r="CU202" s="851"/>
      <c r="CV202" s="851"/>
      <c r="CW202" s="851"/>
      <c r="CX202" s="851"/>
      <c r="DZ202" s="981"/>
      <c r="EA202" s="614"/>
      <c r="EB202" s="614"/>
      <c r="EC202" s="614"/>
      <c r="ED202" s="614"/>
      <c r="EE202" s="981"/>
      <c r="EF202" s="981"/>
      <c r="EG202" s="981"/>
      <c r="EH202" s="981"/>
      <c r="EI202" s="768"/>
      <c r="EJ202" s="768"/>
      <c r="EK202" s="981"/>
      <c r="EL202" s="981"/>
    </row>
    <row r="203" spans="56:142" x14ac:dyDescent="0.2">
      <c r="BD203" s="851"/>
      <c r="BE203" s="851"/>
      <c r="BF203" s="851"/>
      <c r="BG203" s="851"/>
      <c r="BH203" s="851"/>
      <c r="BI203" s="851"/>
      <c r="BJ203" s="851"/>
      <c r="BK203" s="851"/>
      <c r="BL203" s="851"/>
      <c r="BM203" s="851"/>
      <c r="BN203" s="851"/>
      <c r="BO203" s="851"/>
      <c r="BP203" s="851"/>
      <c r="BQ203" s="851"/>
      <c r="BR203" s="851"/>
      <c r="BS203" s="851"/>
      <c r="BT203" s="851"/>
      <c r="BU203" s="851"/>
      <c r="BV203" s="851"/>
      <c r="BW203" s="851"/>
      <c r="BX203" s="851"/>
      <c r="BY203" s="851"/>
      <c r="BZ203" s="851"/>
      <c r="CA203" s="851"/>
      <c r="CB203" s="851"/>
      <c r="CC203" s="851"/>
      <c r="CD203" s="851"/>
      <c r="CE203" s="851"/>
      <c r="CF203" s="851"/>
      <c r="CG203" s="851"/>
      <c r="CH203" s="851"/>
      <c r="CI203" s="851"/>
      <c r="CJ203" s="851"/>
      <c r="CK203" s="851"/>
      <c r="CL203" s="851"/>
      <c r="CM203" s="851"/>
      <c r="CN203" s="851"/>
      <c r="CO203" s="851"/>
      <c r="CP203" s="851"/>
      <c r="CQ203" s="851"/>
      <c r="CR203" s="851"/>
      <c r="CS203" s="851"/>
      <c r="CT203" s="851"/>
      <c r="CU203" s="851"/>
      <c r="CV203" s="851"/>
      <c r="CW203" s="851"/>
      <c r="CX203" s="851"/>
      <c r="DZ203" s="981"/>
      <c r="EA203" s="614"/>
      <c r="EB203" s="614"/>
      <c r="EC203" s="614"/>
      <c r="ED203" s="614"/>
      <c r="EE203" s="981"/>
      <c r="EF203" s="981"/>
      <c r="EG203" s="981"/>
      <c r="EH203" s="981"/>
      <c r="EI203" s="768"/>
      <c r="EJ203" s="768"/>
      <c r="EK203" s="981"/>
      <c r="EL203" s="981"/>
    </row>
    <row r="204" spans="56:142" x14ac:dyDescent="0.2">
      <c r="BD204" s="851"/>
      <c r="BE204" s="851"/>
      <c r="BF204" s="851"/>
      <c r="BG204" s="851"/>
      <c r="BH204" s="851"/>
      <c r="BI204" s="851"/>
      <c r="BJ204" s="851"/>
      <c r="BK204" s="851"/>
      <c r="BL204" s="851"/>
      <c r="BM204" s="851"/>
      <c r="BN204" s="851"/>
      <c r="BO204" s="851"/>
      <c r="BP204" s="851"/>
      <c r="BQ204" s="851"/>
      <c r="BR204" s="851"/>
      <c r="BS204" s="851"/>
      <c r="BT204" s="851"/>
      <c r="BU204" s="851"/>
      <c r="BV204" s="851"/>
      <c r="BW204" s="851"/>
      <c r="BX204" s="851"/>
      <c r="BY204" s="851"/>
      <c r="BZ204" s="851"/>
      <c r="CA204" s="851"/>
      <c r="CB204" s="851"/>
      <c r="CC204" s="851"/>
      <c r="CD204" s="851"/>
      <c r="CE204" s="851"/>
      <c r="CF204" s="851"/>
      <c r="CG204" s="851"/>
      <c r="CH204" s="851"/>
      <c r="CI204" s="851"/>
      <c r="CJ204" s="851"/>
      <c r="CK204" s="851"/>
      <c r="CL204" s="851"/>
      <c r="CM204" s="851"/>
      <c r="CN204" s="851"/>
      <c r="CO204" s="851"/>
      <c r="CP204" s="851"/>
      <c r="CQ204" s="851"/>
      <c r="CR204" s="851"/>
      <c r="CS204" s="851"/>
      <c r="CT204" s="851"/>
      <c r="CU204" s="851"/>
      <c r="CV204" s="851"/>
      <c r="CW204" s="851"/>
      <c r="CX204" s="851"/>
      <c r="DZ204" s="981"/>
      <c r="EA204" s="981"/>
      <c r="EB204" s="981"/>
      <c r="EC204" s="981"/>
      <c r="ED204" s="981"/>
      <c r="EE204" s="981"/>
      <c r="EF204" s="981"/>
      <c r="EG204" s="981"/>
      <c r="EH204" s="981"/>
      <c r="EI204" s="981"/>
      <c r="EJ204" s="981"/>
      <c r="EK204" s="981"/>
      <c r="EL204" s="981"/>
    </row>
    <row r="205" spans="56:142" x14ac:dyDescent="0.2">
      <c r="BD205" s="851"/>
      <c r="BE205" s="851"/>
      <c r="BF205" s="851"/>
      <c r="BG205" s="851"/>
      <c r="BH205" s="851"/>
      <c r="BI205" s="851"/>
      <c r="BJ205" s="851"/>
      <c r="BK205" s="851"/>
      <c r="BL205" s="851"/>
      <c r="BM205" s="851"/>
      <c r="BN205" s="851"/>
      <c r="BO205" s="851"/>
      <c r="BP205" s="851"/>
      <c r="BQ205" s="851"/>
      <c r="BR205" s="851"/>
      <c r="BS205" s="851"/>
      <c r="BT205" s="851"/>
      <c r="BU205" s="851"/>
      <c r="BV205" s="851"/>
      <c r="BW205" s="851"/>
      <c r="BX205" s="851"/>
      <c r="BY205" s="851"/>
      <c r="BZ205" s="851"/>
      <c r="CA205" s="851"/>
      <c r="CB205" s="851"/>
      <c r="CC205" s="851"/>
      <c r="CD205" s="851"/>
      <c r="CE205" s="851"/>
      <c r="CF205" s="851"/>
      <c r="CG205" s="851"/>
      <c r="CH205" s="851"/>
      <c r="CI205" s="851"/>
      <c r="CJ205" s="851"/>
      <c r="CK205" s="851"/>
      <c r="CL205" s="851"/>
      <c r="CM205" s="851"/>
      <c r="CN205" s="851"/>
      <c r="CO205" s="851"/>
      <c r="CP205" s="851"/>
      <c r="CQ205" s="851"/>
      <c r="CR205" s="851"/>
      <c r="CS205" s="851"/>
      <c r="CT205" s="851"/>
      <c r="CU205" s="851"/>
      <c r="CV205" s="851"/>
      <c r="CW205" s="851"/>
      <c r="CX205" s="851"/>
    </row>
    <row r="206" spans="56:142" x14ac:dyDescent="0.2">
      <c r="BD206" s="851"/>
      <c r="BE206" s="851"/>
      <c r="BF206" s="851"/>
      <c r="BG206" s="851"/>
      <c r="BH206" s="851"/>
      <c r="BI206" s="851"/>
      <c r="BJ206" s="851"/>
      <c r="BK206" s="851"/>
      <c r="BL206" s="851"/>
      <c r="BM206" s="851"/>
      <c r="BN206" s="851"/>
      <c r="BO206" s="851"/>
      <c r="BP206" s="851"/>
      <c r="BQ206" s="851"/>
      <c r="BR206" s="851"/>
      <c r="BS206" s="851"/>
      <c r="BT206" s="851"/>
      <c r="BU206" s="851"/>
      <c r="BV206" s="851"/>
      <c r="BW206" s="851"/>
      <c r="BX206" s="851"/>
      <c r="BY206" s="851"/>
      <c r="BZ206" s="851"/>
      <c r="CA206" s="851"/>
      <c r="CB206" s="851"/>
      <c r="CC206" s="851"/>
      <c r="CD206" s="851"/>
      <c r="CE206" s="851"/>
      <c r="CF206" s="851"/>
      <c r="CG206" s="851"/>
      <c r="CH206" s="851"/>
      <c r="CI206" s="851"/>
      <c r="CJ206" s="851"/>
      <c r="CK206" s="851"/>
      <c r="CL206" s="851"/>
      <c r="CM206" s="851"/>
      <c r="CN206" s="851"/>
      <c r="CO206" s="851"/>
      <c r="CP206" s="851"/>
      <c r="CQ206" s="851"/>
      <c r="CR206" s="851"/>
      <c r="CS206" s="851"/>
      <c r="CT206" s="851"/>
      <c r="CU206" s="851"/>
      <c r="CV206" s="851"/>
      <c r="CW206" s="851"/>
      <c r="CX206" s="851"/>
    </row>
    <row r="207" spans="56:142" x14ac:dyDescent="0.2">
      <c r="BD207" s="851"/>
      <c r="BE207" s="851"/>
      <c r="BF207" s="851"/>
      <c r="BG207" s="851"/>
      <c r="BH207" s="851"/>
      <c r="BI207" s="851"/>
      <c r="BJ207" s="851"/>
      <c r="BK207" s="851"/>
      <c r="BL207" s="851"/>
      <c r="BM207" s="851"/>
      <c r="BN207" s="851"/>
      <c r="BO207" s="851"/>
      <c r="BP207" s="851"/>
      <c r="BQ207" s="851"/>
      <c r="BR207" s="851"/>
      <c r="BS207" s="851"/>
      <c r="BT207" s="851"/>
      <c r="BU207" s="851"/>
      <c r="BV207" s="851"/>
      <c r="BW207" s="851"/>
      <c r="BX207" s="851"/>
      <c r="BY207" s="851"/>
      <c r="BZ207" s="851"/>
      <c r="CA207" s="851"/>
      <c r="CB207" s="851"/>
      <c r="CC207" s="851"/>
      <c r="CD207" s="851"/>
      <c r="CE207" s="851"/>
      <c r="CF207" s="851"/>
      <c r="CG207" s="851"/>
      <c r="CH207" s="851"/>
      <c r="CI207" s="851"/>
      <c r="CJ207" s="851"/>
      <c r="CK207" s="851"/>
      <c r="CL207" s="851"/>
      <c r="CM207" s="851"/>
      <c r="CN207" s="851"/>
      <c r="CO207" s="851"/>
      <c r="CP207" s="851"/>
      <c r="CQ207" s="851"/>
      <c r="CR207" s="851"/>
      <c r="CS207" s="851"/>
      <c r="CT207" s="851"/>
      <c r="CU207" s="851"/>
      <c r="CV207" s="851"/>
      <c r="CW207" s="851"/>
      <c r="CX207" s="851"/>
    </row>
    <row r="208" spans="56:142" x14ac:dyDescent="0.2">
      <c r="BD208" s="851"/>
      <c r="BE208" s="851"/>
      <c r="BF208" s="851"/>
      <c r="BG208" s="851"/>
      <c r="BH208" s="851"/>
      <c r="BI208" s="851"/>
      <c r="BJ208" s="851"/>
      <c r="BK208" s="851"/>
      <c r="BL208" s="851"/>
      <c r="BM208" s="851"/>
      <c r="BN208" s="851"/>
      <c r="BO208" s="851"/>
      <c r="BP208" s="851"/>
      <c r="BQ208" s="851"/>
      <c r="BR208" s="851"/>
      <c r="BS208" s="851"/>
      <c r="BT208" s="851"/>
      <c r="BU208" s="851"/>
      <c r="BV208" s="851"/>
      <c r="BW208" s="851"/>
      <c r="BX208" s="851"/>
      <c r="BY208" s="851"/>
      <c r="BZ208" s="851"/>
      <c r="CA208" s="851"/>
      <c r="CB208" s="851"/>
      <c r="CC208" s="851"/>
      <c r="CD208" s="851"/>
      <c r="CE208" s="851"/>
      <c r="CF208" s="851"/>
      <c r="CG208" s="851"/>
      <c r="CH208" s="851"/>
      <c r="CI208" s="851"/>
      <c r="CJ208" s="851"/>
      <c r="CK208" s="851"/>
      <c r="CL208" s="851"/>
      <c r="CM208" s="851"/>
      <c r="CN208" s="851"/>
      <c r="CO208" s="851"/>
      <c r="CP208" s="851"/>
      <c r="CQ208" s="851"/>
      <c r="CR208" s="851"/>
      <c r="CS208" s="851"/>
      <c r="CT208" s="851"/>
      <c r="CU208" s="851"/>
      <c r="CV208" s="851"/>
      <c r="CW208" s="851"/>
      <c r="CX208" s="851"/>
    </row>
    <row r="209" spans="51:102" x14ac:dyDescent="0.2">
      <c r="BD209" s="851"/>
      <c r="BE209" s="851"/>
      <c r="BF209" s="851"/>
      <c r="BG209" s="851"/>
      <c r="BH209" s="851"/>
      <c r="BI209" s="851"/>
      <c r="BJ209" s="851"/>
      <c r="BK209" s="851"/>
      <c r="BL209" s="851"/>
      <c r="BM209" s="851"/>
      <c r="BN209" s="851"/>
      <c r="BO209" s="851"/>
      <c r="BP209" s="851"/>
      <c r="BQ209" s="851"/>
      <c r="BR209" s="851"/>
      <c r="BS209" s="851"/>
      <c r="BT209" s="851"/>
      <c r="BU209" s="851"/>
      <c r="BV209" s="851"/>
      <c r="BW209" s="851"/>
      <c r="BX209" s="851"/>
      <c r="BY209" s="851"/>
      <c r="BZ209" s="851"/>
      <c r="CA209" s="851"/>
      <c r="CB209" s="851"/>
      <c r="CC209" s="851"/>
      <c r="CD209" s="851"/>
      <c r="CE209" s="851"/>
      <c r="CF209" s="851"/>
      <c r="CG209" s="851"/>
      <c r="CH209" s="851"/>
      <c r="CI209" s="851"/>
      <c r="CJ209" s="851"/>
      <c r="CK209" s="851"/>
      <c r="CL209" s="851"/>
      <c r="CM209" s="851"/>
      <c r="CN209" s="851"/>
      <c r="CO209" s="851"/>
      <c r="CP209" s="851"/>
      <c r="CQ209" s="851"/>
      <c r="CR209" s="851"/>
      <c r="CS209" s="851"/>
      <c r="CT209" s="851"/>
      <c r="CU209" s="851"/>
      <c r="CV209" s="851"/>
      <c r="CW209" s="851"/>
      <c r="CX209" s="851"/>
    </row>
    <row r="210" spans="51:102" x14ac:dyDescent="0.2">
      <c r="BD210" s="851"/>
      <c r="BE210" s="851"/>
      <c r="BF210" s="851"/>
      <c r="BG210" s="851"/>
      <c r="BH210" s="851"/>
      <c r="BI210" s="851"/>
      <c r="BJ210" s="851"/>
      <c r="BK210" s="851"/>
      <c r="BL210" s="851"/>
      <c r="BM210" s="851"/>
      <c r="BN210" s="851"/>
      <c r="BO210" s="851"/>
      <c r="BP210" s="851"/>
      <c r="BQ210" s="851"/>
      <c r="BR210" s="851"/>
      <c r="BS210" s="851"/>
      <c r="BT210" s="851"/>
      <c r="BU210" s="851"/>
      <c r="BV210" s="851"/>
      <c r="BW210" s="851"/>
      <c r="BX210" s="851"/>
      <c r="BY210" s="851"/>
      <c r="BZ210" s="851"/>
      <c r="CA210" s="851"/>
      <c r="CB210" s="851"/>
      <c r="CC210" s="851"/>
      <c r="CD210" s="851"/>
      <c r="CE210" s="851"/>
      <c r="CF210" s="851"/>
      <c r="CG210" s="851"/>
      <c r="CH210" s="851"/>
      <c r="CI210" s="851"/>
      <c r="CJ210" s="851"/>
      <c r="CK210" s="851"/>
      <c r="CL210" s="851"/>
      <c r="CM210" s="851"/>
      <c r="CN210" s="851"/>
      <c r="CO210" s="851"/>
      <c r="CP210" s="851"/>
      <c r="CQ210" s="851"/>
      <c r="CR210" s="851"/>
      <c r="CS210" s="851"/>
      <c r="CT210" s="851"/>
      <c r="CU210" s="851"/>
      <c r="CV210" s="851"/>
      <c r="CW210" s="851"/>
      <c r="CX210" s="851"/>
    </row>
    <row r="211" spans="51:102" x14ac:dyDescent="0.2">
      <c r="BD211" s="851"/>
      <c r="BE211" s="851"/>
      <c r="BF211" s="851"/>
      <c r="BG211" s="851"/>
      <c r="BH211" s="851"/>
      <c r="BI211" s="851"/>
      <c r="BJ211" s="851"/>
      <c r="BK211" s="851"/>
      <c r="BL211" s="851"/>
      <c r="BM211" s="851"/>
      <c r="BN211" s="851"/>
      <c r="BO211" s="851"/>
      <c r="BP211" s="851"/>
      <c r="BQ211" s="851"/>
      <c r="BR211" s="851"/>
      <c r="BS211" s="851"/>
      <c r="BT211" s="851"/>
      <c r="BU211" s="851"/>
      <c r="BV211" s="851"/>
      <c r="BW211" s="851"/>
      <c r="BX211" s="851"/>
      <c r="BY211" s="851"/>
      <c r="BZ211" s="851"/>
      <c r="CA211" s="851"/>
      <c r="CB211" s="851"/>
      <c r="CC211" s="851"/>
      <c r="CD211" s="851"/>
      <c r="CE211" s="851"/>
      <c r="CF211" s="851"/>
      <c r="CG211" s="851"/>
      <c r="CH211" s="851"/>
      <c r="CI211" s="851"/>
      <c r="CJ211" s="851"/>
      <c r="CK211" s="851"/>
      <c r="CL211" s="851"/>
      <c r="CM211" s="851"/>
      <c r="CN211" s="851"/>
      <c r="CO211" s="851"/>
      <c r="CP211" s="851"/>
      <c r="CQ211" s="851"/>
      <c r="CR211" s="851"/>
      <c r="CS211" s="851"/>
      <c r="CT211" s="851"/>
      <c r="CU211" s="851"/>
      <c r="CV211" s="851"/>
      <c r="CW211" s="851"/>
      <c r="CX211" s="851"/>
    </row>
    <row r="212" spans="51:102" x14ac:dyDescent="0.2">
      <c r="BD212" s="851"/>
      <c r="BE212" s="851"/>
      <c r="BF212" s="851"/>
      <c r="BG212" s="851"/>
      <c r="BH212" s="851"/>
      <c r="BI212" s="851"/>
      <c r="BJ212" s="851"/>
      <c r="BK212" s="851"/>
      <c r="BL212" s="851"/>
      <c r="BM212" s="851"/>
      <c r="BN212" s="851"/>
      <c r="BO212" s="851"/>
      <c r="BP212" s="851"/>
      <c r="BQ212" s="851"/>
      <c r="BR212" s="851"/>
      <c r="BS212" s="851"/>
      <c r="BT212" s="851"/>
      <c r="BU212" s="851"/>
      <c r="BV212" s="851"/>
      <c r="BW212" s="851"/>
      <c r="BX212" s="851"/>
      <c r="BY212" s="851"/>
      <c r="BZ212" s="851"/>
      <c r="CA212" s="851"/>
      <c r="CB212" s="851"/>
      <c r="CC212" s="851"/>
      <c r="CD212" s="851"/>
      <c r="CE212" s="851"/>
      <c r="CF212" s="851"/>
      <c r="CG212" s="851"/>
      <c r="CH212" s="851"/>
      <c r="CI212" s="851"/>
      <c r="CJ212" s="851"/>
      <c r="CK212" s="851"/>
      <c r="CL212" s="851"/>
      <c r="CM212" s="851"/>
      <c r="CN212" s="851"/>
      <c r="CO212" s="851"/>
      <c r="CP212" s="851"/>
      <c r="CQ212" s="851"/>
      <c r="CR212" s="851"/>
      <c r="CS212" s="851"/>
      <c r="CT212" s="851"/>
      <c r="CU212" s="851"/>
      <c r="CV212" s="851"/>
      <c r="CW212" s="851"/>
      <c r="CX212" s="851"/>
    </row>
    <row r="213" spans="51:102" x14ac:dyDescent="0.2">
      <c r="BD213" s="851"/>
      <c r="BE213" s="851"/>
      <c r="BF213" s="851"/>
      <c r="BG213" s="851"/>
      <c r="BH213" s="851"/>
      <c r="BI213" s="851"/>
      <c r="BJ213" s="851"/>
      <c r="BK213" s="851"/>
      <c r="BL213" s="851"/>
      <c r="BM213" s="851"/>
      <c r="BN213" s="851"/>
      <c r="BO213" s="851"/>
      <c r="BP213" s="851"/>
      <c r="BQ213" s="851"/>
      <c r="BR213" s="851"/>
      <c r="BS213" s="851"/>
      <c r="BT213" s="851"/>
      <c r="BU213" s="851"/>
      <c r="BV213" s="851"/>
      <c r="BW213" s="851"/>
      <c r="BX213" s="851"/>
      <c r="BY213" s="851"/>
      <c r="BZ213" s="851"/>
      <c r="CA213" s="851"/>
      <c r="CB213" s="851"/>
      <c r="CC213" s="851"/>
      <c r="CD213" s="851"/>
      <c r="CE213" s="851"/>
      <c r="CF213" s="851"/>
      <c r="CG213" s="851"/>
      <c r="CH213" s="851"/>
      <c r="CI213" s="851"/>
      <c r="CJ213" s="851"/>
      <c r="CK213" s="851"/>
      <c r="CL213" s="851"/>
      <c r="CM213" s="851"/>
      <c r="CN213" s="851"/>
      <c r="CO213" s="851"/>
      <c r="CP213" s="851"/>
      <c r="CQ213" s="851"/>
      <c r="CR213" s="851"/>
      <c r="CS213" s="851"/>
      <c r="CT213" s="851"/>
      <c r="CU213" s="851"/>
      <c r="CV213" s="851"/>
      <c r="CW213" s="851"/>
      <c r="CX213" s="851"/>
    </row>
    <row r="214" spans="51:102" x14ac:dyDescent="0.2">
      <c r="BD214" s="851"/>
      <c r="BE214" s="851"/>
      <c r="BF214" s="851"/>
      <c r="BG214" s="851"/>
      <c r="BH214" s="851"/>
      <c r="BI214" s="851"/>
      <c r="BJ214" s="851"/>
      <c r="BK214" s="851"/>
      <c r="BL214" s="851"/>
      <c r="BM214" s="851"/>
      <c r="BN214" s="851"/>
      <c r="BO214" s="851"/>
      <c r="BP214" s="851"/>
      <c r="BQ214" s="851"/>
      <c r="BR214" s="851"/>
      <c r="BS214" s="851"/>
      <c r="BT214" s="851"/>
      <c r="BU214" s="851"/>
      <c r="BV214" s="851"/>
      <c r="BW214" s="851"/>
      <c r="BX214" s="851"/>
      <c r="BY214" s="851"/>
      <c r="BZ214" s="851"/>
      <c r="CA214" s="851"/>
      <c r="CB214" s="851"/>
      <c r="CC214" s="851"/>
      <c r="CD214" s="851"/>
      <c r="CE214" s="851"/>
      <c r="CF214" s="851"/>
      <c r="CG214" s="851"/>
      <c r="CH214" s="851"/>
      <c r="CI214" s="851"/>
      <c r="CJ214" s="851"/>
      <c r="CK214" s="851"/>
      <c r="CL214" s="851"/>
      <c r="CM214" s="851"/>
      <c r="CN214" s="851"/>
      <c r="CO214" s="851"/>
      <c r="CP214" s="851"/>
      <c r="CQ214" s="851"/>
      <c r="CR214" s="851"/>
      <c r="CS214" s="851"/>
      <c r="CT214" s="851"/>
      <c r="CU214" s="851"/>
      <c r="CV214" s="851"/>
      <c r="CW214" s="851"/>
      <c r="CX214" s="851"/>
    </row>
    <row r="215" spans="51:102" x14ac:dyDescent="0.2">
      <c r="BD215" s="851"/>
      <c r="BE215" s="851"/>
      <c r="BF215" s="851"/>
      <c r="BG215" s="851"/>
      <c r="BH215" s="851"/>
      <c r="BI215" s="851"/>
      <c r="BJ215" s="851"/>
      <c r="BK215" s="851"/>
      <c r="BL215" s="851"/>
      <c r="BM215" s="851"/>
      <c r="BN215" s="851"/>
      <c r="BO215" s="851"/>
      <c r="BP215" s="851"/>
      <c r="BQ215" s="851"/>
      <c r="BR215" s="851"/>
      <c r="BS215" s="851"/>
      <c r="BT215" s="851"/>
      <c r="BU215" s="851"/>
      <c r="BV215" s="851"/>
      <c r="BW215" s="851"/>
      <c r="BX215" s="851"/>
      <c r="BY215" s="851"/>
      <c r="BZ215" s="851"/>
      <c r="CA215" s="851"/>
      <c r="CB215" s="851"/>
      <c r="CC215" s="851"/>
      <c r="CD215" s="851"/>
      <c r="CE215" s="851"/>
      <c r="CF215" s="851"/>
      <c r="CG215" s="851"/>
      <c r="CH215" s="851"/>
      <c r="CI215" s="851"/>
      <c r="CJ215" s="851"/>
      <c r="CK215" s="851"/>
      <c r="CL215" s="851"/>
      <c r="CM215" s="851"/>
      <c r="CN215" s="851"/>
      <c r="CO215" s="851"/>
      <c r="CP215" s="851"/>
      <c r="CQ215" s="851"/>
      <c r="CR215" s="851"/>
      <c r="CS215" s="851"/>
      <c r="CT215" s="851"/>
      <c r="CU215" s="851"/>
      <c r="CV215" s="851"/>
      <c r="CW215" s="851"/>
      <c r="CX215" s="851"/>
    </row>
    <row r="216" spans="51:102" x14ac:dyDescent="0.2">
      <c r="BD216" s="851"/>
      <c r="BE216" s="851"/>
      <c r="BF216" s="851"/>
      <c r="BG216" s="851"/>
      <c r="BH216" s="851"/>
      <c r="BI216" s="851"/>
      <c r="BJ216" s="851"/>
      <c r="BK216" s="851"/>
      <c r="BL216" s="851"/>
      <c r="BM216" s="851"/>
      <c r="BN216" s="851"/>
      <c r="BO216" s="851"/>
      <c r="BP216" s="851"/>
      <c r="BQ216" s="851"/>
      <c r="BR216" s="851"/>
      <c r="BS216" s="851"/>
      <c r="BT216" s="851"/>
      <c r="BU216" s="851"/>
      <c r="BV216" s="851"/>
      <c r="BW216" s="851"/>
      <c r="BX216" s="851"/>
      <c r="BY216" s="851"/>
      <c r="BZ216" s="851"/>
      <c r="CA216" s="851"/>
      <c r="CB216" s="851"/>
      <c r="CC216" s="851"/>
      <c r="CD216" s="851"/>
      <c r="CE216" s="851"/>
      <c r="CF216" s="851"/>
      <c r="CG216" s="851"/>
      <c r="CH216" s="851"/>
      <c r="CI216" s="851"/>
      <c r="CJ216" s="851"/>
      <c r="CK216" s="851"/>
      <c r="CL216" s="851"/>
      <c r="CM216" s="851"/>
      <c r="CN216" s="851"/>
      <c r="CO216" s="851"/>
      <c r="CP216" s="851"/>
      <c r="CQ216" s="851"/>
      <c r="CR216" s="851"/>
      <c r="CS216" s="851"/>
      <c r="CT216" s="851"/>
      <c r="CU216" s="851"/>
      <c r="CV216" s="851"/>
      <c r="CW216" s="851"/>
      <c r="CX216" s="851"/>
    </row>
    <row r="217" spans="51:102" x14ac:dyDescent="0.2">
      <c r="BD217" s="851"/>
      <c r="BE217" s="851"/>
      <c r="BF217" s="851"/>
      <c r="BG217" s="851"/>
      <c r="BH217" s="851"/>
      <c r="BI217" s="851"/>
      <c r="BJ217" s="851"/>
      <c r="BK217" s="851"/>
      <c r="BL217" s="851"/>
      <c r="BM217" s="851"/>
      <c r="BN217" s="851"/>
      <c r="BO217" s="851"/>
      <c r="BP217" s="851"/>
      <c r="BQ217" s="851"/>
      <c r="BR217" s="851"/>
      <c r="BS217" s="851"/>
      <c r="BT217" s="851"/>
      <c r="BU217" s="851"/>
      <c r="BV217" s="851"/>
      <c r="BW217" s="851"/>
      <c r="BX217" s="851"/>
      <c r="BY217" s="851"/>
      <c r="BZ217" s="851"/>
      <c r="CA217" s="851"/>
      <c r="CB217" s="851"/>
      <c r="CC217" s="851"/>
      <c r="CD217" s="851"/>
      <c r="CE217" s="851"/>
      <c r="CF217" s="851"/>
      <c r="CG217" s="851"/>
      <c r="CH217" s="851"/>
      <c r="CI217" s="851"/>
      <c r="CJ217" s="851"/>
      <c r="CK217" s="851"/>
      <c r="CL217" s="851"/>
      <c r="CM217" s="851"/>
      <c r="CN217" s="851"/>
      <c r="CO217" s="851"/>
      <c r="CP217" s="851"/>
      <c r="CQ217" s="851"/>
      <c r="CR217" s="851"/>
      <c r="CS217" s="851"/>
      <c r="CT217" s="851"/>
      <c r="CU217" s="851"/>
      <c r="CV217" s="851"/>
      <c r="CW217" s="851"/>
      <c r="CX217" s="851"/>
    </row>
    <row r="218" spans="51:102" x14ac:dyDescent="0.2">
      <c r="BD218" s="851"/>
      <c r="BE218" s="851"/>
      <c r="BF218" s="851"/>
      <c r="BG218" s="851"/>
      <c r="BH218" s="851"/>
      <c r="BI218" s="851"/>
      <c r="BJ218" s="851"/>
      <c r="BK218" s="851"/>
      <c r="BL218" s="851"/>
      <c r="BM218" s="851"/>
      <c r="BN218" s="851"/>
      <c r="BO218" s="851"/>
      <c r="BP218" s="851"/>
      <c r="BQ218" s="851"/>
      <c r="BR218" s="851"/>
      <c r="BS218" s="851"/>
      <c r="BT218" s="851"/>
      <c r="BU218" s="851"/>
      <c r="BV218" s="851"/>
      <c r="BW218" s="851"/>
      <c r="BX218" s="851"/>
      <c r="BY218" s="851"/>
      <c r="BZ218" s="851"/>
      <c r="CA218" s="851"/>
      <c r="CB218" s="851"/>
      <c r="CC218" s="851"/>
      <c r="CD218" s="851"/>
      <c r="CE218" s="851"/>
      <c r="CF218" s="851"/>
      <c r="CG218" s="851"/>
      <c r="CH218" s="851"/>
      <c r="CI218" s="851"/>
      <c r="CJ218" s="851"/>
      <c r="CK218" s="851"/>
      <c r="CL218" s="851"/>
      <c r="CM218" s="851"/>
      <c r="CN218" s="851"/>
      <c r="CO218" s="851"/>
      <c r="CP218" s="851"/>
      <c r="CQ218" s="851"/>
      <c r="CR218" s="851"/>
      <c r="CS218" s="851"/>
      <c r="CT218" s="851"/>
      <c r="CU218" s="851"/>
      <c r="CV218" s="851"/>
      <c r="CW218" s="851"/>
      <c r="CX218" s="851"/>
    </row>
    <row r="219" spans="51:102" x14ac:dyDescent="0.2">
      <c r="BD219" s="851"/>
      <c r="BE219" s="851"/>
      <c r="BF219" s="851"/>
      <c r="BG219" s="851"/>
      <c r="BH219" s="851"/>
      <c r="BI219" s="851"/>
      <c r="BJ219" s="851"/>
      <c r="BK219" s="851"/>
      <c r="BL219" s="851"/>
      <c r="BM219" s="851"/>
      <c r="BN219" s="851"/>
      <c r="BO219" s="851"/>
      <c r="BP219" s="851"/>
      <c r="BQ219" s="851"/>
      <c r="BR219" s="851"/>
      <c r="BS219" s="851"/>
      <c r="BT219" s="851"/>
      <c r="BU219" s="851"/>
      <c r="BV219" s="851"/>
      <c r="BW219" s="851"/>
      <c r="BX219" s="851"/>
      <c r="BY219" s="851"/>
      <c r="BZ219" s="851"/>
      <c r="CA219" s="851"/>
      <c r="CB219" s="851"/>
      <c r="CC219" s="851"/>
      <c r="CD219" s="851"/>
      <c r="CE219" s="851"/>
      <c r="CF219" s="851"/>
      <c r="CG219" s="851"/>
      <c r="CH219" s="851"/>
      <c r="CI219" s="851"/>
      <c r="CJ219" s="851"/>
      <c r="CK219" s="851"/>
      <c r="CL219" s="851"/>
      <c r="CM219" s="851"/>
      <c r="CN219" s="851"/>
      <c r="CO219" s="851"/>
      <c r="CP219" s="851"/>
      <c r="CQ219" s="851"/>
      <c r="CR219" s="851"/>
      <c r="CS219" s="851"/>
      <c r="CT219" s="851"/>
      <c r="CU219" s="851"/>
      <c r="CV219" s="851"/>
      <c r="CW219" s="851"/>
      <c r="CX219" s="851"/>
    </row>
    <row r="220" spans="51:102" x14ac:dyDescent="0.2">
      <c r="BD220" s="851"/>
      <c r="BE220" s="851"/>
      <c r="BF220" s="851"/>
      <c r="BG220" s="851"/>
      <c r="BH220" s="851"/>
      <c r="BI220" s="851"/>
      <c r="BJ220" s="851"/>
      <c r="BK220" s="851"/>
      <c r="BL220" s="851"/>
      <c r="BM220" s="851"/>
      <c r="BN220" s="851"/>
      <c r="BO220" s="851"/>
      <c r="BP220" s="851"/>
      <c r="BQ220" s="851"/>
      <c r="BR220" s="851"/>
      <c r="BS220" s="851"/>
      <c r="BT220" s="851"/>
      <c r="BU220" s="851"/>
      <c r="BV220" s="851"/>
      <c r="BW220" s="851"/>
      <c r="BX220" s="851"/>
      <c r="BY220" s="851"/>
      <c r="BZ220" s="851"/>
      <c r="CA220" s="851"/>
      <c r="CB220" s="851"/>
      <c r="CC220" s="851"/>
      <c r="CD220" s="851"/>
      <c r="CE220" s="851"/>
      <c r="CF220" s="851"/>
      <c r="CG220" s="851"/>
      <c r="CH220" s="851"/>
      <c r="CI220" s="851"/>
      <c r="CJ220" s="851"/>
      <c r="CK220" s="851"/>
      <c r="CL220" s="851"/>
      <c r="CM220" s="851"/>
      <c r="CN220" s="851"/>
      <c r="CO220" s="851"/>
      <c r="CP220" s="851"/>
      <c r="CQ220" s="851"/>
      <c r="CR220" s="851"/>
      <c r="CS220" s="851"/>
      <c r="CT220" s="851"/>
      <c r="CU220" s="851"/>
      <c r="CV220" s="851"/>
      <c r="CW220" s="851"/>
      <c r="CX220" s="851"/>
    </row>
    <row r="221" spans="51:102" x14ac:dyDescent="0.2">
      <c r="AY221" s="851"/>
      <c r="AZ221" s="851"/>
      <c r="BA221" s="851"/>
      <c r="BB221" s="851"/>
      <c r="BC221" s="851"/>
      <c r="BD221" s="851"/>
      <c r="BE221" s="851"/>
      <c r="BF221" s="851"/>
      <c r="BG221" s="851"/>
      <c r="BH221" s="851"/>
      <c r="BI221" s="851"/>
      <c r="BJ221" s="851"/>
      <c r="BK221" s="851"/>
      <c r="BL221" s="851"/>
      <c r="BM221" s="851"/>
      <c r="BN221" s="851"/>
      <c r="BO221" s="851"/>
      <c r="BP221" s="851"/>
      <c r="BQ221" s="851"/>
      <c r="BR221" s="851"/>
      <c r="BS221" s="851"/>
      <c r="BT221" s="851"/>
      <c r="BU221" s="851"/>
      <c r="BV221" s="851"/>
      <c r="BW221" s="851"/>
      <c r="BX221" s="851"/>
      <c r="BY221" s="851"/>
      <c r="BZ221" s="851"/>
      <c r="CA221" s="851"/>
      <c r="CB221" s="851"/>
      <c r="CC221" s="851"/>
      <c r="CD221" s="851"/>
      <c r="CE221" s="851"/>
      <c r="CF221" s="851"/>
      <c r="CG221" s="851"/>
      <c r="CH221" s="851"/>
      <c r="CI221" s="851"/>
      <c r="CJ221" s="851"/>
      <c r="CK221" s="851"/>
      <c r="CL221" s="851"/>
      <c r="CM221" s="851"/>
      <c r="CN221" s="851"/>
      <c r="CO221" s="851"/>
      <c r="CP221" s="851"/>
      <c r="CQ221" s="851"/>
      <c r="CR221" s="851"/>
      <c r="CS221" s="851"/>
      <c r="CT221" s="851"/>
      <c r="CU221" s="851"/>
      <c r="CV221" s="851"/>
      <c r="CW221" s="851"/>
      <c r="CX221" s="851"/>
    </row>
    <row r="222" spans="51:102" x14ac:dyDescent="0.2">
      <c r="AY222" s="851"/>
      <c r="AZ222" s="851"/>
      <c r="BA222" s="851"/>
      <c r="BB222" s="851"/>
      <c r="BC222" s="851"/>
      <c r="BD222" s="851"/>
      <c r="BE222" s="851"/>
      <c r="BF222" s="851"/>
      <c r="BG222" s="851"/>
      <c r="BH222" s="851"/>
      <c r="BI222" s="851"/>
      <c r="BJ222" s="851"/>
      <c r="BK222" s="851"/>
      <c r="BL222" s="851"/>
      <c r="BM222" s="851"/>
      <c r="BN222" s="851"/>
      <c r="BO222" s="851"/>
      <c r="BP222" s="851"/>
      <c r="BQ222" s="851"/>
      <c r="BR222" s="851"/>
      <c r="BS222" s="851"/>
      <c r="BT222" s="851"/>
      <c r="BU222" s="851"/>
      <c r="BV222" s="851"/>
      <c r="BW222" s="851"/>
      <c r="BX222" s="851"/>
      <c r="BY222" s="851"/>
      <c r="BZ222" s="851"/>
      <c r="CA222" s="851"/>
      <c r="CB222" s="851"/>
      <c r="CC222" s="851"/>
      <c r="CD222" s="851"/>
      <c r="CE222" s="851"/>
      <c r="CF222" s="851"/>
      <c r="CG222" s="851"/>
      <c r="CH222" s="851"/>
      <c r="CI222" s="851"/>
      <c r="CJ222" s="851"/>
      <c r="CK222" s="851"/>
      <c r="CL222" s="851"/>
      <c r="CM222" s="851"/>
      <c r="CN222" s="851"/>
      <c r="CO222" s="851"/>
      <c r="CP222" s="851"/>
      <c r="CQ222" s="851"/>
      <c r="CR222" s="851"/>
      <c r="CS222" s="851"/>
      <c r="CT222" s="851"/>
      <c r="CU222" s="851"/>
      <c r="CV222" s="851"/>
      <c r="CW222" s="851"/>
      <c r="CX222" s="851"/>
    </row>
    <row r="223" spans="51:102" x14ac:dyDescent="0.2">
      <c r="AY223" s="851"/>
      <c r="AZ223" s="851"/>
      <c r="BA223" s="851"/>
      <c r="BB223" s="851"/>
      <c r="BC223" s="851"/>
      <c r="BD223" s="851"/>
      <c r="BE223" s="851"/>
      <c r="BF223" s="851"/>
      <c r="BG223" s="851"/>
      <c r="BH223" s="851"/>
      <c r="BI223" s="851"/>
      <c r="BJ223" s="851"/>
      <c r="BK223" s="851"/>
      <c r="BL223" s="851"/>
      <c r="BM223" s="851"/>
      <c r="BN223" s="851"/>
      <c r="BO223" s="851"/>
      <c r="BP223" s="851"/>
      <c r="BQ223" s="851"/>
      <c r="BR223" s="851"/>
      <c r="BS223" s="851"/>
      <c r="BT223" s="851"/>
      <c r="BU223" s="851"/>
      <c r="BV223" s="851"/>
      <c r="BW223" s="851"/>
      <c r="BX223" s="851"/>
      <c r="BY223" s="851"/>
      <c r="BZ223" s="851"/>
      <c r="CA223" s="851"/>
      <c r="CB223" s="851"/>
      <c r="CC223" s="851"/>
      <c r="CD223" s="851"/>
      <c r="CE223" s="851"/>
      <c r="CF223" s="851"/>
      <c r="CG223" s="851"/>
      <c r="CH223" s="851"/>
      <c r="CI223" s="851"/>
      <c r="CJ223" s="851"/>
      <c r="CK223" s="851"/>
      <c r="CL223" s="851"/>
      <c r="CM223" s="851"/>
      <c r="CN223" s="851"/>
      <c r="CO223" s="851"/>
      <c r="CP223" s="851"/>
      <c r="CQ223" s="851"/>
      <c r="CR223" s="851"/>
      <c r="CS223" s="851"/>
      <c r="CT223" s="851"/>
      <c r="CU223" s="851"/>
      <c r="CV223" s="851"/>
      <c r="CW223" s="851"/>
      <c r="CX223" s="851"/>
    </row>
    <row r="224" spans="51:102" x14ac:dyDescent="0.2">
      <c r="AY224" s="851"/>
      <c r="AZ224" s="851"/>
      <c r="BA224" s="851"/>
      <c r="BB224" s="851"/>
      <c r="BC224" s="851"/>
      <c r="BD224" s="851"/>
      <c r="BE224" s="851"/>
      <c r="BF224" s="851"/>
      <c r="BG224" s="851"/>
      <c r="BH224" s="851"/>
      <c r="BI224" s="851"/>
      <c r="BJ224" s="851"/>
      <c r="BK224" s="851"/>
      <c r="BL224" s="851"/>
      <c r="BM224" s="851"/>
      <c r="BN224" s="851"/>
      <c r="BO224" s="851"/>
      <c r="BP224" s="851"/>
      <c r="BQ224" s="851"/>
      <c r="BR224" s="851"/>
      <c r="BS224" s="851"/>
      <c r="BT224" s="851"/>
      <c r="BU224" s="851"/>
      <c r="BV224" s="851"/>
      <c r="BW224" s="851"/>
      <c r="BX224" s="851"/>
      <c r="BY224" s="851"/>
      <c r="BZ224" s="851"/>
      <c r="CA224" s="851"/>
      <c r="CB224" s="851"/>
      <c r="CC224" s="851"/>
      <c r="CD224" s="851"/>
      <c r="CE224" s="851"/>
      <c r="CF224" s="851"/>
      <c r="CG224" s="851"/>
      <c r="CH224" s="851"/>
      <c r="CI224" s="851"/>
      <c r="CJ224" s="851"/>
      <c r="CK224" s="851"/>
      <c r="CL224" s="851"/>
      <c r="CM224" s="851"/>
      <c r="CN224" s="851"/>
      <c r="CO224" s="851"/>
      <c r="CP224" s="851"/>
      <c r="CQ224" s="851"/>
      <c r="CR224" s="851"/>
      <c r="CS224" s="851"/>
      <c r="CT224" s="851"/>
      <c r="CU224" s="851"/>
      <c r="CV224" s="851"/>
      <c r="CW224" s="851"/>
      <c r="CX224" s="851"/>
    </row>
    <row r="225" spans="51:102" x14ac:dyDescent="0.2">
      <c r="AY225" s="851"/>
      <c r="AZ225" s="851"/>
      <c r="BA225" s="851"/>
      <c r="BB225" s="851"/>
      <c r="BC225" s="851"/>
      <c r="BD225" s="851"/>
      <c r="BE225" s="851"/>
      <c r="BF225" s="851"/>
      <c r="BG225" s="851"/>
      <c r="BH225" s="851"/>
      <c r="BI225" s="851"/>
      <c r="BJ225" s="851"/>
      <c r="BK225" s="851"/>
      <c r="BL225" s="851"/>
      <c r="BM225" s="851"/>
      <c r="BN225" s="851"/>
      <c r="BO225" s="851"/>
      <c r="BP225" s="851"/>
      <c r="BQ225" s="851"/>
      <c r="BR225" s="851"/>
      <c r="BS225" s="851"/>
      <c r="BT225" s="851"/>
      <c r="BU225" s="851"/>
      <c r="BV225" s="851"/>
      <c r="BW225" s="851"/>
      <c r="BX225" s="851"/>
      <c r="BY225" s="851"/>
      <c r="BZ225" s="851"/>
      <c r="CA225" s="851"/>
      <c r="CB225" s="851"/>
      <c r="CC225" s="851"/>
      <c r="CD225" s="851"/>
      <c r="CE225" s="851"/>
      <c r="CF225" s="851"/>
      <c r="CG225" s="851"/>
      <c r="CH225" s="851"/>
      <c r="CI225" s="851"/>
      <c r="CJ225" s="851"/>
      <c r="CK225" s="851"/>
      <c r="CL225" s="851"/>
      <c r="CM225" s="851"/>
      <c r="CN225" s="851"/>
      <c r="CO225" s="851"/>
      <c r="CP225" s="851"/>
      <c r="CQ225" s="851"/>
      <c r="CR225" s="851"/>
      <c r="CS225" s="851"/>
      <c r="CT225" s="851"/>
      <c r="CU225" s="851"/>
      <c r="CV225" s="851"/>
      <c r="CW225" s="851"/>
      <c r="CX225" s="851"/>
    </row>
    <row r="226" spans="51:102" x14ac:dyDescent="0.2">
      <c r="AY226" s="851"/>
      <c r="AZ226" s="851"/>
      <c r="BA226" s="851"/>
      <c r="BB226" s="851"/>
      <c r="BC226" s="851"/>
      <c r="BD226" s="851"/>
      <c r="BE226" s="851"/>
      <c r="BF226" s="851"/>
      <c r="BG226" s="851"/>
      <c r="BH226" s="851"/>
      <c r="BI226" s="851"/>
      <c r="BJ226" s="851"/>
      <c r="BK226" s="851"/>
      <c r="BL226" s="851"/>
      <c r="BM226" s="851"/>
      <c r="BN226" s="851"/>
      <c r="BO226" s="851"/>
      <c r="BP226" s="851"/>
      <c r="BQ226" s="851"/>
      <c r="BR226" s="851"/>
      <c r="BS226" s="851"/>
      <c r="BT226" s="851"/>
      <c r="BU226" s="851"/>
      <c r="BV226" s="851"/>
      <c r="BW226" s="851"/>
      <c r="BX226" s="851"/>
      <c r="BY226" s="851"/>
      <c r="BZ226" s="851"/>
      <c r="CA226" s="851"/>
      <c r="CB226" s="851"/>
      <c r="CC226" s="851"/>
      <c r="CD226" s="851"/>
      <c r="CE226" s="851"/>
      <c r="CF226" s="851"/>
      <c r="CG226" s="851"/>
      <c r="CH226" s="851"/>
      <c r="CI226" s="851"/>
      <c r="CJ226" s="851"/>
      <c r="CK226" s="851"/>
      <c r="CL226" s="851"/>
      <c r="CM226" s="851"/>
      <c r="CN226" s="851"/>
      <c r="CO226" s="851"/>
      <c r="CP226" s="851"/>
      <c r="CQ226" s="851"/>
      <c r="CR226" s="851"/>
      <c r="CS226" s="851"/>
      <c r="CT226" s="851"/>
      <c r="CU226" s="851"/>
      <c r="CV226" s="851"/>
      <c r="CW226" s="851"/>
      <c r="CX226" s="851"/>
    </row>
    <row r="227" spans="51:102" x14ac:dyDescent="0.2">
      <c r="AY227" s="851"/>
      <c r="AZ227" s="851"/>
      <c r="BA227" s="851"/>
      <c r="BB227" s="851"/>
      <c r="BC227" s="851"/>
      <c r="BD227" s="851"/>
      <c r="BE227" s="851"/>
      <c r="BF227" s="851"/>
      <c r="BG227" s="851"/>
      <c r="BH227" s="851"/>
      <c r="BI227" s="851"/>
      <c r="BJ227" s="851"/>
      <c r="BK227" s="851"/>
      <c r="BL227" s="851"/>
      <c r="BM227" s="851"/>
      <c r="BN227" s="851"/>
      <c r="BO227" s="851"/>
      <c r="BP227" s="851"/>
      <c r="BQ227" s="851"/>
      <c r="BR227" s="851"/>
      <c r="BS227" s="851"/>
      <c r="BT227" s="851"/>
      <c r="BU227" s="851"/>
      <c r="BV227" s="851"/>
      <c r="BW227" s="851"/>
      <c r="BX227" s="851"/>
      <c r="BY227" s="851"/>
      <c r="BZ227" s="851"/>
      <c r="CA227" s="851"/>
      <c r="CB227" s="851"/>
      <c r="CC227" s="851"/>
      <c r="CD227" s="851"/>
      <c r="CE227" s="851"/>
      <c r="CF227" s="851"/>
      <c r="CG227" s="851"/>
      <c r="CH227" s="851"/>
      <c r="CI227" s="851"/>
      <c r="CJ227" s="851"/>
      <c r="CK227" s="851"/>
      <c r="CL227" s="851"/>
      <c r="CM227" s="851"/>
      <c r="CN227" s="851"/>
      <c r="CO227" s="851"/>
      <c r="CP227" s="851"/>
      <c r="CQ227" s="851"/>
      <c r="CR227" s="851"/>
      <c r="CS227" s="851"/>
      <c r="CT227" s="851"/>
      <c r="CU227" s="851"/>
      <c r="CV227" s="851"/>
      <c r="CW227" s="851"/>
      <c r="CX227" s="851"/>
    </row>
    <row r="228" spans="51:102" x14ac:dyDescent="0.2">
      <c r="AY228" s="851"/>
      <c r="AZ228" s="851"/>
      <c r="BA228" s="851"/>
      <c r="BB228" s="851"/>
      <c r="BC228" s="851"/>
      <c r="BD228" s="851"/>
      <c r="BE228" s="851"/>
      <c r="BF228" s="851"/>
      <c r="BG228" s="851"/>
      <c r="BH228" s="851"/>
      <c r="BI228" s="851"/>
      <c r="BJ228" s="851"/>
      <c r="BK228" s="851"/>
      <c r="BL228" s="851"/>
      <c r="BM228" s="851"/>
      <c r="BN228" s="851"/>
      <c r="BO228" s="851"/>
      <c r="BP228" s="851"/>
      <c r="BQ228" s="851"/>
      <c r="BR228" s="851"/>
      <c r="BS228" s="851"/>
      <c r="BT228" s="851"/>
      <c r="BU228" s="851"/>
      <c r="BV228" s="851"/>
      <c r="BW228" s="851"/>
      <c r="BX228" s="851"/>
      <c r="BY228" s="851"/>
      <c r="BZ228" s="851"/>
      <c r="CA228" s="851"/>
      <c r="CB228" s="851"/>
      <c r="CC228" s="851"/>
      <c r="CD228" s="851"/>
      <c r="CE228" s="851"/>
      <c r="CF228" s="851"/>
      <c r="CG228" s="851"/>
      <c r="CH228" s="851"/>
      <c r="CI228" s="851"/>
      <c r="CJ228" s="851"/>
      <c r="CK228" s="851"/>
      <c r="CL228" s="851"/>
      <c r="CM228" s="851"/>
      <c r="CN228" s="851"/>
      <c r="CO228" s="851"/>
      <c r="CP228" s="851"/>
      <c r="CQ228" s="851"/>
      <c r="CR228" s="851"/>
      <c r="CS228" s="851"/>
      <c r="CT228" s="851"/>
      <c r="CU228" s="851"/>
      <c r="CV228" s="851"/>
      <c r="CW228" s="851"/>
      <c r="CX228" s="851"/>
    </row>
    <row r="229" spans="51:102" x14ac:dyDescent="0.2">
      <c r="AY229" s="851"/>
      <c r="AZ229" s="851"/>
      <c r="BA229" s="851"/>
      <c r="BB229" s="851"/>
      <c r="BC229" s="851"/>
      <c r="BD229" s="851"/>
      <c r="BE229" s="851"/>
      <c r="BF229" s="851"/>
      <c r="BG229" s="851"/>
      <c r="BH229" s="851"/>
      <c r="BI229" s="851"/>
      <c r="BJ229" s="851"/>
      <c r="BK229" s="851"/>
      <c r="BL229" s="851"/>
      <c r="BM229" s="851"/>
      <c r="BN229" s="851"/>
      <c r="BO229" s="851"/>
      <c r="BP229" s="851"/>
      <c r="BQ229" s="851"/>
      <c r="BR229" s="851"/>
      <c r="BS229" s="851"/>
      <c r="BT229" s="851"/>
      <c r="BU229" s="851"/>
      <c r="BV229" s="851"/>
      <c r="BW229" s="851"/>
      <c r="BX229" s="851"/>
      <c r="BY229" s="851"/>
      <c r="BZ229" s="851"/>
      <c r="CA229" s="851"/>
      <c r="CB229" s="851"/>
      <c r="CC229" s="851"/>
      <c r="CD229" s="851"/>
      <c r="CE229" s="851"/>
      <c r="CF229" s="851"/>
      <c r="CG229" s="851"/>
      <c r="CH229" s="851"/>
      <c r="CI229" s="851"/>
      <c r="CJ229" s="851"/>
      <c r="CK229" s="851"/>
      <c r="CL229" s="851"/>
      <c r="CM229" s="851"/>
      <c r="CN229" s="851"/>
      <c r="CO229" s="851"/>
      <c r="CP229" s="851"/>
      <c r="CQ229" s="851"/>
      <c r="CR229" s="851"/>
      <c r="CS229" s="851"/>
      <c r="CT229" s="851"/>
      <c r="CU229" s="851"/>
      <c r="CV229" s="851"/>
      <c r="CW229" s="851"/>
      <c r="CX229" s="851"/>
    </row>
    <row r="230" spans="51:102" x14ac:dyDescent="0.2">
      <c r="AY230" s="851"/>
      <c r="AZ230" s="851"/>
      <c r="BA230" s="851"/>
      <c r="BB230" s="851"/>
      <c r="BC230" s="851"/>
      <c r="BD230" s="851"/>
      <c r="BE230" s="851"/>
      <c r="BF230" s="851"/>
      <c r="BG230" s="851"/>
      <c r="BH230" s="851"/>
      <c r="BI230" s="851"/>
      <c r="BJ230" s="851"/>
      <c r="BK230" s="851"/>
      <c r="BL230" s="851"/>
      <c r="BM230" s="851"/>
      <c r="BN230" s="851"/>
      <c r="BO230" s="851"/>
      <c r="BP230" s="851"/>
      <c r="BQ230" s="851"/>
      <c r="BR230" s="851"/>
      <c r="BS230" s="851"/>
      <c r="BT230" s="851"/>
      <c r="BU230" s="851"/>
      <c r="BV230" s="851"/>
      <c r="BW230" s="851"/>
      <c r="BX230" s="851"/>
      <c r="BY230" s="851"/>
      <c r="BZ230" s="851"/>
      <c r="CA230" s="851"/>
      <c r="CB230" s="851"/>
      <c r="CC230" s="851"/>
      <c r="CD230" s="851"/>
      <c r="CE230" s="851"/>
      <c r="CF230" s="851"/>
      <c r="CG230" s="851"/>
      <c r="CH230" s="851"/>
      <c r="CI230" s="851"/>
      <c r="CJ230" s="851"/>
      <c r="CK230" s="851"/>
      <c r="CL230" s="851"/>
      <c r="CM230" s="851"/>
      <c r="CN230" s="851"/>
      <c r="CO230" s="851"/>
      <c r="CP230" s="851"/>
      <c r="CQ230" s="851"/>
      <c r="CR230" s="851"/>
      <c r="CS230" s="851"/>
      <c r="CT230" s="851"/>
      <c r="CU230" s="851"/>
      <c r="CV230" s="851"/>
      <c r="CW230" s="851"/>
      <c r="CX230" s="851"/>
    </row>
    <row r="231" spans="51:102" x14ac:dyDescent="0.2">
      <c r="AY231" s="851"/>
      <c r="AZ231" s="851"/>
      <c r="BA231" s="851"/>
      <c r="BB231" s="851"/>
      <c r="BC231" s="851"/>
      <c r="BD231" s="851"/>
      <c r="BE231" s="851"/>
      <c r="BF231" s="851"/>
      <c r="BG231" s="851"/>
      <c r="BH231" s="851"/>
      <c r="BI231" s="851"/>
      <c r="BJ231" s="851"/>
      <c r="BK231" s="851"/>
      <c r="BL231" s="851"/>
      <c r="BM231" s="851"/>
      <c r="BN231" s="851"/>
      <c r="BO231" s="851"/>
      <c r="BP231" s="851"/>
      <c r="BQ231" s="851"/>
      <c r="BR231" s="851"/>
      <c r="BS231" s="851"/>
      <c r="BT231" s="851"/>
      <c r="BU231" s="851"/>
      <c r="BV231" s="851"/>
      <c r="BW231" s="851"/>
      <c r="BX231" s="851"/>
      <c r="BY231" s="851"/>
      <c r="BZ231" s="851"/>
      <c r="CA231" s="851"/>
      <c r="CB231" s="851"/>
      <c r="CC231" s="851"/>
      <c r="CD231" s="851"/>
      <c r="CE231" s="851"/>
      <c r="CF231" s="851"/>
      <c r="CG231" s="851"/>
      <c r="CH231" s="851"/>
      <c r="CI231" s="851"/>
      <c r="CJ231" s="851"/>
      <c r="CK231" s="851"/>
      <c r="CL231" s="851"/>
      <c r="CM231" s="851"/>
      <c r="CN231" s="851"/>
      <c r="CO231" s="851"/>
      <c r="CP231" s="851"/>
      <c r="CQ231" s="851"/>
      <c r="CR231" s="851"/>
      <c r="CS231" s="851"/>
      <c r="CT231" s="851"/>
      <c r="CU231" s="851"/>
      <c r="CV231" s="851"/>
      <c r="CW231" s="851"/>
      <c r="CX231" s="851"/>
    </row>
    <row r="232" spans="51:102" x14ac:dyDescent="0.2">
      <c r="AY232" s="851"/>
      <c r="AZ232" s="851"/>
      <c r="BA232" s="851"/>
      <c r="BB232" s="851"/>
      <c r="BC232" s="851"/>
      <c r="BD232" s="851"/>
      <c r="BE232" s="851"/>
      <c r="BF232" s="851"/>
      <c r="BG232" s="851"/>
      <c r="BH232" s="851"/>
      <c r="BI232" s="851"/>
      <c r="BJ232" s="851"/>
      <c r="BK232" s="851"/>
      <c r="BL232" s="851"/>
      <c r="BM232" s="851"/>
      <c r="BN232" s="851"/>
      <c r="BO232" s="851"/>
      <c r="BP232" s="851"/>
      <c r="BQ232" s="851"/>
      <c r="BR232" s="851"/>
      <c r="BS232" s="851"/>
      <c r="BT232" s="851"/>
      <c r="BU232" s="851"/>
      <c r="BV232" s="851"/>
      <c r="BW232" s="851"/>
      <c r="BX232" s="851"/>
      <c r="BY232" s="851"/>
      <c r="BZ232" s="851"/>
      <c r="CA232" s="851"/>
      <c r="CB232" s="851"/>
      <c r="CC232" s="851"/>
      <c r="CD232" s="851"/>
      <c r="CE232" s="851"/>
      <c r="CF232" s="851"/>
      <c r="CG232" s="851"/>
      <c r="CH232" s="851"/>
      <c r="CI232" s="851"/>
      <c r="CJ232" s="851"/>
      <c r="CK232" s="851"/>
      <c r="CL232" s="851"/>
      <c r="CM232" s="851"/>
      <c r="CN232" s="851"/>
      <c r="CO232" s="851"/>
      <c r="CP232" s="851"/>
      <c r="CQ232" s="851"/>
      <c r="CR232" s="851"/>
      <c r="CS232" s="851"/>
      <c r="CT232" s="851"/>
      <c r="CU232" s="851"/>
      <c r="CV232" s="851"/>
      <c r="CW232" s="851"/>
      <c r="CX232" s="851"/>
    </row>
    <row r="233" spans="51:102" x14ac:dyDescent="0.2">
      <c r="AY233" s="851"/>
      <c r="AZ233" s="851"/>
      <c r="BA233" s="851"/>
      <c r="BB233" s="851"/>
      <c r="BC233" s="851"/>
      <c r="BD233" s="851"/>
      <c r="BE233" s="851"/>
      <c r="BF233" s="851"/>
      <c r="BG233" s="851"/>
      <c r="BH233" s="851"/>
      <c r="BI233" s="851"/>
      <c r="BJ233" s="851"/>
      <c r="BK233" s="851"/>
      <c r="BL233" s="851"/>
      <c r="BM233" s="851"/>
      <c r="BN233" s="851"/>
      <c r="BO233" s="851"/>
      <c r="BP233" s="851"/>
      <c r="BQ233" s="851"/>
      <c r="BR233" s="851"/>
      <c r="BS233" s="851"/>
      <c r="BT233" s="851"/>
      <c r="BU233" s="851"/>
      <c r="BV233" s="851"/>
      <c r="BW233" s="851"/>
      <c r="BX233" s="851"/>
      <c r="BY233" s="851"/>
      <c r="BZ233" s="851"/>
      <c r="CA233" s="851"/>
      <c r="CB233" s="851"/>
      <c r="CC233" s="851"/>
      <c r="CD233" s="851"/>
      <c r="CE233" s="851"/>
      <c r="CF233" s="851"/>
      <c r="CG233" s="851"/>
      <c r="CH233" s="851"/>
      <c r="CI233" s="851"/>
      <c r="CJ233" s="851"/>
      <c r="CK233" s="851"/>
      <c r="CL233" s="851"/>
      <c r="CM233" s="851"/>
      <c r="CN233" s="851"/>
      <c r="CO233" s="851"/>
      <c r="CP233" s="851"/>
      <c r="CQ233" s="851"/>
      <c r="CR233" s="851"/>
      <c r="CS233" s="851"/>
      <c r="CT233" s="851"/>
      <c r="CU233" s="851"/>
      <c r="CV233" s="851"/>
      <c r="CW233" s="851"/>
      <c r="CX233" s="851"/>
    </row>
    <row r="234" spans="51:102" x14ac:dyDescent="0.2">
      <c r="AY234" s="851"/>
      <c r="AZ234" s="851"/>
      <c r="BA234" s="851"/>
      <c r="BB234" s="851"/>
      <c r="BC234" s="851"/>
      <c r="BD234" s="851"/>
      <c r="BE234" s="851"/>
      <c r="BF234" s="851"/>
      <c r="BG234" s="851"/>
      <c r="BH234" s="851"/>
      <c r="BI234" s="851"/>
      <c r="BJ234" s="851"/>
      <c r="BK234" s="851"/>
      <c r="BL234" s="851"/>
      <c r="BM234" s="851"/>
      <c r="BN234" s="851"/>
      <c r="BO234" s="851"/>
      <c r="BP234" s="851"/>
      <c r="BQ234" s="851"/>
      <c r="BR234" s="851"/>
      <c r="BS234" s="851"/>
      <c r="BT234" s="851"/>
      <c r="BU234" s="851"/>
      <c r="BV234" s="851"/>
      <c r="BW234" s="851"/>
      <c r="BX234" s="851"/>
      <c r="BY234" s="851"/>
      <c r="BZ234" s="851"/>
      <c r="CA234" s="851"/>
      <c r="CB234" s="851"/>
      <c r="CC234" s="851"/>
      <c r="CD234" s="851"/>
      <c r="CE234" s="851"/>
      <c r="CF234" s="851"/>
      <c r="CG234" s="851"/>
      <c r="CH234" s="851"/>
      <c r="CI234" s="851"/>
      <c r="CJ234" s="851"/>
      <c r="CK234" s="851"/>
      <c r="CL234" s="851"/>
      <c r="CM234" s="851"/>
      <c r="CN234" s="851"/>
      <c r="CO234" s="851"/>
      <c r="CP234" s="851"/>
      <c r="CQ234" s="851"/>
      <c r="CR234" s="851"/>
      <c r="CS234" s="851"/>
      <c r="CT234" s="851"/>
      <c r="CU234" s="851"/>
      <c r="CV234" s="851"/>
      <c r="CW234" s="851"/>
      <c r="CX234" s="851"/>
    </row>
    <row r="235" spans="51:102" x14ac:dyDescent="0.2">
      <c r="AY235" s="851"/>
      <c r="AZ235" s="851"/>
      <c r="BA235" s="851"/>
      <c r="BB235" s="851"/>
      <c r="BC235" s="851"/>
      <c r="BD235" s="851"/>
      <c r="BE235" s="851"/>
      <c r="BF235" s="851"/>
      <c r="BG235" s="851"/>
      <c r="BH235" s="851"/>
      <c r="BI235" s="851"/>
      <c r="BJ235" s="851"/>
      <c r="BK235" s="851"/>
      <c r="BL235" s="851"/>
      <c r="BM235" s="851"/>
      <c r="BN235" s="851"/>
      <c r="BO235" s="851"/>
      <c r="BP235" s="851"/>
      <c r="BQ235" s="851"/>
      <c r="BR235" s="851"/>
      <c r="BS235" s="851"/>
      <c r="BT235" s="851"/>
      <c r="BU235" s="851"/>
      <c r="BV235" s="851"/>
      <c r="BW235" s="851"/>
      <c r="BX235" s="851"/>
      <c r="BY235" s="851"/>
      <c r="BZ235" s="851"/>
      <c r="CA235" s="851"/>
      <c r="CB235" s="851"/>
      <c r="CC235" s="851"/>
      <c r="CD235" s="851"/>
      <c r="CE235" s="851"/>
      <c r="CF235" s="851"/>
      <c r="CG235" s="851"/>
      <c r="CH235" s="851"/>
      <c r="CI235" s="851"/>
      <c r="CJ235" s="851"/>
      <c r="CK235" s="851"/>
      <c r="CL235" s="851"/>
      <c r="CM235" s="851"/>
      <c r="CN235" s="851"/>
      <c r="CO235" s="851"/>
      <c r="CP235" s="851"/>
      <c r="CQ235" s="851"/>
      <c r="CR235" s="851"/>
      <c r="CS235" s="851"/>
      <c r="CT235" s="851"/>
      <c r="CU235" s="851"/>
      <c r="CV235" s="851"/>
      <c r="CW235" s="851"/>
      <c r="CX235" s="851"/>
    </row>
    <row r="236" spans="51:102" x14ac:dyDescent="0.2">
      <c r="AY236" s="851"/>
      <c r="AZ236" s="851"/>
      <c r="BA236" s="851"/>
      <c r="BB236" s="851"/>
      <c r="BC236" s="851"/>
      <c r="BD236" s="851"/>
      <c r="BE236" s="851"/>
      <c r="BF236" s="851"/>
      <c r="BG236" s="851"/>
      <c r="BH236" s="851"/>
      <c r="BI236" s="851"/>
      <c r="BJ236" s="851"/>
      <c r="BK236" s="851"/>
      <c r="BL236" s="851"/>
      <c r="BM236" s="851"/>
      <c r="BN236" s="851"/>
      <c r="BO236" s="851"/>
      <c r="BP236" s="851"/>
      <c r="BQ236" s="851"/>
      <c r="BR236" s="851"/>
      <c r="BS236" s="851"/>
      <c r="BT236" s="851"/>
      <c r="BU236" s="851"/>
      <c r="BV236" s="851"/>
      <c r="BW236" s="851"/>
      <c r="BX236" s="851"/>
      <c r="BY236" s="851"/>
      <c r="BZ236" s="851"/>
      <c r="CA236" s="851"/>
      <c r="CB236" s="851"/>
      <c r="CC236" s="851"/>
      <c r="CD236" s="851"/>
      <c r="CE236" s="851"/>
      <c r="CF236" s="851"/>
      <c r="CG236" s="851"/>
      <c r="CH236" s="851"/>
      <c r="CI236" s="851"/>
      <c r="CJ236" s="851"/>
      <c r="CK236" s="851"/>
      <c r="CL236" s="851"/>
      <c r="CM236" s="851"/>
      <c r="CN236" s="851"/>
      <c r="CO236" s="851"/>
      <c r="CP236" s="851"/>
      <c r="CQ236" s="851"/>
      <c r="CR236" s="851"/>
      <c r="CS236" s="851"/>
      <c r="CT236" s="851"/>
      <c r="CU236" s="851"/>
      <c r="CV236" s="851"/>
      <c r="CW236" s="851"/>
      <c r="CX236" s="851"/>
    </row>
    <row r="237" spans="51:102" x14ac:dyDescent="0.2">
      <c r="AY237" s="851"/>
      <c r="AZ237" s="851"/>
      <c r="BA237" s="851"/>
      <c r="BB237" s="851"/>
      <c r="BC237" s="851"/>
      <c r="BD237" s="851"/>
      <c r="BE237" s="851"/>
      <c r="BF237" s="851"/>
      <c r="BG237" s="851"/>
      <c r="BH237" s="851"/>
      <c r="BI237" s="851"/>
      <c r="BJ237" s="851"/>
      <c r="BK237" s="851"/>
      <c r="BL237" s="851"/>
      <c r="BM237" s="851"/>
      <c r="BN237" s="851"/>
      <c r="BO237" s="851"/>
      <c r="BP237" s="851"/>
      <c r="BQ237" s="851"/>
      <c r="BR237" s="851"/>
      <c r="BS237" s="851"/>
      <c r="BT237" s="851"/>
      <c r="BU237" s="851"/>
      <c r="BV237" s="851"/>
      <c r="BW237" s="851"/>
      <c r="BX237" s="851"/>
      <c r="BY237" s="851"/>
      <c r="BZ237" s="851"/>
      <c r="CA237" s="851"/>
      <c r="CB237" s="851"/>
      <c r="CC237" s="851"/>
      <c r="CD237" s="851"/>
      <c r="CE237" s="851"/>
      <c r="CF237" s="851"/>
      <c r="CG237" s="851"/>
      <c r="CH237" s="851"/>
      <c r="CI237" s="851"/>
      <c r="CJ237" s="851"/>
      <c r="CK237" s="851"/>
      <c r="CL237" s="851"/>
      <c r="CM237" s="851"/>
      <c r="CN237" s="851"/>
      <c r="CO237" s="851"/>
      <c r="CP237" s="851"/>
      <c r="CQ237" s="851"/>
      <c r="CR237" s="851"/>
      <c r="CS237" s="851"/>
      <c r="CT237" s="851"/>
      <c r="CU237" s="851"/>
      <c r="CV237" s="851"/>
      <c r="CW237" s="851"/>
      <c r="CX237" s="851"/>
    </row>
    <row r="238" spans="51:102" x14ac:dyDescent="0.2">
      <c r="AY238" s="851"/>
      <c r="AZ238" s="851"/>
      <c r="BA238" s="851"/>
      <c r="BB238" s="851"/>
      <c r="BC238" s="851"/>
      <c r="BD238" s="851"/>
      <c r="BE238" s="851"/>
      <c r="BF238" s="851"/>
      <c r="BG238" s="851"/>
      <c r="BH238" s="851"/>
      <c r="BI238" s="851"/>
      <c r="BJ238" s="851"/>
      <c r="BK238" s="851"/>
      <c r="BL238" s="851"/>
      <c r="BM238" s="851"/>
      <c r="BN238" s="851"/>
      <c r="BO238" s="851"/>
      <c r="BP238" s="851"/>
      <c r="BQ238" s="851"/>
      <c r="BR238" s="851"/>
      <c r="BS238" s="851"/>
      <c r="BT238" s="851"/>
      <c r="BU238" s="851"/>
      <c r="BV238" s="851"/>
      <c r="BW238" s="851"/>
      <c r="BX238" s="851"/>
      <c r="BY238" s="851"/>
      <c r="BZ238" s="851"/>
      <c r="CA238" s="851"/>
      <c r="CB238" s="851"/>
      <c r="CC238" s="851"/>
      <c r="CD238" s="851"/>
      <c r="CE238" s="851"/>
      <c r="CF238" s="851"/>
      <c r="CG238" s="851"/>
      <c r="CH238" s="851"/>
      <c r="CI238" s="851"/>
      <c r="CJ238" s="851"/>
      <c r="CK238" s="851"/>
      <c r="CL238" s="851"/>
      <c r="CM238" s="851"/>
      <c r="CN238" s="851"/>
      <c r="CO238" s="851"/>
      <c r="CP238" s="851"/>
      <c r="CQ238" s="851"/>
      <c r="CR238" s="851"/>
      <c r="CS238" s="851"/>
      <c r="CT238" s="851"/>
      <c r="CU238" s="851"/>
      <c r="CV238" s="851"/>
      <c r="CW238" s="851"/>
      <c r="CX238" s="851"/>
    </row>
    <row r="239" spans="51:102" x14ac:dyDescent="0.2">
      <c r="AY239" s="851"/>
      <c r="AZ239" s="851"/>
      <c r="BA239" s="851"/>
      <c r="BB239" s="851"/>
      <c r="BC239" s="851"/>
      <c r="BD239" s="851"/>
      <c r="BE239" s="851"/>
      <c r="BF239" s="851"/>
      <c r="BG239" s="851"/>
      <c r="BH239" s="851"/>
      <c r="BI239" s="851"/>
      <c r="BJ239" s="851"/>
      <c r="BK239" s="851"/>
      <c r="BL239" s="851"/>
      <c r="BM239" s="851"/>
      <c r="BN239" s="851"/>
      <c r="BO239" s="851"/>
      <c r="BP239" s="851"/>
      <c r="BQ239" s="851"/>
      <c r="BR239" s="851"/>
      <c r="BS239" s="851"/>
      <c r="BT239" s="851"/>
      <c r="BU239" s="851"/>
      <c r="BV239" s="851"/>
      <c r="BW239" s="851"/>
      <c r="BX239" s="851"/>
      <c r="BY239" s="851"/>
      <c r="BZ239" s="851"/>
      <c r="CA239" s="851"/>
      <c r="CB239" s="851"/>
      <c r="CC239" s="851"/>
      <c r="CD239" s="851"/>
      <c r="CE239" s="851"/>
      <c r="CF239" s="851"/>
      <c r="CG239" s="851"/>
      <c r="CH239" s="851"/>
      <c r="CI239" s="851"/>
      <c r="CJ239" s="851"/>
      <c r="CK239" s="851"/>
      <c r="CL239" s="851"/>
      <c r="CM239" s="851"/>
      <c r="CN239" s="851"/>
      <c r="CO239" s="851"/>
      <c r="CP239" s="851"/>
      <c r="CQ239" s="851"/>
      <c r="CR239" s="851"/>
      <c r="CS239" s="851"/>
      <c r="CT239" s="851"/>
      <c r="CU239" s="851"/>
      <c r="CV239" s="851"/>
      <c r="CW239" s="851"/>
      <c r="CX239" s="851"/>
    </row>
    <row r="240" spans="51:102" x14ac:dyDescent="0.2">
      <c r="AY240" s="851"/>
      <c r="AZ240" s="851"/>
      <c r="BA240" s="851"/>
      <c r="BB240" s="851"/>
      <c r="BC240" s="851"/>
      <c r="BD240" s="851"/>
      <c r="BE240" s="851"/>
      <c r="BF240" s="851"/>
      <c r="BG240" s="851"/>
      <c r="BH240" s="851"/>
      <c r="BI240" s="851"/>
      <c r="BJ240" s="851"/>
      <c r="BK240" s="851"/>
      <c r="BL240" s="851"/>
      <c r="BM240" s="851"/>
      <c r="BN240" s="851"/>
      <c r="BO240" s="851"/>
      <c r="BP240" s="851"/>
      <c r="BQ240" s="851"/>
      <c r="BR240" s="851"/>
      <c r="BS240" s="851"/>
      <c r="BT240" s="851"/>
      <c r="BU240" s="851"/>
      <c r="BV240" s="851"/>
      <c r="BW240" s="851"/>
      <c r="BX240" s="851"/>
      <c r="BY240" s="851"/>
      <c r="BZ240" s="851"/>
      <c r="CA240" s="851"/>
      <c r="CB240" s="851"/>
      <c r="CC240" s="851"/>
      <c r="CD240" s="851"/>
      <c r="CE240" s="851"/>
      <c r="CF240" s="851"/>
      <c r="CG240" s="851"/>
      <c r="CH240" s="851"/>
      <c r="CI240" s="851"/>
      <c r="CJ240" s="851"/>
      <c r="CK240" s="851"/>
      <c r="CL240" s="851"/>
      <c r="CM240" s="851"/>
      <c r="CN240" s="851"/>
      <c r="CO240" s="851"/>
      <c r="CP240" s="851"/>
      <c r="CQ240" s="851"/>
      <c r="CR240" s="851"/>
      <c r="CS240" s="851"/>
      <c r="CT240" s="851"/>
      <c r="CU240" s="851"/>
      <c r="CV240" s="851"/>
      <c r="CW240" s="851"/>
      <c r="CX240" s="851"/>
    </row>
    <row r="241" spans="51:102" x14ac:dyDescent="0.2">
      <c r="AY241" s="851"/>
      <c r="AZ241" s="851"/>
      <c r="BA241" s="851"/>
      <c r="BB241" s="851"/>
      <c r="BC241" s="851"/>
      <c r="BD241" s="851"/>
      <c r="BE241" s="851"/>
      <c r="BF241" s="851"/>
      <c r="BG241" s="851"/>
      <c r="BH241" s="851"/>
      <c r="BI241" s="851"/>
      <c r="BJ241" s="851"/>
      <c r="BK241" s="851"/>
      <c r="BL241" s="851"/>
      <c r="BM241" s="851"/>
      <c r="BN241" s="851"/>
      <c r="BO241" s="851"/>
      <c r="BP241" s="851"/>
      <c r="BQ241" s="851"/>
      <c r="BR241" s="851"/>
      <c r="BS241" s="851"/>
      <c r="BT241" s="851"/>
      <c r="BU241" s="851"/>
      <c r="BV241" s="851"/>
      <c r="BW241" s="851"/>
      <c r="BX241" s="851"/>
      <c r="BY241" s="851"/>
      <c r="BZ241" s="851"/>
      <c r="CA241" s="851"/>
      <c r="CB241" s="851"/>
      <c r="CC241" s="851"/>
      <c r="CD241" s="851"/>
      <c r="CE241" s="851"/>
      <c r="CF241" s="851"/>
      <c r="CG241" s="851"/>
      <c r="CH241" s="851"/>
      <c r="CI241" s="851"/>
      <c r="CJ241" s="851"/>
      <c r="CK241" s="851"/>
      <c r="CL241" s="851"/>
      <c r="CM241" s="851"/>
      <c r="CN241" s="851"/>
      <c r="CO241" s="851"/>
      <c r="CP241" s="851"/>
      <c r="CQ241" s="851"/>
      <c r="CR241" s="851"/>
      <c r="CS241" s="851"/>
      <c r="CT241" s="851"/>
      <c r="CU241" s="851"/>
      <c r="CV241" s="851"/>
      <c r="CW241" s="851"/>
      <c r="CX241" s="851"/>
    </row>
    <row r="242" spans="51:102" x14ac:dyDescent="0.2">
      <c r="AY242" s="851"/>
      <c r="AZ242" s="851"/>
      <c r="BA242" s="851"/>
      <c r="BB242" s="851"/>
      <c r="BC242" s="851"/>
      <c r="BD242" s="851"/>
      <c r="BE242" s="851"/>
      <c r="BF242" s="851"/>
      <c r="BG242" s="851"/>
      <c r="BH242" s="851"/>
      <c r="BI242" s="851"/>
      <c r="BJ242" s="851"/>
      <c r="BK242" s="851"/>
      <c r="BL242" s="851"/>
      <c r="BM242" s="851"/>
      <c r="BN242" s="851"/>
      <c r="BO242" s="851"/>
      <c r="BP242" s="851"/>
      <c r="BQ242" s="851"/>
      <c r="BR242" s="851"/>
      <c r="BS242" s="851"/>
      <c r="BT242" s="851"/>
      <c r="BU242" s="851"/>
      <c r="BV242" s="851"/>
      <c r="BW242" s="851"/>
      <c r="BX242" s="851"/>
      <c r="BY242" s="851"/>
      <c r="BZ242" s="851"/>
      <c r="CA242" s="851"/>
      <c r="CB242" s="851"/>
      <c r="CC242" s="851"/>
      <c r="CD242" s="851"/>
      <c r="CE242" s="851"/>
      <c r="CF242" s="851"/>
      <c r="CG242" s="851"/>
      <c r="CH242" s="851"/>
      <c r="CI242" s="851"/>
      <c r="CJ242" s="851"/>
      <c r="CK242" s="851"/>
      <c r="CL242" s="851"/>
      <c r="CM242" s="851"/>
      <c r="CN242" s="851"/>
      <c r="CO242" s="851"/>
      <c r="CP242" s="851"/>
      <c r="CQ242" s="851"/>
      <c r="CR242" s="851"/>
      <c r="CS242" s="851"/>
      <c r="CT242" s="851"/>
      <c r="CU242" s="851"/>
      <c r="CV242" s="851"/>
      <c r="CW242" s="851"/>
      <c r="CX242" s="851"/>
    </row>
    <row r="243" spans="51:102" x14ac:dyDescent="0.2">
      <c r="AY243" s="851"/>
      <c r="AZ243" s="851"/>
      <c r="BA243" s="851"/>
      <c r="BB243" s="851"/>
      <c r="BC243" s="851"/>
      <c r="BD243" s="851"/>
      <c r="BE243" s="851"/>
      <c r="BF243" s="851"/>
      <c r="BG243" s="851"/>
      <c r="BH243" s="851"/>
      <c r="BI243" s="851"/>
      <c r="BJ243" s="851"/>
      <c r="BK243" s="851"/>
      <c r="BL243" s="851"/>
      <c r="BM243" s="851"/>
      <c r="BN243" s="851"/>
      <c r="BO243" s="851"/>
      <c r="BP243" s="851"/>
      <c r="BQ243" s="851"/>
      <c r="BR243" s="851"/>
      <c r="BS243" s="851"/>
      <c r="BT243" s="851"/>
      <c r="BU243" s="851"/>
      <c r="BV243" s="851"/>
      <c r="BW243" s="851"/>
      <c r="BX243" s="851"/>
      <c r="BY243" s="851"/>
      <c r="BZ243" s="851"/>
      <c r="CA243" s="851"/>
      <c r="CB243" s="851"/>
      <c r="CC243" s="851"/>
      <c r="CD243" s="851"/>
      <c r="CE243" s="851"/>
      <c r="CF243" s="851"/>
      <c r="CG243" s="851"/>
      <c r="CH243" s="851"/>
      <c r="CI243" s="851"/>
      <c r="CJ243" s="851"/>
      <c r="CK243" s="851"/>
      <c r="CL243" s="851"/>
      <c r="CM243" s="851"/>
      <c r="CN243" s="851"/>
      <c r="CO243" s="851"/>
      <c r="CP243" s="851"/>
      <c r="CQ243" s="851"/>
      <c r="CR243" s="851"/>
      <c r="CS243" s="851"/>
      <c r="CT243" s="851"/>
      <c r="CU243" s="851"/>
      <c r="CV243" s="851"/>
      <c r="CW243" s="851"/>
      <c r="CX243" s="851"/>
    </row>
    <row r="244" spans="51:102" x14ac:dyDescent="0.2">
      <c r="AY244" s="851"/>
      <c r="AZ244" s="851"/>
      <c r="BA244" s="851"/>
      <c r="BB244" s="851"/>
      <c r="BC244" s="851"/>
      <c r="BD244" s="851"/>
      <c r="BE244" s="851"/>
      <c r="BF244" s="851"/>
      <c r="BG244" s="851"/>
      <c r="BH244" s="851"/>
      <c r="BI244" s="851"/>
      <c r="BJ244" s="851"/>
      <c r="BK244" s="851"/>
      <c r="BL244" s="851"/>
      <c r="BM244" s="851"/>
      <c r="BN244" s="851"/>
      <c r="BO244" s="851"/>
      <c r="BP244" s="851"/>
      <c r="BQ244" s="851"/>
      <c r="BR244" s="851"/>
      <c r="BS244" s="851"/>
      <c r="BT244" s="851"/>
      <c r="BU244" s="851"/>
      <c r="BV244" s="851"/>
      <c r="BW244" s="851"/>
      <c r="BX244" s="851"/>
      <c r="BY244" s="851"/>
      <c r="BZ244" s="851"/>
      <c r="CA244" s="851"/>
      <c r="CB244" s="851"/>
      <c r="CC244" s="851"/>
      <c r="CD244" s="851"/>
      <c r="CE244" s="851"/>
      <c r="CF244" s="851"/>
      <c r="CG244" s="851"/>
      <c r="CH244" s="851"/>
      <c r="CI244" s="851"/>
      <c r="CJ244" s="851"/>
      <c r="CK244" s="851"/>
      <c r="CL244" s="851"/>
      <c r="CM244" s="851"/>
      <c r="CN244" s="851"/>
      <c r="CO244" s="851"/>
      <c r="CP244" s="851"/>
      <c r="CQ244" s="851"/>
      <c r="CR244" s="851"/>
      <c r="CS244" s="851"/>
      <c r="CT244" s="851"/>
      <c r="CU244" s="851"/>
      <c r="CV244" s="851"/>
      <c r="CW244" s="851"/>
      <c r="CX244" s="851"/>
    </row>
    <row r="245" spans="51:102" x14ac:dyDescent="0.2">
      <c r="AY245" s="851"/>
      <c r="AZ245" s="851"/>
      <c r="BA245" s="851"/>
      <c r="BB245" s="851"/>
      <c r="BC245" s="851"/>
      <c r="BD245" s="851"/>
      <c r="BE245" s="851"/>
      <c r="BF245" s="851"/>
      <c r="BG245" s="851"/>
      <c r="BH245" s="851"/>
      <c r="BI245" s="851"/>
      <c r="BJ245" s="851"/>
      <c r="BK245" s="851"/>
      <c r="BL245" s="851"/>
      <c r="BM245" s="851"/>
      <c r="BN245" s="851"/>
      <c r="BO245" s="851"/>
      <c r="BP245" s="851"/>
      <c r="BQ245" s="851"/>
      <c r="BR245" s="851"/>
      <c r="BS245" s="851"/>
      <c r="BT245" s="851"/>
      <c r="BU245" s="851"/>
      <c r="BV245" s="851"/>
      <c r="BW245" s="851"/>
      <c r="BX245" s="851"/>
      <c r="BY245" s="851"/>
      <c r="BZ245" s="851"/>
      <c r="CA245" s="851"/>
      <c r="CB245" s="851"/>
      <c r="CC245" s="851"/>
      <c r="CD245" s="851"/>
      <c r="CE245" s="851"/>
      <c r="CF245" s="851"/>
      <c r="CG245" s="851"/>
      <c r="CH245" s="851"/>
      <c r="CI245" s="851"/>
      <c r="CJ245" s="851"/>
      <c r="CK245" s="851"/>
      <c r="CL245" s="851"/>
      <c r="CM245" s="851"/>
      <c r="CN245" s="851"/>
      <c r="CO245" s="851"/>
      <c r="CP245" s="851"/>
      <c r="CQ245" s="851"/>
      <c r="CR245" s="851"/>
      <c r="CS245" s="851"/>
      <c r="CT245" s="851"/>
      <c r="CU245" s="851"/>
      <c r="CV245" s="851"/>
      <c r="CW245" s="851"/>
      <c r="CX245" s="851"/>
    </row>
    <row r="246" spans="51:102" x14ac:dyDescent="0.2">
      <c r="AY246" s="851"/>
      <c r="AZ246" s="851"/>
      <c r="BA246" s="851"/>
      <c r="BB246" s="851"/>
      <c r="BC246" s="851"/>
      <c r="BD246" s="851"/>
      <c r="BE246" s="851"/>
      <c r="BF246" s="851"/>
      <c r="BG246" s="851"/>
      <c r="BH246" s="851"/>
      <c r="BI246" s="851"/>
      <c r="BJ246" s="851"/>
      <c r="BK246" s="851"/>
      <c r="BL246" s="851"/>
      <c r="BM246" s="851"/>
      <c r="BN246" s="851"/>
      <c r="BO246" s="851"/>
      <c r="BP246" s="851"/>
      <c r="BQ246" s="851"/>
      <c r="BR246" s="851"/>
      <c r="BS246" s="851"/>
      <c r="BT246" s="851"/>
      <c r="BU246" s="851"/>
      <c r="BV246" s="851"/>
      <c r="BW246" s="851"/>
      <c r="BX246" s="851"/>
      <c r="BY246" s="851"/>
      <c r="BZ246" s="851"/>
      <c r="CA246" s="851"/>
      <c r="CB246" s="851"/>
      <c r="CC246" s="851"/>
      <c r="CD246" s="851"/>
      <c r="CE246" s="851"/>
      <c r="CF246" s="851"/>
      <c r="CG246" s="851"/>
      <c r="CH246" s="851"/>
      <c r="CI246" s="851"/>
      <c r="CJ246" s="851"/>
      <c r="CK246" s="851"/>
      <c r="CL246" s="851"/>
      <c r="CM246" s="851"/>
      <c r="CN246" s="851"/>
      <c r="CO246" s="851"/>
      <c r="CP246" s="851"/>
      <c r="CQ246" s="851"/>
      <c r="CR246" s="851"/>
      <c r="CS246" s="851"/>
      <c r="CT246" s="851"/>
      <c r="CU246" s="851"/>
      <c r="CV246" s="851"/>
      <c r="CW246" s="851"/>
      <c r="CX246" s="851"/>
    </row>
    <row r="247" spans="51:102" x14ac:dyDescent="0.2">
      <c r="AY247" s="851"/>
      <c r="AZ247" s="851"/>
      <c r="BA247" s="851"/>
      <c r="BB247" s="851"/>
      <c r="BC247" s="851"/>
      <c r="BD247" s="851"/>
      <c r="BE247" s="851"/>
      <c r="BF247" s="851"/>
      <c r="BG247" s="851"/>
      <c r="BH247" s="851"/>
      <c r="BI247" s="851"/>
      <c r="BJ247" s="851"/>
      <c r="BK247" s="851"/>
      <c r="BL247" s="851"/>
      <c r="BM247" s="851"/>
      <c r="BN247" s="851"/>
      <c r="BO247" s="851"/>
      <c r="BP247" s="851"/>
      <c r="BQ247" s="851"/>
      <c r="BR247" s="851"/>
      <c r="BS247" s="851"/>
      <c r="BT247" s="851"/>
      <c r="BU247" s="851"/>
      <c r="BV247" s="851"/>
      <c r="BW247" s="851"/>
      <c r="BX247" s="851"/>
      <c r="BY247" s="851"/>
      <c r="BZ247" s="851"/>
      <c r="CA247" s="851"/>
      <c r="CB247" s="851"/>
      <c r="CC247" s="851"/>
      <c r="CD247" s="851"/>
      <c r="CE247" s="851"/>
      <c r="CF247" s="851"/>
      <c r="CG247" s="851"/>
      <c r="CH247" s="851"/>
      <c r="CI247" s="851"/>
      <c r="CJ247" s="851"/>
      <c r="CK247" s="851"/>
      <c r="CL247" s="851"/>
      <c r="CM247" s="851"/>
      <c r="CN247" s="851"/>
      <c r="CO247" s="851"/>
      <c r="CP247" s="851"/>
      <c r="CQ247" s="851"/>
      <c r="CR247" s="851"/>
      <c r="CS247" s="851"/>
      <c r="CT247" s="851"/>
      <c r="CU247" s="851"/>
      <c r="CV247" s="851"/>
      <c r="CW247" s="851"/>
      <c r="CX247" s="851"/>
    </row>
    <row r="248" spans="51:102" x14ac:dyDescent="0.2">
      <c r="AY248" s="851"/>
      <c r="AZ248" s="851"/>
      <c r="BA248" s="851"/>
      <c r="BB248" s="851"/>
      <c r="BC248" s="851"/>
      <c r="BD248" s="851"/>
      <c r="BE248" s="851"/>
      <c r="BF248" s="851"/>
      <c r="BG248" s="851"/>
      <c r="BH248" s="851"/>
      <c r="BI248" s="851"/>
      <c r="BJ248" s="851"/>
      <c r="BK248" s="851"/>
      <c r="BL248" s="851"/>
      <c r="BM248" s="851"/>
      <c r="BN248" s="851"/>
      <c r="BO248" s="851"/>
      <c r="BP248" s="851"/>
      <c r="BQ248" s="851"/>
      <c r="BR248" s="851"/>
      <c r="BS248" s="851"/>
      <c r="BT248" s="851"/>
      <c r="BU248" s="851"/>
      <c r="BV248" s="851"/>
      <c r="BW248" s="851"/>
      <c r="BX248" s="851"/>
      <c r="BY248" s="851"/>
      <c r="BZ248" s="851"/>
      <c r="CA248" s="851"/>
      <c r="CB248" s="851"/>
      <c r="CC248" s="851"/>
      <c r="CD248" s="851"/>
      <c r="CE248" s="851"/>
      <c r="CF248" s="851"/>
      <c r="CG248" s="851"/>
      <c r="CH248" s="851"/>
      <c r="CI248" s="851"/>
      <c r="CJ248" s="851"/>
      <c r="CK248" s="851"/>
      <c r="CL248" s="851"/>
      <c r="CM248" s="851"/>
      <c r="CN248" s="851"/>
      <c r="CO248" s="851"/>
      <c r="CP248" s="851"/>
      <c r="CQ248" s="851"/>
      <c r="CR248" s="851"/>
      <c r="CS248" s="851"/>
      <c r="CT248" s="851"/>
      <c r="CU248" s="851"/>
      <c r="CV248" s="851"/>
      <c r="CW248" s="851"/>
      <c r="CX248" s="851"/>
    </row>
    <row r="249" spans="51:102" x14ac:dyDescent="0.2">
      <c r="AY249" s="851"/>
      <c r="AZ249" s="851"/>
      <c r="BA249" s="851"/>
      <c r="BB249" s="851"/>
      <c r="BC249" s="851"/>
      <c r="BD249" s="851"/>
      <c r="BE249" s="851"/>
      <c r="BF249" s="851"/>
      <c r="BG249" s="851"/>
      <c r="BH249" s="851"/>
      <c r="BI249" s="851"/>
      <c r="BJ249" s="851"/>
      <c r="BK249" s="851"/>
      <c r="BL249" s="851"/>
      <c r="BM249" s="851"/>
      <c r="BN249" s="851"/>
      <c r="BO249" s="851"/>
      <c r="BP249" s="851"/>
      <c r="BQ249" s="851"/>
      <c r="BR249" s="851"/>
      <c r="BS249" s="851"/>
      <c r="BT249" s="851"/>
      <c r="BU249" s="851"/>
      <c r="BV249" s="851"/>
      <c r="BW249" s="851"/>
      <c r="BX249" s="851"/>
      <c r="BY249" s="851"/>
      <c r="BZ249" s="851"/>
      <c r="CA249" s="851"/>
      <c r="CB249" s="851"/>
      <c r="CC249" s="851"/>
      <c r="CD249" s="851"/>
      <c r="CE249" s="851"/>
      <c r="CF249" s="851"/>
      <c r="CG249" s="851"/>
      <c r="CH249" s="851"/>
      <c r="CI249" s="851"/>
      <c r="CJ249" s="851"/>
      <c r="CK249" s="851"/>
      <c r="CL249" s="851"/>
      <c r="CM249" s="851"/>
      <c r="CN249" s="851"/>
      <c r="CO249" s="851"/>
      <c r="CP249" s="851"/>
      <c r="CQ249" s="851"/>
      <c r="CR249" s="851"/>
      <c r="CS249" s="851"/>
      <c r="CT249" s="851"/>
      <c r="CU249" s="851"/>
      <c r="CV249" s="851"/>
      <c r="CW249" s="851"/>
      <c r="CX249" s="851"/>
    </row>
    <row r="250" spans="51:102" x14ac:dyDescent="0.2">
      <c r="AY250" s="851"/>
      <c r="AZ250" s="851"/>
      <c r="BA250" s="851"/>
      <c r="BB250" s="851"/>
      <c r="BC250" s="851"/>
      <c r="BD250" s="851"/>
      <c r="BE250" s="851"/>
      <c r="BF250" s="851"/>
      <c r="BG250" s="851"/>
      <c r="BH250" s="851"/>
      <c r="BI250" s="851"/>
      <c r="BJ250" s="851"/>
      <c r="BK250" s="851"/>
      <c r="BL250" s="851"/>
      <c r="BM250" s="851"/>
      <c r="BN250" s="851"/>
      <c r="BO250" s="851"/>
      <c r="BP250" s="851"/>
      <c r="BQ250" s="851"/>
      <c r="BR250" s="851"/>
      <c r="BS250" s="851"/>
      <c r="BT250" s="851"/>
      <c r="BU250" s="851"/>
      <c r="BV250" s="851"/>
      <c r="BW250" s="851"/>
      <c r="BX250" s="851"/>
      <c r="BY250" s="851"/>
      <c r="BZ250" s="851"/>
      <c r="CA250" s="851"/>
      <c r="CB250" s="851"/>
      <c r="CC250" s="851"/>
      <c r="CD250" s="851"/>
      <c r="CE250" s="851"/>
      <c r="CF250" s="851"/>
      <c r="CG250" s="851"/>
      <c r="CH250" s="851"/>
      <c r="CI250" s="851"/>
      <c r="CJ250" s="851"/>
      <c r="CK250" s="851"/>
      <c r="CL250" s="851"/>
      <c r="CM250" s="851"/>
      <c r="CN250" s="851"/>
      <c r="CO250" s="851"/>
      <c r="CP250" s="851"/>
      <c r="CQ250" s="851"/>
      <c r="CR250" s="851"/>
      <c r="CS250" s="851"/>
      <c r="CT250" s="851"/>
      <c r="CU250" s="851"/>
      <c r="CV250" s="851"/>
      <c r="CW250" s="851"/>
      <c r="CX250" s="851"/>
    </row>
    <row r="251" spans="51:102" x14ac:dyDescent="0.2">
      <c r="AY251" s="851"/>
      <c r="AZ251" s="851"/>
      <c r="BA251" s="851"/>
      <c r="BB251" s="851"/>
      <c r="BC251" s="851"/>
      <c r="BD251" s="851"/>
      <c r="BE251" s="851"/>
      <c r="BF251" s="851"/>
      <c r="BG251" s="851"/>
      <c r="BH251" s="851"/>
      <c r="BI251" s="851"/>
      <c r="BJ251" s="851"/>
      <c r="BK251" s="851"/>
      <c r="BL251" s="851"/>
      <c r="BM251" s="851"/>
      <c r="BN251" s="851"/>
      <c r="BO251" s="851"/>
      <c r="BP251" s="851"/>
      <c r="BQ251" s="851"/>
      <c r="BR251" s="851"/>
      <c r="BS251" s="851"/>
      <c r="BT251" s="851"/>
      <c r="BU251" s="851"/>
      <c r="BV251" s="851"/>
      <c r="BW251" s="851"/>
      <c r="BX251" s="851"/>
      <c r="BY251" s="851"/>
      <c r="BZ251" s="851"/>
      <c r="CA251" s="851"/>
      <c r="CB251" s="851"/>
      <c r="CC251" s="851"/>
      <c r="CD251" s="851"/>
      <c r="CE251" s="851"/>
      <c r="CF251" s="851"/>
      <c r="CG251" s="851"/>
      <c r="CH251" s="851"/>
      <c r="CI251" s="851"/>
      <c r="CJ251" s="851"/>
      <c r="CK251" s="851"/>
      <c r="CL251" s="851"/>
      <c r="CM251" s="851"/>
      <c r="CN251" s="851"/>
      <c r="CO251" s="851"/>
      <c r="CP251" s="851"/>
      <c r="CQ251" s="851"/>
      <c r="CR251" s="851"/>
      <c r="CS251" s="851"/>
      <c r="CT251" s="851"/>
      <c r="CU251" s="851"/>
      <c r="CV251" s="851"/>
      <c r="CW251" s="851"/>
      <c r="CX251" s="851"/>
    </row>
    <row r="252" spans="51:102" x14ac:dyDescent="0.2">
      <c r="AY252" s="851"/>
      <c r="AZ252" s="851"/>
      <c r="BA252" s="851"/>
      <c r="BB252" s="851"/>
      <c r="BC252" s="851"/>
      <c r="BD252" s="851"/>
      <c r="BE252" s="851"/>
      <c r="BF252" s="851"/>
      <c r="BG252" s="851"/>
      <c r="BH252" s="851"/>
      <c r="BI252" s="851"/>
      <c r="BJ252" s="851"/>
      <c r="BK252" s="851"/>
      <c r="BL252" s="851"/>
      <c r="BM252" s="851"/>
      <c r="BN252" s="851"/>
      <c r="BO252" s="851"/>
      <c r="BP252" s="851"/>
      <c r="BQ252" s="851"/>
      <c r="BR252" s="851"/>
      <c r="BS252" s="851"/>
      <c r="BT252" s="851"/>
      <c r="BU252" s="851"/>
      <c r="BV252" s="851"/>
      <c r="BW252" s="851"/>
      <c r="BX252" s="851"/>
      <c r="BY252" s="851"/>
      <c r="BZ252" s="851"/>
      <c r="CA252" s="851"/>
      <c r="CB252" s="851"/>
      <c r="CC252" s="851"/>
      <c r="CD252" s="851"/>
      <c r="CE252" s="851"/>
      <c r="CF252" s="851"/>
      <c r="CG252" s="851"/>
      <c r="CH252" s="851"/>
      <c r="CI252" s="851"/>
      <c r="CJ252" s="851"/>
      <c r="CK252" s="851"/>
      <c r="CL252" s="851"/>
      <c r="CM252" s="851"/>
      <c r="CN252" s="851"/>
      <c r="CO252" s="851"/>
      <c r="CP252" s="851"/>
      <c r="CQ252" s="851"/>
      <c r="CR252" s="851"/>
      <c r="CS252" s="851"/>
      <c r="CT252" s="851"/>
      <c r="CU252" s="851"/>
      <c r="CV252" s="851"/>
      <c r="CW252" s="851"/>
      <c r="CX252" s="851"/>
    </row>
    <row r="253" spans="51:102" x14ac:dyDescent="0.2">
      <c r="AY253" s="851"/>
      <c r="AZ253" s="851"/>
      <c r="BA253" s="851"/>
      <c r="BB253" s="851"/>
      <c r="BC253" s="851"/>
      <c r="BD253" s="851"/>
      <c r="BE253" s="851"/>
      <c r="BF253" s="851"/>
      <c r="BG253" s="851"/>
      <c r="BH253" s="851"/>
      <c r="BI253" s="851"/>
      <c r="BJ253" s="851"/>
      <c r="BK253" s="851"/>
      <c r="BL253" s="851"/>
      <c r="BM253" s="851"/>
      <c r="BN253" s="851"/>
      <c r="BO253" s="851"/>
      <c r="BP253" s="851"/>
      <c r="BQ253" s="851"/>
      <c r="BR253" s="851"/>
      <c r="BS253" s="851"/>
      <c r="BT253" s="851"/>
      <c r="BU253" s="851"/>
      <c r="BV253" s="851"/>
      <c r="BW253" s="851"/>
      <c r="BX253" s="851"/>
      <c r="BY253" s="851"/>
      <c r="BZ253" s="851"/>
      <c r="CA253" s="851"/>
      <c r="CB253" s="851"/>
      <c r="CC253" s="851"/>
      <c r="CD253" s="851"/>
      <c r="CE253" s="851"/>
      <c r="CF253" s="851"/>
      <c r="CG253" s="851"/>
      <c r="CH253" s="851"/>
      <c r="CI253" s="851"/>
      <c r="CJ253" s="851"/>
      <c r="CK253" s="851"/>
      <c r="CL253" s="851"/>
      <c r="CM253" s="851"/>
      <c r="CN253" s="851"/>
      <c r="CO253" s="851"/>
      <c r="CP253" s="851"/>
      <c r="CQ253" s="851"/>
      <c r="CR253" s="851"/>
      <c r="CS253" s="851"/>
      <c r="CT253" s="851"/>
      <c r="CU253" s="851"/>
      <c r="CV253" s="851"/>
      <c r="CW253" s="851"/>
      <c r="CX253" s="851"/>
    </row>
    <row r="254" spans="51:102" x14ac:dyDescent="0.2">
      <c r="AY254" s="851"/>
      <c r="AZ254" s="851"/>
      <c r="BA254" s="851"/>
      <c r="BB254" s="851"/>
      <c r="BC254" s="851"/>
      <c r="BD254" s="851"/>
      <c r="BE254" s="851"/>
      <c r="BF254" s="851"/>
      <c r="BG254" s="851"/>
      <c r="BH254" s="851"/>
      <c r="BI254" s="851"/>
      <c r="BJ254" s="851"/>
      <c r="BK254" s="851"/>
      <c r="BL254" s="851"/>
      <c r="BM254" s="851"/>
      <c r="BN254" s="851"/>
      <c r="BO254" s="851"/>
      <c r="BP254" s="851"/>
      <c r="BQ254" s="851"/>
      <c r="BR254" s="851"/>
      <c r="BS254" s="851"/>
      <c r="BT254" s="851"/>
      <c r="BU254" s="851"/>
      <c r="BV254" s="851"/>
      <c r="BW254" s="851"/>
      <c r="BX254" s="851"/>
      <c r="BY254" s="851"/>
      <c r="BZ254" s="851"/>
      <c r="CA254" s="851"/>
      <c r="CB254" s="851"/>
      <c r="CC254" s="851"/>
      <c r="CD254" s="851"/>
      <c r="CE254" s="851"/>
      <c r="CF254" s="851"/>
      <c r="CG254" s="851"/>
      <c r="CH254" s="851"/>
      <c r="CI254" s="851"/>
      <c r="CJ254" s="851"/>
      <c r="CK254" s="851"/>
      <c r="CL254" s="851"/>
      <c r="CM254" s="851"/>
      <c r="CN254" s="851"/>
      <c r="CO254" s="851"/>
      <c r="CP254" s="851"/>
      <c r="CQ254" s="851"/>
      <c r="CR254" s="851"/>
      <c r="CS254" s="851"/>
      <c r="CT254" s="851"/>
      <c r="CU254" s="851"/>
      <c r="CV254" s="851"/>
      <c r="CW254" s="851"/>
      <c r="CX254" s="851"/>
    </row>
    <row r="255" spans="51:102" x14ac:dyDescent="0.2">
      <c r="AY255" s="851"/>
      <c r="AZ255" s="851"/>
      <c r="BA255" s="851"/>
      <c r="BB255" s="851"/>
      <c r="BC255" s="851"/>
      <c r="BD255" s="851"/>
      <c r="BE255" s="851"/>
      <c r="BF255" s="851"/>
      <c r="BG255" s="851"/>
      <c r="BH255" s="851"/>
      <c r="BI255" s="851"/>
      <c r="BJ255" s="851"/>
      <c r="BK255" s="851"/>
      <c r="BL255" s="851"/>
      <c r="BM255" s="851"/>
      <c r="BN255" s="851"/>
      <c r="BO255" s="851"/>
      <c r="BP255" s="851"/>
      <c r="BQ255" s="851"/>
      <c r="BR255" s="851"/>
      <c r="BS255" s="851"/>
      <c r="BT255" s="851"/>
      <c r="BU255" s="851"/>
      <c r="BV255" s="851"/>
      <c r="BW255" s="851"/>
      <c r="BX255" s="851"/>
      <c r="BY255" s="851"/>
      <c r="BZ255" s="851"/>
      <c r="CA255" s="851"/>
      <c r="CB255" s="851"/>
      <c r="CC255" s="851"/>
      <c r="CD255" s="851"/>
      <c r="CE255" s="851"/>
      <c r="CF255" s="851"/>
      <c r="CG255" s="851"/>
      <c r="CH255" s="851"/>
      <c r="CI255" s="851"/>
      <c r="CJ255" s="851"/>
      <c r="CK255" s="851"/>
      <c r="CL255" s="851"/>
      <c r="CM255" s="851"/>
      <c r="CN255" s="851"/>
      <c r="CO255" s="851"/>
      <c r="CP255" s="851"/>
      <c r="CQ255" s="851"/>
      <c r="CR255" s="851"/>
      <c r="CS255" s="851"/>
      <c r="CT255" s="851"/>
      <c r="CU255" s="851"/>
      <c r="CV255" s="851"/>
      <c r="CW255" s="851"/>
      <c r="CX255" s="851"/>
    </row>
    <row r="256" spans="51:102" x14ac:dyDescent="0.2">
      <c r="AY256" s="851"/>
      <c r="AZ256" s="851"/>
      <c r="BA256" s="851"/>
      <c r="BB256" s="851"/>
      <c r="BC256" s="851"/>
      <c r="BD256" s="851"/>
      <c r="BE256" s="851"/>
      <c r="BF256" s="851"/>
      <c r="BG256" s="851"/>
      <c r="BH256" s="851"/>
      <c r="BI256" s="851"/>
      <c r="BJ256" s="851"/>
      <c r="BK256" s="851"/>
      <c r="BL256" s="851"/>
      <c r="BM256" s="851"/>
      <c r="BN256" s="851"/>
      <c r="BO256" s="851"/>
      <c r="BP256" s="851"/>
      <c r="BQ256" s="851"/>
      <c r="BR256" s="851"/>
      <c r="BS256" s="851"/>
      <c r="BT256" s="851"/>
      <c r="BU256" s="851"/>
      <c r="BV256" s="851"/>
      <c r="BW256" s="851"/>
      <c r="BX256" s="851"/>
      <c r="BY256" s="851"/>
      <c r="BZ256" s="851"/>
      <c r="CA256" s="851"/>
      <c r="CB256" s="851"/>
      <c r="CC256" s="851"/>
      <c r="CD256" s="851"/>
      <c r="CE256" s="851"/>
      <c r="CF256" s="851"/>
      <c r="CG256" s="851"/>
      <c r="CH256" s="851"/>
      <c r="CI256" s="851"/>
      <c r="CJ256" s="851"/>
      <c r="CK256" s="851"/>
      <c r="CL256" s="851"/>
      <c r="CM256" s="851"/>
      <c r="CN256" s="851"/>
      <c r="CO256" s="851"/>
      <c r="CP256" s="851"/>
      <c r="CQ256" s="851"/>
      <c r="CR256" s="851"/>
      <c r="CS256" s="851"/>
      <c r="CT256" s="851"/>
      <c r="CU256" s="851"/>
      <c r="CV256" s="851"/>
      <c r="CW256" s="851"/>
      <c r="CX256" s="851"/>
    </row>
    <row r="257" spans="51:102" x14ac:dyDescent="0.2">
      <c r="AY257" s="851"/>
      <c r="AZ257" s="851"/>
      <c r="BA257" s="851"/>
      <c r="BB257" s="851"/>
      <c r="BC257" s="851"/>
      <c r="BD257" s="851"/>
      <c r="BE257" s="851"/>
      <c r="BF257" s="851"/>
      <c r="BG257" s="851"/>
      <c r="BH257" s="851"/>
      <c r="BI257" s="851"/>
      <c r="BJ257" s="851"/>
      <c r="BK257" s="851"/>
      <c r="BL257" s="851"/>
      <c r="BM257" s="851"/>
      <c r="BN257" s="851"/>
      <c r="BO257" s="851"/>
      <c r="BP257" s="851"/>
      <c r="BQ257" s="851"/>
      <c r="BR257" s="851"/>
      <c r="BS257" s="851"/>
      <c r="BT257" s="851"/>
      <c r="BU257" s="851"/>
      <c r="BV257" s="851"/>
      <c r="BW257" s="851"/>
      <c r="BX257" s="851"/>
      <c r="BY257" s="851"/>
      <c r="BZ257" s="851"/>
      <c r="CA257" s="851"/>
      <c r="CB257" s="851"/>
      <c r="CC257" s="851"/>
      <c r="CD257" s="851"/>
      <c r="CE257" s="851"/>
      <c r="CF257" s="851"/>
      <c r="CG257" s="851"/>
      <c r="CH257" s="851"/>
      <c r="CI257" s="851"/>
      <c r="CJ257" s="851"/>
      <c r="CK257" s="851"/>
      <c r="CL257" s="851"/>
      <c r="CM257" s="851"/>
      <c r="CN257" s="851"/>
      <c r="CO257" s="851"/>
      <c r="CP257" s="851"/>
      <c r="CQ257" s="851"/>
      <c r="CR257" s="851"/>
      <c r="CS257" s="851"/>
      <c r="CT257" s="851"/>
      <c r="CU257" s="851"/>
      <c r="CV257" s="851"/>
      <c r="CW257" s="851"/>
      <c r="CX257" s="851"/>
    </row>
    <row r="258" spans="51:102" x14ac:dyDescent="0.2">
      <c r="AY258" s="851"/>
      <c r="AZ258" s="851"/>
      <c r="BA258" s="851"/>
      <c r="BB258" s="851"/>
      <c r="BC258" s="851"/>
      <c r="BD258" s="851"/>
      <c r="BE258" s="851"/>
      <c r="BF258" s="851"/>
      <c r="BG258" s="851"/>
      <c r="BH258" s="851"/>
      <c r="BI258" s="851"/>
      <c r="BJ258" s="851"/>
      <c r="BK258" s="851"/>
      <c r="BL258" s="851"/>
      <c r="BM258" s="851"/>
      <c r="BN258" s="851"/>
      <c r="BO258" s="851"/>
      <c r="BP258" s="851"/>
      <c r="BQ258" s="851"/>
      <c r="BR258" s="851"/>
      <c r="BS258" s="851"/>
      <c r="BT258" s="851"/>
      <c r="BU258" s="851"/>
      <c r="BV258" s="851"/>
      <c r="BW258" s="851"/>
      <c r="BX258" s="851"/>
      <c r="BY258" s="851"/>
      <c r="BZ258" s="851"/>
      <c r="CA258" s="851"/>
      <c r="CB258" s="851"/>
      <c r="CC258" s="851"/>
      <c r="CD258" s="851"/>
      <c r="CE258" s="851"/>
      <c r="CF258" s="851"/>
      <c r="CG258" s="851"/>
      <c r="CH258" s="851"/>
      <c r="CI258" s="851"/>
      <c r="CJ258" s="851"/>
      <c r="CK258" s="851"/>
      <c r="CL258" s="851"/>
      <c r="CM258" s="851"/>
      <c r="CN258" s="851"/>
      <c r="CO258" s="851"/>
      <c r="CP258" s="851"/>
      <c r="CQ258" s="851"/>
      <c r="CR258" s="851"/>
      <c r="CS258" s="851"/>
      <c r="CT258" s="851"/>
      <c r="CU258" s="851"/>
      <c r="CV258" s="851"/>
      <c r="CW258" s="851"/>
      <c r="CX258" s="851"/>
    </row>
    <row r="259" spans="51:102" x14ac:dyDescent="0.2">
      <c r="AY259" s="851"/>
      <c r="AZ259" s="851"/>
      <c r="BA259" s="851"/>
      <c r="BB259" s="851"/>
      <c r="BC259" s="851"/>
      <c r="BD259" s="851"/>
      <c r="BE259" s="851"/>
      <c r="BF259" s="851"/>
      <c r="BG259" s="851"/>
      <c r="BH259" s="851"/>
      <c r="BI259" s="851"/>
      <c r="BJ259" s="851"/>
      <c r="BK259" s="851"/>
      <c r="BL259" s="851"/>
      <c r="BM259" s="851"/>
      <c r="BN259" s="851"/>
      <c r="BO259" s="851"/>
      <c r="BP259" s="851"/>
      <c r="BQ259" s="851"/>
      <c r="BR259" s="851"/>
      <c r="BS259" s="851"/>
      <c r="BT259" s="851"/>
      <c r="BU259" s="851"/>
      <c r="BV259" s="851"/>
      <c r="BW259" s="851"/>
      <c r="BX259" s="851"/>
      <c r="BY259" s="851"/>
      <c r="BZ259" s="851"/>
      <c r="CA259" s="851"/>
      <c r="CB259" s="851"/>
      <c r="CC259" s="851"/>
      <c r="CD259" s="851"/>
      <c r="CE259" s="851"/>
      <c r="CF259" s="851"/>
      <c r="CG259" s="851"/>
      <c r="CH259" s="851"/>
      <c r="CI259" s="851"/>
      <c r="CJ259" s="851"/>
      <c r="CK259" s="851"/>
      <c r="CL259" s="851"/>
      <c r="CM259" s="851"/>
      <c r="CN259" s="851"/>
      <c r="CO259" s="851"/>
      <c r="CP259" s="851"/>
      <c r="CQ259" s="851"/>
      <c r="CR259" s="851"/>
      <c r="CS259" s="851"/>
      <c r="CT259" s="851"/>
      <c r="CU259" s="851"/>
      <c r="CV259" s="851"/>
      <c r="CW259" s="851"/>
      <c r="CX259" s="851"/>
    </row>
    <row r="260" spans="51:102" x14ac:dyDescent="0.2">
      <c r="AY260" s="851"/>
      <c r="AZ260" s="851"/>
      <c r="BA260" s="851"/>
      <c r="BB260" s="851"/>
      <c r="BC260" s="851"/>
      <c r="BD260" s="851"/>
      <c r="BE260" s="851"/>
      <c r="BF260" s="851"/>
      <c r="BG260" s="851"/>
      <c r="BH260" s="851"/>
      <c r="BI260" s="851"/>
      <c r="BJ260" s="851"/>
      <c r="BK260" s="851"/>
      <c r="BL260" s="851"/>
      <c r="BM260" s="851"/>
      <c r="BN260" s="851"/>
      <c r="BO260" s="851"/>
      <c r="BP260" s="851"/>
      <c r="BQ260" s="851"/>
      <c r="BR260" s="851"/>
      <c r="BS260" s="851"/>
      <c r="BT260" s="851"/>
      <c r="BU260" s="851"/>
      <c r="BV260" s="851"/>
      <c r="BW260" s="851"/>
      <c r="BX260" s="851"/>
      <c r="BY260" s="851"/>
      <c r="BZ260" s="851"/>
      <c r="CA260" s="851"/>
      <c r="CB260" s="851"/>
      <c r="CC260" s="851"/>
      <c r="CD260" s="851"/>
      <c r="CE260" s="851"/>
      <c r="CF260" s="851"/>
      <c r="CG260" s="851"/>
      <c r="CH260" s="851"/>
      <c r="CI260" s="851"/>
      <c r="CJ260" s="851"/>
      <c r="CK260" s="851"/>
      <c r="CL260" s="851"/>
      <c r="CM260" s="851"/>
      <c r="CN260" s="851"/>
      <c r="CO260" s="851"/>
      <c r="CP260" s="851"/>
      <c r="CQ260" s="851"/>
      <c r="CR260" s="851"/>
      <c r="CS260" s="851"/>
      <c r="CT260" s="851"/>
      <c r="CU260" s="851"/>
      <c r="CV260" s="851"/>
      <c r="CW260" s="851"/>
      <c r="CX260" s="851"/>
    </row>
    <row r="261" spans="51:102" x14ac:dyDescent="0.2">
      <c r="AY261" s="851"/>
      <c r="AZ261" s="851"/>
      <c r="BA261" s="851"/>
      <c r="BB261" s="851"/>
      <c r="BC261" s="851"/>
      <c r="BD261" s="851"/>
      <c r="BE261" s="851"/>
      <c r="BF261" s="851"/>
      <c r="BG261" s="851"/>
      <c r="BH261" s="851"/>
      <c r="BI261" s="851"/>
      <c r="BJ261" s="851"/>
      <c r="BK261" s="851"/>
      <c r="BL261" s="851"/>
      <c r="BM261" s="851"/>
      <c r="BN261" s="851"/>
      <c r="BO261" s="851"/>
      <c r="BP261" s="851"/>
      <c r="BQ261" s="851"/>
      <c r="BR261" s="851"/>
      <c r="BS261" s="851"/>
      <c r="BT261" s="851"/>
      <c r="BU261" s="851"/>
      <c r="BV261" s="851"/>
      <c r="BW261" s="851"/>
      <c r="BX261" s="851"/>
      <c r="BY261" s="851"/>
      <c r="BZ261" s="851"/>
      <c r="CA261" s="851"/>
      <c r="CB261" s="851"/>
      <c r="CC261" s="851"/>
      <c r="CD261" s="851"/>
      <c r="CE261" s="851"/>
      <c r="CF261" s="851"/>
      <c r="CG261" s="851"/>
      <c r="CH261" s="851"/>
      <c r="CI261" s="851"/>
      <c r="CJ261" s="851"/>
      <c r="CK261" s="851"/>
      <c r="CL261" s="851"/>
      <c r="CM261" s="851"/>
      <c r="CN261" s="851"/>
      <c r="CO261" s="851"/>
      <c r="CP261" s="851"/>
      <c r="CQ261" s="851"/>
      <c r="CR261" s="851"/>
      <c r="CS261" s="851"/>
      <c r="CT261" s="851"/>
      <c r="CU261" s="851"/>
      <c r="CV261" s="851"/>
      <c r="CW261" s="851"/>
      <c r="CX261" s="851"/>
    </row>
    <row r="262" spans="51:102" x14ac:dyDescent="0.2">
      <c r="AY262" s="851"/>
      <c r="AZ262" s="851"/>
      <c r="BA262" s="851"/>
      <c r="BB262" s="851"/>
      <c r="BC262" s="851"/>
      <c r="BD262" s="851"/>
      <c r="BE262" s="851"/>
      <c r="BF262" s="851"/>
      <c r="BG262" s="851"/>
      <c r="BH262" s="851"/>
      <c r="BI262" s="851"/>
      <c r="BJ262" s="851"/>
      <c r="BK262" s="851"/>
      <c r="BL262" s="851"/>
      <c r="BM262" s="851"/>
      <c r="BN262" s="851"/>
      <c r="BO262" s="851"/>
      <c r="BP262" s="851"/>
      <c r="BQ262" s="851"/>
      <c r="BR262" s="851"/>
      <c r="BS262" s="851"/>
      <c r="BT262" s="851"/>
      <c r="BU262" s="851"/>
      <c r="BV262" s="851"/>
      <c r="BW262" s="851"/>
      <c r="BX262" s="851"/>
      <c r="BY262" s="851"/>
      <c r="BZ262" s="851"/>
      <c r="CA262" s="851"/>
      <c r="CB262" s="851"/>
      <c r="CC262" s="851"/>
      <c r="CD262" s="851"/>
      <c r="CE262" s="851"/>
      <c r="CF262" s="851"/>
      <c r="CG262" s="851"/>
      <c r="CH262" s="851"/>
      <c r="CI262" s="851"/>
      <c r="CJ262" s="851"/>
      <c r="CK262" s="851"/>
      <c r="CL262" s="851"/>
      <c r="CM262" s="851"/>
      <c r="CN262" s="851"/>
      <c r="CO262" s="851"/>
      <c r="CP262" s="851"/>
      <c r="CQ262" s="851"/>
      <c r="CR262" s="851"/>
      <c r="CS262" s="851"/>
      <c r="CT262" s="851"/>
      <c r="CU262" s="851"/>
      <c r="CV262" s="851"/>
      <c r="CW262" s="851"/>
      <c r="CX262" s="851"/>
    </row>
    <row r="263" spans="51:102" x14ac:dyDescent="0.2">
      <c r="AY263" s="851"/>
      <c r="AZ263" s="851"/>
      <c r="BA263" s="851"/>
      <c r="BB263" s="851"/>
      <c r="BC263" s="851"/>
      <c r="BD263" s="851"/>
      <c r="BE263" s="851"/>
      <c r="BF263" s="851"/>
      <c r="BG263" s="851"/>
      <c r="BH263" s="851"/>
      <c r="BI263" s="851"/>
      <c r="BJ263" s="851"/>
      <c r="BK263" s="851"/>
      <c r="BL263" s="851"/>
      <c r="BM263" s="851"/>
      <c r="BN263" s="851"/>
      <c r="BO263" s="851"/>
      <c r="BP263" s="851"/>
      <c r="BQ263" s="851"/>
      <c r="BR263" s="851"/>
      <c r="BS263" s="851"/>
      <c r="BT263" s="851"/>
      <c r="BU263" s="851"/>
      <c r="BV263" s="851"/>
      <c r="BW263" s="851"/>
      <c r="BX263" s="851"/>
      <c r="BY263" s="851"/>
      <c r="BZ263" s="851"/>
      <c r="CA263" s="851"/>
      <c r="CB263" s="851"/>
      <c r="CC263" s="851"/>
      <c r="CD263" s="851"/>
      <c r="CE263" s="851"/>
      <c r="CF263" s="851"/>
      <c r="CG263" s="851"/>
      <c r="CH263" s="851"/>
      <c r="CI263" s="851"/>
      <c r="CJ263" s="851"/>
      <c r="CK263" s="851"/>
      <c r="CL263" s="851"/>
      <c r="CM263" s="851"/>
      <c r="CN263" s="851"/>
      <c r="CO263" s="851"/>
      <c r="CP263" s="851"/>
      <c r="CQ263" s="851"/>
      <c r="CR263" s="851"/>
      <c r="CS263" s="851"/>
      <c r="CT263" s="851"/>
      <c r="CU263" s="851"/>
      <c r="CV263" s="851"/>
      <c r="CW263" s="851"/>
      <c r="CX263" s="851"/>
    </row>
    <row r="264" spans="51:102" x14ac:dyDescent="0.2">
      <c r="AY264" s="851"/>
      <c r="AZ264" s="851"/>
      <c r="BA264" s="851"/>
      <c r="BB264" s="851"/>
      <c r="BC264" s="851"/>
      <c r="BD264" s="851"/>
      <c r="BE264" s="851"/>
      <c r="BF264" s="851"/>
      <c r="BG264" s="851"/>
      <c r="BH264" s="851"/>
      <c r="BI264" s="851"/>
      <c r="BJ264" s="851"/>
      <c r="BK264" s="851"/>
      <c r="BL264" s="851"/>
      <c r="BM264" s="851"/>
      <c r="BN264" s="851"/>
      <c r="BO264" s="851"/>
      <c r="BP264" s="851"/>
      <c r="BQ264" s="851"/>
      <c r="BR264" s="851"/>
      <c r="BS264" s="851"/>
      <c r="BT264" s="851"/>
      <c r="BU264" s="851"/>
      <c r="BV264" s="851"/>
      <c r="BW264" s="851"/>
      <c r="BX264" s="851"/>
      <c r="BY264" s="851"/>
      <c r="BZ264" s="851"/>
      <c r="CA264" s="851"/>
      <c r="CB264" s="851"/>
      <c r="CC264" s="851"/>
      <c r="CD264" s="851"/>
      <c r="CE264" s="851"/>
      <c r="CF264" s="851"/>
      <c r="CG264" s="851"/>
      <c r="CH264" s="851"/>
      <c r="CI264" s="851"/>
      <c r="CJ264" s="851"/>
      <c r="CK264" s="851"/>
      <c r="CL264" s="851"/>
      <c r="CM264" s="851"/>
      <c r="CN264" s="851"/>
      <c r="CO264" s="851"/>
      <c r="CP264" s="851"/>
      <c r="CQ264" s="851"/>
      <c r="CR264" s="851"/>
      <c r="CS264" s="851"/>
      <c r="CT264" s="851"/>
      <c r="CU264" s="851"/>
      <c r="CV264" s="851"/>
      <c r="CW264" s="851"/>
      <c r="CX264" s="851"/>
    </row>
    <row r="265" spans="51:102" x14ac:dyDescent="0.2">
      <c r="AY265" s="851"/>
      <c r="AZ265" s="851"/>
      <c r="BA265" s="851"/>
      <c r="BB265" s="851"/>
      <c r="BC265" s="851"/>
      <c r="BD265" s="851"/>
      <c r="BE265" s="851"/>
      <c r="BF265" s="851"/>
      <c r="BG265" s="851"/>
      <c r="BH265" s="851"/>
      <c r="BI265" s="851"/>
      <c r="BJ265" s="851"/>
      <c r="BK265" s="851"/>
      <c r="BL265" s="851"/>
      <c r="BM265" s="851"/>
      <c r="BN265" s="851"/>
      <c r="BO265" s="851"/>
      <c r="BP265" s="851"/>
      <c r="BQ265" s="851"/>
      <c r="BR265" s="851"/>
      <c r="BS265" s="851"/>
      <c r="BT265" s="851"/>
      <c r="BU265" s="851"/>
      <c r="BV265" s="851"/>
      <c r="BW265" s="851"/>
      <c r="BX265" s="851"/>
      <c r="BY265" s="851"/>
      <c r="BZ265" s="851"/>
      <c r="CA265" s="851"/>
      <c r="CB265" s="851"/>
      <c r="CC265" s="851"/>
      <c r="CD265" s="851"/>
      <c r="CE265" s="851"/>
      <c r="CF265" s="851"/>
      <c r="CG265" s="851"/>
      <c r="CH265" s="851"/>
      <c r="CI265" s="851"/>
      <c r="CJ265" s="851"/>
      <c r="CK265" s="851"/>
      <c r="CL265" s="851"/>
      <c r="CM265" s="851"/>
      <c r="CN265" s="851"/>
      <c r="CO265" s="851"/>
      <c r="CP265" s="851"/>
      <c r="CQ265" s="851"/>
      <c r="CR265" s="851"/>
      <c r="CS265" s="851"/>
      <c r="CT265" s="851"/>
      <c r="CU265" s="851"/>
      <c r="CV265" s="851"/>
      <c r="CW265" s="851"/>
      <c r="CX265" s="851"/>
    </row>
    <row r="266" spans="51:102" x14ac:dyDescent="0.2">
      <c r="AY266" s="851"/>
      <c r="AZ266" s="851"/>
      <c r="BA266" s="851"/>
      <c r="BB266" s="851"/>
      <c r="BC266" s="851"/>
      <c r="BD266" s="851"/>
      <c r="BE266" s="851"/>
      <c r="BF266" s="851"/>
      <c r="BG266" s="851"/>
      <c r="BH266" s="851"/>
      <c r="BI266" s="851"/>
      <c r="BJ266" s="851"/>
      <c r="BK266" s="851"/>
      <c r="BL266" s="851"/>
      <c r="BM266" s="851"/>
      <c r="BN266" s="851"/>
      <c r="BO266" s="851"/>
      <c r="BP266" s="851"/>
      <c r="BQ266" s="851"/>
      <c r="BR266" s="851"/>
      <c r="BS266" s="851"/>
      <c r="BT266" s="851"/>
      <c r="BU266" s="851"/>
      <c r="BV266" s="851"/>
      <c r="BW266" s="851"/>
      <c r="BX266" s="851"/>
      <c r="BY266" s="851"/>
      <c r="BZ266" s="851"/>
      <c r="CA266" s="851"/>
      <c r="CB266" s="851"/>
      <c r="CC266" s="851"/>
      <c r="CD266" s="851"/>
      <c r="CE266" s="851"/>
      <c r="CF266" s="851"/>
      <c r="CG266" s="851"/>
      <c r="CH266" s="851"/>
      <c r="CI266" s="851"/>
      <c r="CJ266" s="851"/>
      <c r="CK266" s="851"/>
      <c r="CL266" s="851"/>
      <c r="CM266" s="851"/>
      <c r="CN266" s="851"/>
      <c r="CO266" s="851"/>
      <c r="CP266" s="851"/>
      <c r="CQ266" s="851"/>
      <c r="CR266" s="851"/>
      <c r="CS266" s="851"/>
      <c r="CT266" s="851"/>
      <c r="CU266" s="851"/>
      <c r="CV266" s="851"/>
      <c r="CW266" s="851"/>
      <c r="CX266" s="851"/>
    </row>
    <row r="267" spans="51:102" x14ac:dyDescent="0.2">
      <c r="AY267" s="851"/>
      <c r="AZ267" s="851"/>
      <c r="BA267" s="851"/>
      <c r="BB267" s="851"/>
      <c r="BC267" s="851"/>
      <c r="BD267" s="851"/>
      <c r="BE267" s="851"/>
      <c r="BF267" s="851"/>
      <c r="BG267" s="851"/>
      <c r="BH267" s="851"/>
      <c r="BI267" s="851"/>
      <c r="BJ267" s="851"/>
      <c r="BK267" s="851"/>
      <c r="BL267" s="851"/>
      <c r="BM267" s="851"/>
      <c r="BN267" s="851"/>
      <c r="BO267" s="851"/>
      <c r="BP267" s="851"/>
      <c r="BQ267" s="851"/>
      <c r="BR267" s="851"/>
      <c r="BS267" s="851"/>
      <c r="BT267" s="851"/>
      <c r="BU267" s="851"/>
      <c r="BV267" s="851"/>
      <c r="BW267" s="851"/>
      <c r="BX267" s="851"/>
      <c r="BY267" s="851"/>
      <c r="BZ267" s="851"/>
      <c r="CA267" s="851"/>
      <c r="CB267" s="851"/>
      <c r="CC267" s="851"/>
      <c r="CD267" s="851"/>
      <c r="CE267" s="851"/>
      <c r="CF267" s="851"/>
      <c r="CG267" s="851"/>
      <c r="CH267" s="851"/>
      <c r="CI267" s="851"/>
      <c r="CJ267" s="851"/>
      <c r="CK267" s="851"/>
      <c r="CL267" s="851"/>
      <c r="CM267" s="851"/>
      <c r="CN267" s="851"/>
      <c r="CO267" s="851"/>
      <c r="CP267" s="851"/>
      <c r="CQ267" s="851"/>
      <c r="CR267" s="851"/>
      <c r="CS267" s="851"/>
      <c r="CT267" s="851"/>
      <c r="CU267" s="851"/>
      <c r="CV267" s="851"/>
      <c r="CW267" s="851"/>
      <c r="CX267" s="851"/>
    </row>
    <row r="268" spans="51:102" x14ac:dyDescent="0.2">
      <c r="AY268" s="851"/>
      <c r="AZ268" s="851"/>
      <c r="BA268" s="851"/>
      <c r="BB268" s="851"/>
      <c r="BC268" s="851"/>
      <c r="BD268" s="851"/>
      <c r="BE268" s="851"/>
      <c r="BF268" s="851"/>
      <c r="BG268" s="851"/>
      <c r="BH268" s="851"/>
      <c r="BI268" s="851"/>
      <c r="BJ268" s="851"/>
      <c r="BK268" s="851"/>
      <c r="BL268" s="851"/>
      <c r="BM268" s="851"/>
      <c r="BN268" s="851"/>
      <c r="BO268" s="851"/>
      <c r="BP268" s="851"/>
      <c r="BQ268" s="851"/>
      <c r="BR268" s="851"/>
      <c r="BS268" s="851"/>
      <c r="BT268" s="851"/>
      <c r="BU268" s="851"/>
      <c r="BV268" s="851"/>
      <c r="BW268" s="851"/>
      <c r="BX268" s="851"/>
      <c r="BY268" s="851"/>
      <c r="BZ268" s="851"/>
      <c r="CA268" s="851"/>
      <c r="CB268" s="851"/>
      <c r="CC268" s="851"/>
      <c r="CD268" s="851"/>
      <c r="CE268" s="851"/>
      <c r="CF268" s="851"/>
      <c r="CG268" s="851"/>
      <c r="CH268" s="851"/>
      <c r="CI268" s="851"/>
      <c r="CJ268" s="851"/>
      <c r="CK268" s="851"/>
      <c r="CL268" s="851"/>
      <c r="CM268" s="851"/>
      <c r="CN268" s="851"/>
      <c r="CO268" s="851"/>
      <c r="CP268" s="851"/>
      <c r="CQ268" s="851"/>
      <c r="CR268" s="851"/>
      <c r="CS268" s="851"/>
      <c r="CT268" s="851"/>
      <c r="CU268" s="851"/>
      <c r="CV268" s="851"/>
      <c r="CW268" s="851"/>
      <c r="CX268" s="851"/>
    </row>
    <row r="269" spans="51:102" x14ac:dyDescent="0.2">
      <c r="AY269" s="851"/>
      <c r="AZ269" s="851"/>
      <c r="BA269" s="851"/>
      <c r="BB269" s="851"/>
      <c r="BC269" s="851"/>
      <c r="BD269" s="851"/>
      <c r="BE269" s="851"/>
      <c r="BF269" s="851"/>
      <c r="BG269" s="851"/>
      <c r="BH269" s="851"/>
      <c r="BI269" s="851"/>
      <c r="BJ269" s="851"/>
      <c r="BK269" s="851"/>
      <c r="BL269" s="851"/>
      <c r="BM269" s="851"/>
      <c r="BN269" s="851"/>
      <c r="BO269" s="851"/>
      <c r="BP269" s="851"/>
      <c r="BQ269" s="851"/>
      <c r="BR269" s="851"/>
      <c r="BS269" s="851"/>
      <c r="BT269" s="851"/>
      <c r="BU269" s="851"/>
      <c r="BV269" s="851"/>
      <c r="BW269" s="851"/>
      <c r="BX269" s="851"/>
      <c r="BY269" s="851"/>
      <c r="BZ269" s="851"/>
      <c r="CA269" s="851"/>
      <c r="CB269" s="851"/>
      <c r="CC269" s="851"/>
      <c r="CD269" s="851"/>
      <c r="CE269" s="851"/>
      <c r="CF269" s="851"/>
      <c r="CG269" s="851"/>
      <c r="CH269" s="851"/>
      <c r="CI269" s="851"/>
      <c r="CJ269" s="851"/>
      <c r="CK269" s="851"/>
      <c r="CL269" s="851"/>
      <c r="CM269" s="851"/>
      <c r="CN269" s="851"/>
      <c r="CO269" s="851"/>
      <c r="CP269" s="851"/>
      <c r="CQ269" s="851"/>
      <c r="CR269" s="851"/>
      <c r="CS269" s="851"/>
      <c r="CT269" s="851"/>
      <c r="CU269" s="851"/>
      <c r="CV269" s="851"/>
      <c r="CW269" s="851"/>
      <c r="CX269" s="851"/>
    </row>
    <row r="270" spans="51:102" x14ac:dyDescent="0.2">
      <c r="AY270" s="851"/>
      <c r="AZ270" s="851"/>
      <c r="BA270" s="851"/>
      <c r="BB270" s="851"/>
      <c r="BC270" s="851"/>
      <c r="BD270" s="851"/>
      <c r="BE270" s="851"/>
      <c r="BF270" s="851"/>
      <c r="BG270" s="851"/>
      <c r="BH270" s="851"/>
      <c r="BI270" s="851"/>
      <c r="BJ270" s="851"/>
      <c r="BK270" s="851"/>
      <c r="BL270" s="851"/>
      <c r="BM270" s="851"/>
      <c r="BN270" s="851"/>
      <c r="BO270" s="851"/>
      <c r="BP270" s="851"/>
      <c r="BQ270" s="851"/>
      <c r="BR270" s="851"/>
      <c r="BS270" s="851"/>
      <c r="BT270" s="851"/>
      <c r="BU270" s="851"/>
      <c r="BV270" s="851"/>
      <c r="BW270" s="851"/>
      <c r="BX270" s="851"/>
      <c r="BY270" s="851"/>
      <c r="BZ270" s="851"/>
      <c r="CA270" s="851"/>
      <c r="CB270" s="851"/>
      <c r="CC270" s="851"/>
      <c r="CD270" s="851"/>
      <c r="CE270" s="851"/>
      <c r="CF270" s="851"/>
      <c r="CG270" s="851"/>
      <c r="CH270" s="851"/>
      <c r="CI270" s="851"/>
      <c r="CJ270" s="851"/>
      <c r="CK270" s="851"/>
      <c r="CL270" s="851"/>
      <c r="CM270" s="851"/>
      <c r="CN270" s="851"/>
      <c r="CO270" s="851"/>
      <c r="CP270" s="851"/>
      <c r="CQ270" s="851"/>
      <c r="CR270" s="851"/>
      <c r="CS270" s="851"/>
      <c r="CT270" s="851"/>
      <c r="CU270" s="851"/>
      <c r="CV270" s="851"/>
      <c r="CW270" s="851"/>
      <c r="CX270" s="851"/>
    </row>
    <row r="271" spans="51:102" x14ac:dyDescent="0.2">
      <c r="AY271" s="851"/>
      <c r="AZ271" s="851"/>
      <c r="BA271" s="851"/>
      <c r="BB271" s="851"/>
      <c r="BC271" s="851"/>
      <c r="BD271" s="851"/>
      <c r="BE271" s="851"/>
      <c r="BF271" s="851"/>
      <c r="BG271" s="851"/>
      <c r="BH271" s="851"/>
      <c r="BI271" s="851"/>
      <c r="BJ271" s="851"/>
      <c r="BK271" s="851"/>
      <c r="BL271" s="851"/>
      <c r="BM271" s="851"/>
      <c r="BN271" s="851"/>
      <c r="BO271" s="851"/>
      <c r="BP271" s="851"/>
      <c r="BQ271" s="851"/>
      <c r="BR271" s="851"/>
      <c r="BS271" s="851"/>
      <c r="BT271" s="851"/>
      <c r="BU271" s="851"/>
      <c r="BV271" s="851"/>
      <c r="BW271" s="851"/>
      <c r="BX271" s="851"/>
      <c r="BY271" s="851"/>
      <c r="BZ271" s="851"/>
      <c r="CA271" s="851"/>
      <c r="CB271" s="851"/>
      <c r="CC271" s="851"/>
      <c r="CD271" s="851"/>
      <c r="CE271" s="851"/>
      <c r="CF271" s="851"/>
      <c r="CG271" s="851"/>
      <c r="CH271" s="851"/>
      <c r="CI271" s="851"/>
      <c r="CJ271" s="851"/>
      <c r="CK271" s="851"/>
      <c r="CL271" s="851"/>
      <c r="CM271" s="851"/>
      <c r="CN271" s="851"/>
      <c r="CO271" s="851"/>
      <c r="CP271" s="851"/>
      <c r="CQ271" s="851"/>
      <c r="CR271" s="851"/>
      <c r="CS271" s="851"/>
      <c r="CT271" s="851"/>
      <c r="CU271" s="851"/>
      <c r="CV271" s="851"/>
      <c r="CW271" s="851"/>
      <c r="CX271" s="851"/>
    </row>
    <row r="272" spans="51:102" x14ac:dyDescent="0.2">
      <c r="AY272" s="851"/>
      <c r="AZ272" s="851"/>
      <c r="BA272" s="851"/>
      <c r="BB272" s="851"/>
      <c r="BC272" s="851"/>
      <c r="BD272" s="851"/>
      <c r="BE272" s="851"/>
      <c r="BF272" s="851"/>
      <c r="BG272" s="851"/>
      <c r="BH272" s="851"/>
      <c r="BI272" s="851"/>
      <c r="BJ272" s="851"/>
      <c r="BK272" s="851"/>
      <c r="BL272" s="851"/>
      <c r="BM272" s="851"/>
      <c r="BN272" s="851"/>
      <c r="BO272" s="851"/>
      <c r="BP272" s="851"/>
      <c r="BQ272" s="851"/>
      <c r="BR272" s="851"/>
      <c r="BS272" s="851"/>
      <c r="BT272" s="851"/>
      <c r="BU272" s="851"/>
      <c r="BV272" s="851"/>
      <c r="BW272" s="851"/>
      <c r="BX272" s="851"/>
      <c r="BY272" s="851"/>
      <c r="BZ272" s="851"/>
      <c r="CA272" s="851"/>
      <c r="CB272" s="851"/>
      <c r="CC272" s="851"/>
      <c r="CD272" s="851"/>
      <c r="CE272" s="851"/>
      <c r="CF272" s="851"/>
      <c r="CG272" s="851"/>
      <c r="CH272" s="851"/>
      <c r="CI272" s="851"/>
      <c r="CJ272" s="851"/>
      <c r="CK272" s="851"/>
      <c r="CL272" s="851"/>
      <c r="CM272" s="851"/>
      <c r="CN272" s="851"/>
      <c r="CO272" s="851"/>
      <c r="CP272" s="851"/>
      <c r="CQ272" s="851"/>
      <c r="CR272" s="851"/>
      <c r="CS272" s="851"/>
      <c r="CT272" s="851"/>
      <c r="CU272" s="851"/>
      <c r="CV272" s="851"/>
      <c r="CW272" s="851"/>
      <c r="CX272" s="851"/>
    </row>
    <row r="273" spans="51:102" x14ac:dyDescent="0.2">
      <c r="AY273" s="851"/>
      <c r="AZ273" s="851"/>
      <c r="BA273" s="851"/>
      <c r="BB273" s="851"/>
      <c r="BC273" s="851"/>
      <c r="BD273" s="851"/>
      <c r="BE273" s="851"/>
      <c r="BF273" s="851"/>
      <c r="BG273" s="851"/>
      <c r="BH273" s="851"/>
      <c r="BI273" s="851"/>
      <c r="BJ273" s="851"/>
      <c r="BK273" s="851"/>
      <c r="BL273" s="851"/>
      <c r="BM273" s="851"/>
      <c r="BN273" s="851"/>
      <c r="BO273" s="851"/>
      <c r="BP273" s="851"/>
      <c r="BQ273" s="851"/>
      <c r="BR273" s="851"/>
      <c r="BS273" s="851"/>
      <c r="BT273" s="851"/>
      <c r="BU273" s="851"/>
      <c r="BV273" s="851"/>
      <c r="BW273" s="851"/>
      <c r="BX273" s="851"/>
      <c r="BY273" s="851"/>
      <c r="BZ273" s="851"/>
      <c r="CA273" s="851"/>
      <c r="CB273" s="851"/>
      <c r="CC273" s="851"/>
      <c r="CD273" s="851"/>
      <c r="CE273" s="851"/>
      <c r="CF273" s="851"/>
      <c r="CG273" s="851"/>
      <c r="CH273" s="851"/>
      <c r="CI273" s="851"/>
      <c r="CJ273" s="851"/>
      <c r="CK273" s="851"/>
      <c r="CL273" s="851"/>
      <c r="CM273" s="851"/>
      <c r="CN273" s="851"/>
      <c r="CO273" s="851"/>
      <c r="CP273" s="851"/>
      <c r="CQ273" s="851"/>
      <c r="CR273" s="851"/>
      <c r="CS273" s="851"/>
      <c r="CT273" s="851"/>
      <c r="CU273" s="851"/>
      <c r="CV273" s="851"/>
      <c r="CW273" s="851"/>
      <c r="CX273" s="851"/>
    </row>
    <row r="274" spans="51:102" x14ac:dyDescent="0.2">
      <c r="AY274" s="851"/>
      <c r="AZ274" s="851"/>
      <c r="BA274" s="851"/>
      <c r="BB274" s="851"/>
      <c r="BC274" s="851"/>
      <c r="BD274" s="851"/>
      <c r="BE274" s="851"/>
      <c r="BF274" s="851"/>
      <c r="BG274" s="851"/>
      <c r="BH274" s="851"/>
      <c r="BI274" s="851"/>
      <c r="BJ274" s="851"/>
      <c r="BK274" s="851"/>
      <c r="BL274" s="851"/>
      <c r="BM274" s="851"/>
      <c r="BN274" s="851"/>
      <c r="BO274" s="851"/>
      <c r="BP274" s="851"/>
      <c r="BQ274" s="851"/>
      <c r="BR274" s="851"/>
      <c r="BS274" s="851"/>
      <c r="BT274" s="851"/>
      <c r="BU274" s="851"/>
      <c r="BV274" s="851"/>
      <c r="BW274" s="851"/>
      <c r="BX274" s="851"/>
      <c r="BY274" s="851"/>
      <c r="BZ274" s="851"/>
      <c r="CA274" s="851"/>
      <c r="CB274" s="851"/>
      <c r="CC274" s="851"/>
      <c r="CD274" s="851"/>
      <c r="CE274" s="851"/>
      <c r="CF274" s="851"/>
      <c r="CG274" s="851"/>
      <c r="CH274" s="851"/>
      <c r="CI274" s="851"/>
      <c r="CJ274" s="851"/>
      <c r="CK274" s="851"/>
      <c r="CL274" s="851"/>
      <c r="CM274" s="851"/>
      <c r="CN274" s="851"/>
      <c r="CO274" s="851"/>
      <c r="CP274" s="851"/>
      <c r="CQ274" s="851"/>
      <c r="CR274" s="851"/>
      <c r="CS274" s="851"/>
      <c r="CT274" s="851"/>
      <c r="CU274" s="851"/>
      <c r="CV274" s="851"/>
      <c r="CW274" s="851"/>
      <c r="CX274" s="851"/>
    </row>
    <row r="275" spans="51:102" x14ac:dyDescent="0.2">
      <c r="AY275" s="851"/>
      <c r="AZ275" s="851"/>
      <c r="BA275" s="851"/>
      <c r="BB275" s="851"/>
      <c r="BC275" s="851"/>
      <c r="BD275" s="851"/>
      <c r="BE275" s="851"/>
      <c r="BF275" s="851"/>
      <c r="BG275" s="851"/>
      <c r="BH275" s="851"/>
      <c r="BI275" s="851"/>
      <c r="BJ275" s="851"/>
      <c r="BK275" s="851"/>
      <c r="BL275" s="851"/>
      <c r="BM275" s="851"/>
      <c r="BN275" s="851"/>
      <c r="BO275" s="851"/>
      <c r="BP275" s="851"/>
      <c r="BQ275" s="851"/>
      <c r="BR275" s="851"/>
      <c r="BS275" s="851"/>
      <c r="BT275" s="851"/>
      <c r="BU275" s="851"/>
      <c r="BV275" s="851"/>
      <c r="BW275" s="851"/>
      <c r="BX275" s="851"/>
      <c r="BY275" s="851"/>
      <c r="BZ275" s="851"/>
      <c r="CA275" s="851"/>
      <c r="CB275" s="851"/>
      <c r="CC275" s="851"/>
      <c r="CD275" s="851"/>
      <c r="CE275" s="851"/>
      <c r="CF275" s="851"/>
      <c r="CG275" s="851"/>
      <c r="CH275" s="851"/>
      <c r="CI275" s="851"/>
      <c r="CJ275" s="851"/>
      <c r="CK275" s="851"/>
      <c r="CL275" s="851"/>
      <c r="CM275" s="851"/>
      <c r="CN275" s="851"/>
      <c r="CO275" s="851"/>
      <c r="CP275" s="851"/>
      <c r="CQ275" s="851"/>
      <c r="CR275" s="851"/>
      <c r="CS275" s="851"/>
      <c r="CT275" s="851"/>
      <c r="CU275" s="851"/>
      <c r="CV275" s="851"/>
      <c r="CW275" s="851"/>
      <c r="CX275" s="851"/>
    </row>
    <row r="276" spans="51:102" x14ac:dyDescent="0.2">
      <c r="AY276" s="851"/>
      <c r="AZ276" s="851"/>
      <c r="BA276" s="851"/>
      <c r="BB276" s="851"/>
      <c r="BC276" s="851"/>
      <c r="BD276" s="851"/>
      <c r="BE276" s="851"/>
      <c r="BF276" s="851"/>
      <c r="BG276" s="851"/>
      <c r="BH276" s="851"/>
      <c r="BI276" s="851"/>
      <c r="BJ276" s="851"/>
      <c r="BK276" s="851"/>
      <c r="BL276" s="851"/>
      <c r="BM276" s="851"/>
      <c r="BN276" s="851"/>
      <c r="BO276" s="851"/>
      <c r="BP276" s="851"/>
      <c r="BQ276" s="851"/>
      <c r="BR276" s="851"/>
      <c r="BS276" s="851"/>
      <c r="BT276" s="851"/>
      <c r="BU276" s="851"/>
      <c r="BV276" s="851"/>
      <c r="BW276" s="851"/>
      <c r="BX276" s="851"/>
      <c r="BY276" s="851"/>
      <c r="BZ276" s="851"/>
      <c r="CA276" s="851"/>
      <c r="CB276" s="851"/>
      <c r="CC276" s="851"/>
      <c r="CD276" s="851"/>
      <c r="CE276" s="851"/>
      <c r="CF276" s="851"/>
      <c r="CG276" s="851"/>
      <c r="CH276" s="851"/>
      <c r="CI276" s="851"/>
      <c r="CJ276" s="851"/>
      <c r="CK276" s="851"/>
      <c r="CL276" s="851"/>
      <c r="CM276" s="851"/>
      <c r="CN276" s="851"/>
      <c r="CO276" s="851"/>
      <c r="CP276" s="851"/>
      <c r="CQ276" s="851"/>
      <c r="CR276" s="851"/>
      <c r="CS276" s="851"/>
      <c r="CT276" s="851"/>
      <c r="CU276" s="851"/>
      <c r="CV276" s="851"/>
      <c r="CW276" s="851"/>
      <c r="CX276" s="851"/>
    </row>
    <row r="277" spans="51:102" x14ac:dyDescent="0.2">
      <c r="AY277" s="851"/>
      <c r="AZ277" s="851"/>
      <c r="BA277" s="851"/>
      <c r="BB277" s="851"/>
      <c r="BC277" s="851"/>
      <c r="BD277" s="851"/>
      <c r="BE277" s="851"/>
      <c r="BF277" s="851"/>
      <c r="BG277" s="851"/>
      <c r="BH277" s="851"/>
      <c r="BI277" s="851"/>
      <c r="BJ277" s="851"/>
      <c r="BK277" s="851"/>
      <c r="BL277" s="851"/>
      <c r="BM277" s="851"/>
      <c r="BN277" s="851"/>
      <c r="BO277" s="851"/>
      <c r="BP277" s="851"/>
      <c r="BQ277" s="851"/>
      <c r="BR277" s="851"/>
      <c r="BS277" s="851"/>
      <c r="BT277" s="851"/>
      <c r="BU277" s="851"/>
      <c r="BV277" s="851"/>
      <c r="BW277" s="851"/>
      <c r="BX277" s="851"/>
      <c r="BY277" s="851"/>
      <c r="BZ277" s="851"/>
      <c r="CA277" s="851"/>
      <c r="CB277" s="851"/>
      <c r="CC277" s="851"/>
      <c r="CD277" s="851"/>
      <c r="CE277" s="851"/>
      <c r="CF277" s="851"/>
      <c r="CG277" s="851"/>
      <c r="CH277" s="851"/>
      <c r="CI277" s="851"/>
      <c r="CJ277" s="851"/>
      <c r="CK277" s="851"/>
      <c r="CL277" s="851"/>
      <c r="CM277" s="851"/>
      <c r="CN277" s="851"/>
      <c r="CO277" s="851"/>
      <c r="CP277" s="851"/>
      <c r="CQ277" s="851"/>
      <c r="CR277" s="851"/>
      <c r="CS277" s="851"/>
      <c r="CT277" s="851"/>
      <c r="CU277" s="851"/>
      <c r="CV277" s="851"/>
      <c r="CW277" s="851"/>
      <c r="CX277" s="851"/>
    </row>
    <row r="278" spans="51:102" x14ac:dyDescent="0.2">
      <c r="AY278" s="851"/>
      <c r="AZ278" s="851"/>
      <c r="BA278" s="851"/>
      <c r="BB278" s="851"/>
      <c r="BC278" s="851"/>
      <c r="BD278" s="851"/>
      <c r="BE278" s="851"/>
      <c r="BF278" s="851"/>
      <c r="BG278" s="851"/>
      <c r="BH278" s="851"/>
      <c r="BI278" s="851"/>
      <c r="BJ278" s="851"/>
      <c r="BK278" s="851"/>
      <c r="BL278" s="851"/>
      <c r="BM278" s="851"/>
      <c r="BN278" s="851"/>
      <c r="BO278" s="851"/>
      <c r="BP278" s="851"/>
      <c r="BQ278" s="851"/>
      <c r="BR278" s="851"/>
      <c r="BS278" s="851"/>
      <c r="BT278" s="851"/>
      <c r="BU278" s="851"/>
      <c r="BV278" s="851"/>
      <c r="BW278" s="851"/>
      <c r="BX278" s="851"/>
      <c r="BY278" s="851"/>
      <c r="BZ278" s="851"/>
      <c r="CA278" s="851"/>
      <c r="CB278" s="851"/>
      <c r="CC278" s="851"/>
      <c r="CD278" s="851"/>
      <c r="CE278" s="851"/>
      <c r="CF278" s="851"/>
      <c r="CG278" s="851"/>
      <c r="CH278" s="851"/>
      <c r="CI278" s="851"/>
      <c r="CJ278" s="851"/>
      <c r="CK278" s="851"/>
      <c r="CL278" s="851"/>
      <c r="CM278" s="851"/>
      <c r="CN278" s="851"/>
      <c r="CO278" s="851"/>
      <c r="CP278" s="851"/>
      <c r="CQ278" s="851"/>
      <c r="CR278" s="851"/>
      <c r="CS278" s="851"/>
      <c r="CT278" s="851"/>
      <c r="CU278" s="851"/>
      <c r="CV278" s="851"/>
      <c r="CW278" s="851"/>
      <c r="CX278" s="851"/>
    </row>
    <row r="279" spans="51:102" x14ac:dyDescent="0.2">
      <c r="AY279" s="851"/>
      <c r="AZ279" s="851"/>
      <c r="BA279" s="851"/>
      <c r="BB279" s="851"/>
      <c r="BC279" s="851"/>
      <c r="BD279" s="851"/>
      <c r="BE279" s="851"/>
      <c r="BF279" s="851"/>
      <c r="BG279" s="851"/>
      <c r="BH279" s="851"/>
      <c r="BI279" s="851"/>
      <c r="BJ279" s="851"/>
      <c r="BK279" s="851"/>
      <c r="BL279" s="851"/>
      <c r="BM279" s="851"/>
      <c r="BN279" s="851"/>
      <c r="BO279" s="851"/>
      <c r="BP279" s="851"/>
      <c r="BQ279" s="851"/>
      <c r="BR279" s="851"/>
      <c r="BS279" s="851"/>
      <c r="BT279" s="851"/>
      <c r="BU279" s="851"/>
      <c r="BV279" s="851"/>
      <c r="BW279" s="851"/>
      <c r="BX279" s="851"/>
      <c r="BY279" s="851"/>
      <c r="BZ279" s="851"/>
      <c r="CA279" s="851"/>
      <c r="CB279" s="851"/>
      <c r="CC279" s="851"/>
      <c r="CD279" s="851"/>
      <c r="CE279" s="851"/>
      <c r="CF279" s="851"/>
      <c r="CG279" s="851"/>
      <c r="CH279" s="851"/>
      <c r="CI279" s="851"/>
      <c r="CJ279" s="851"/>
      <c r="CK279" s="851"/>
      <c r="CL279" s="851"/>
      <c r="CM279" s="851"/>
      <c r="CN279" s="851"/>
      <c r="CO279" s="851"/>
      <c r="CP279" s="851"/>
      <c r="CQ279" s="851"/>
      <c r="CR279" s="851"/>
      <c r="CS279" s="851"/>
      <c r="CT279" s="851"/>
      <c r="CU279" s="851"/>
      <c r="CV279" s="851"/>
      <c r="CW279" s="851"/>
      <c r="CX279" s="851"/>
    </row>
    <row r="280" spans="51:102" x14ac:dyDescent="0.2">
      <c r="AY280" s="851"/>
      <c r="AZ280" s="851"/>
      <c r="BA280" s="851"/>
      <c r="BB280" s="851"/>
      <c r="BC280" s="851"/>
      <c r="BD280" s="851"/>
      <c r="BE280" s="851"/>
      <c r="BF280" s="851"/>
      <c r="BG280" s="851"/>
      <c r="BH280" s="851"/>
      <c r="BI280" s="851"/>
      <c r="BJ280" s="851"/>
      <c r="BK280" s="851"/>
      <c r="BL280" s="851"/>
      <c r="BM280" s="851"/>
      <c r="BN280" s="851"/>
      <c r="BO280" s="851"/>
      <c r="BP280" s="851"/>
      <c r="BQ280" s="851"/>
      <c r="BR280" s="851"/>
      <c r="BS280" s="851"/>
      <c r="BT280" s="851"/>
      <c r="BU280" s="851"/>
      <c r="BV280" s="851"/>
      <c r="BW280" s="851"/>
      <c r="BX280" s="851"/>
      <c r="BY280" s="851"/>
      <c r="BZ280" s="851"/>
      <c r="CA280" s="851"/>
      <c r="CB280" s="851"/>
      <c r="CC280" s="851"/>
      <c r="CD280" s="851"/>
      <c r="CE280" s="851"/>
      <c r="CF280" s="851"/>
      <c r="CG280" s="851"/>
      <c r="CH280" s="851"/>
      <c r="CI280" s="851"/>
      <c r="CJ280" s="851"/>
      <c r="CK280" s="851"/>
      <c r="CL280" s="851"/>
      <c r="CM280" s="851"/>
      <c r="CN280" s="851"/>
      <c r="CO280" s="851"/>
      <c r="CP280" s="851"/>
      <c r="CQ280" s="851"/>
      <c r="CR280" s="851"/>
      <c r="CS280" s="851"/>
      <c r="CT280" s="851"/>
      <c r="CU280" s="851"/>
      <c r="CV280" s="851"/>
      <c r="CW280" s="851"/>
      <c r="CX280" s="851"/>
    </row>
    <row r="281" spans="51:102" x14ac:dyDescent="0.2">
      <c r="AY281" s="851"/>
      <c r="AZ281" s="851"/>
      <c r="BA281" s="851"/>
      <c r="BB281" s="851"/>
      <c r="BC281" s="851"/>
      <c r="BD281" s="851"/>
      <c r="BE281" s="851"/>
      <c r="BF281" s="851"/>
      <c r="BG281" s="851"/>
      <c r="BH281" s="851"/>
      <c r="BI281" s="851"/>
      <c r="BJ281" s="851"/>
      <c r="BK281" s="851"/>
      <c r="BL281" s="851"/>
      <c r="BM281" s="851"/>
      <c r="BN281" s="851"/>
      <c r="BO281" s="851"/>
      <c r="BP281" s="851"/>
      <c r="BQ281" s="851"/>
      <c r="BR281" s="851"/>
      <c r="BS281" s="851"/>
      <c r="BT281" s="851"/>
      <c r="BU281" s="851"/>
      <c r="BV281" s="851"/>
      <c r="BW281" s="851"/>
      <c r="BX281" s="851"/>
      <c r="BY281" s="851"/>
      <c r="BZ281" s="851"/>
      <c r="CA281" s="851"/>
      <c r="CB281" s="851"/>
      <c r="CC281" s="851"/>
      <c r="CD281" s="851"/>
      <c r="CE281" s="851"/>
      <c r="CF281" s="851"/>
      <c r="CG281" s="851"/>
      <c r="CH281" s="851"/>
      <c r="CI281" s="851"/>
      <c r="CJ281" s="851"/>
      <c r="CK281" s="851"/>
      <c r="CL281" s="851"/>
      <c r="CM281" s="851"/>
      <c r="CN281" s="851"/>
      <c r="CO281" s="851"/>
      <c r="CP281" s="851"/>
      <c r="CQ281" s="851"/>
      <c r="CR281" s="851"/>
      <c r="CS281" s="851"/>
      <c r="CT281" s="851"/>
      <c r="CU281" s="851"/>
      <c r="CV281" s="851"/>
      <c r="CW281" s="851"/>
      <c r="CX281" s="851"/>
    </row>
    <row r="282" spans="51:102" x14ac:dyDescent="0.2">
      <c r="AY282" s="851"/>
      <c r="AZ282" s="851"/>
      <c r="BA282" s="851"/>
      <c r="BB282" s="851"/>
      <c r="BC282" s="851"/>
      <c r="BD282" s="851"/>
      <c r="BE282" s="851"/>
      <c r="BF282" s="851"/>
      <c r="BG282" s="851"/>
      <c r="BH282" s="851"/>
      <c r="BI282" s="851"/>
      <c r="BJ282" s="851"/>
      <c r="BK282" s="851"/>
      <c r="BL282" s="851"/>
      <c r="BM282" s="851"/>
      <c r="BN282" s="851"/>
      <c r="BO282" s="851"/>
      <c r="BP282" s="851"/>
      <c r="BQ282" s="851"/>
      <c r="BR282" s="851"/>
      <c r="BS282" s="851"/>
      <c r="BT282" s="851"/>
      <c r="BU282" s="851"/>
      <c r="BV282" s="851"/>
      <c r="BW282" s="851"/>
      <c r="BX282" s="851"/>
      <c r="BY282" s="851"/>
      <c r="BZ282" s="851"/>
      <c r="CA282" s="851"/>
      <c r="CB282" s="851"/>
      <c r="CC282" s="851"/>
      <c r="CD282" s="851"/>
      <c r="CE282" s="851"/>
      <c r="CF282" s="851"/>
      <c r="CG282" s="851"/>
      <c r="CH282" s="851"/>
      <c r="CI282" s="851"/>
      <c r="CJ282" s="851"/>
      <c r="CK282" s="851"/>
      <c r="CL282" s="851"/>
      <c r="CM282" s="851"/>
      <c r="CN282" s="851"/>
      <c r="CO282" s="851"/>
      <c r="CP282" s="851"/>
      <c r="CQ282" s="851"/>
      <c r="CR282" s="851"/>
      <c r="CS282" s="851"/>
      <c r="CT282" s="851"/>
      <c r="CU282" s="851"/>
      <c r="CV282" s="851"/>
      <c r="CW282" s="851"/>
      <c r="CX282" s="851"/>
    </row>
    <row r="283" spans="51:102" x14ac:dyDescent="0.2">
      <c r="AY283" s="851"/>
      <c r="AZ283" s="851"/>
      <c r="BA283" s="851"/>
      <c r="BB283" s="851"/>
      <c r="BC283" s="851"/>
      <c r="BD283" s="851"/>
      <c r="BE283" s="851"/>
      <c r="BF283" s="851"/>
      <c r="BG283" s="851"/>
      <c r="BH283" s="851"/>
      <c r="BI283" s="851"/>
      <c r="BJ283" s="851"/>
      <c r="BK283" s="851"/>
      <c r="BL283" s="851"/>
      <c r="BM283" s="851"/>
      <c r="BN283" s="851"/>
      <c r="BO283" s="851"/>
      <c r="BP283" s="851"/>
      <c r="BQ283" s="851"/>
      <c r="BR283" s="851"/>
      <c r="BS283" s="851"/>
      <c r="BT283" s="851"/>
      <c r="BU283" s="851"/>
      <c r="BV283" s="851"/>
      <c r="BW283" s="851"/>
      <c r="BX283" s="851"/>
      <c r="BY283" s="851"/>
      <c r="BZ283" s="851"/>
      <c r="CA283" s="851"/>
      <c r="CB283" s="851"/>
      <c r="CC283" s="851"/>
      <c r="CD283" s="851"/>
      <c r="CE283" s="851"/>
      <c r="CF283" s="851"/>
      <c r="CG283" s="851"/>
      <c r="CH283" s="851"/>
      <c r="CI283" s="851"/>
      <c r="CJ283" s="851"/>
      <c r="CK283" s="851"/>
      <c r="CL283" s="851"/>
      <c r="CM283" s="851"/>
      <c r="CN283" s="851"/>
      <c r="CO283" s="851"/>
      <c r="CP283" s="851"/>
      <c r="CQ283" s="851"/>
      <c r="CR283" s="851"/>
      <c r="CS283" s="851"/>
      <c r="CT283" s="851"/>
      <c r="CU283" s="851"/>
      <c r="CV283" s="851"/>
      <c r="CW283" s="851"/>
      <c r="CX283" s="851"/>
    </row>
    <row r="284" spans="51:102" x14ac:dyDescent="0.2">
      <c r="AY284" s="851"/>
      <c r="AZ284" s="851"/>
      <c r="BA284" s="851"/>
      <c r="BB284" s="851"/>
      <c r="BC284" s="851"/>
      <c r="BD284" s="851"/>
      <c r="BE284" s="851"/>
      <c r="BF284" s="851"/>
      <c r="BG284" s="851"/>
      <c r="BH284" s="851"/>
      <c r="BI284" s="851"/>
      <c r="BJ284" s="851"/>
      <c r="BK284" s="851"/>
      <c r="BL284" s="851"/>
      <c r="BM284" s="851"/>
      <c r="BN284" s="851"/>
      <c r="BO284" s="851"/>
      <c r="BP284" s="851"/>
      <c r="BQ284" s="851"/>
      <c r="BR284" s="851"/>
      <c r="BS284" s="851"/>
      <c r="BT284" s="851"/>
      <c r="BU284" s="851"/>
      <c r="BV284" s="851"/>
      <c r="BW284" s="851"/>
      <c r="BX284" s="851"/>
      <c r="BY284" s="851"/>
      <c r="BZ284" s="851"/>
      <c r="CA284" s="851"/>
      <c r="CB284" s="851"/>
      <c r="CC284" s="851"/>
      <c r="CD284" s="851"/>
      <c r="CE284" s="851"/>
      <c r="CF284" s="851"/>
      <c r="CG284" s="851"/>
      <c r="CH284" s="851"/>
      <c r="CI284" s="851"/>
      <c r="CJ284" s="851"/>
      <c r="CK284" s="851"/>
      <c r="CL284" s="851"/>
      <c r="CM284" s="851"/>
      <c r="CN284" s="851"/>
      <c r="CO284" s="851"/>
      <c r="CP284" s="851"/>
      <c r="CQ284" s="851"/>
      <c r="CR284" s="851"/>
      <c r="CS284" s="851"/>
      <c r="CT284" s="851"/>
      <c r="CU284" s="851"/>
      <c r="CV284" s="851"/>
      <c r="CW284" s="851"/>
      <c r="CX284" s="851"/>
    </row>
    <row r="285" spans="51:102" x14ac:dyDescent="0.2">
      <c r="AY285" s="851"/>
      <c r="AZ285" s="851"/>
      <c r="BA285" s="851"/>
      <c r="BB285" s="851"/>
      <c r="BC285" s="851"/>
      <c r="BD285" s="851"/>
      <c r="BE285" s="851"/>
      <c r="BF285" s="851"/>
      <c r="BG285" s="851"/>
      <c r="BH285" s="851"/>
      <c r="BI285" s="851"/>
      <c r="BJ285" s="851"/>
      <c r="BK285" s="851"/>
      <c r="BL285" s="851"/>
      <c r="BM285" s="851"/>
      <c r="BN285" s="851"/>
      <c r="BO285" s="851"/>
      <c r="BP285" s="851"/>
      <c r="BQ285" s="851"/>
      <c r="BR285" s="851"/>
      <c r="BS285" s="851"/>
      <c r="BT285" s="851"/>
      <c r="BU285" s="851"/>
      <c r="BV285" s="851"/>
      <c r="BW285" s="851"/>
      <c r="BX285" s="851"/>
      <c r="BY285" s="851"/>
      <c r="BZ285" s="851"/>
      <c r="CA285" s="851"/>
      <c r="CB285" s="851"/>
      <c r="CC285" s="851"/>
      <c r="CD285" s="851"/>
      <c r="CE285" s="851"/>
      <c r="CF285" s="851"/>
      <c r="CG285" s="851"/>
      <c r="CH285" s="851"/>
      <c r="CI285" s="851"/>
      <c r="CJ285" s="851"/>
      <c r="CK285" s="851"/>
      <c r="CL285" s="851"/>
      <c r="CM285" s="851"/>
      <c r="CN285" s="851"/>
      <c r="CO285" s="851"/>
      <c r="CP285" s="851"/>
      <c r="CQ285" s="851"/>
      <c r="CR285" s="851"/>
      <c r="CS285" s="851"/>
      <c r="CT285" s="851"/>
      <c r="CU285" s="851"/>
      <c r="CV285" s="851"/>
      <c r="CW285" s="851"/>
      <c r="CX285" s="851"/>
    </row>
    <row r="286" spans="51:102" x14ac:dyDescent="0.2">
      <c r="AY286" s="851"/>
      <c r="AZ286" s="851"/>
      <c r="BA286" s="851"/>
      <c r="BB286" s="851"/>
      <c r="BC286" s="851"/>
      <c r="BD286" s="851"/>
      <c r="BE286" s="851"/>
      <c r="BF286" s="851"/>
      <c r="BG286" s="851"/>
      <c r="BH286" s="851"/>
      <c r="BI286" s="851"/>
      <c r="BJ286" s="851"/>
      <c r="BK286" s="851"/>
      <c r="BL286" s="851"/>
      <c r="BM286" s="851"/>
      <c r="BN286" s="851"/>
      <c r="BO286" s="851"/>
      <c r="BP286" s="851"/>
      <c r="BQ286" s="851"/>
      <c r="BR286" s="851"/>
      <c r="BS286" s="851"/>
      <c r="BT286" s="851"/>
      <c r="BU286" s="851"/>
      <c r="BV286" s="851"/>
      <c r="BW286" s="851"/>
      <c r="BX286" s="851"/>
      <c r="BY286" s="851"/>
      <c r="BZ286" s="851"/>
      <c r="CA286" s="851"/>
      <c r="CB286" s="851"/>
      <c r="CC286" s="851"/>
      <c r="CD286" s="851"/>
      <c r="CE286" s="851"/>
      <c r="CF286" s="851"/>
      <c r="CG286" s="851"/>
      <c r="CH286" s="851"/>
      <c r="CI286" s="851"/>
      <c r="CJ286" s="851"/>
      <c r="CK286" s="851"/>
      <c r="CL286" s="851"/>
      <c r="CM286" s="851"/>
      <c r="CN286" s="851"/>
      <c r="CO286" s="851"/>
      <c r="CP286" s="851"/>
      <c r="CQ286" s="851"/>
      <c r="CR286" s="851"/>
      <c r="CS286" s="851"/>
      <c r="CT286" s="851"/>
      <c r="CU286" s="851"/>
      <c r="CV286" s="851"/>
      <c r="CW286" s="851"/>
      <c r="CX286" s="851"/>
    </row>
    <row r="287" spans="51:102" x14ac:dyDescent="0.2">
      <c r="AY287" s="851"/>
      <c r="AZ287" s="851"/>
      <c r="BA287" s="851"/>
      <c r="BB287" s="851"/>
      <c r="BC287" s="851"/>
      <c r="BD287" s="851"/>
      <c r="BE287" s="851"/>
      <c r="BF287" s="851"/>
      <c r="BG287" s="851"/>
      <c r="BH287" s="851"/>
      <c r="BI287" s="851"/>
      <c r="BJ287" s="851"/>
      <c r="BK287" s="851"/>
      <c r="BL287" s="851"/>
      <c r="BM287" s="851"/>
      <c r="BN287" s="851"/>
      <c r="BO287" s="851"/>
      <c r="BP287" s="851"/>
      <c r="BQ287" s="851"/>
      <c r="BR287" s="851"/>
      <c r="BS287" s="851"/>
      <c r="BT287" s="851"/>
      <c r="BU287" s="851"/>
      <c r="BV287" s="851"/>
      <c r="BW287" s="851"/>
      <c r="BX287" s="851"/>
      <c r="BY287" s="851"/>
      <c r="BZ287" s="851"/>
      <c r="CA287" s="851"/>
      <c r="CB287" s="851"/>
      <c r="CC287" s="851"/>
      <c r="CD287" s="851"/>
      <c r="CE287" s="851"/>
      <c r="CF287" s="851"/>
      <c r="CG287" s="851"/>
      <c r="CH287" s="851"/>
      <c r="CI287" s="851"/>
      <c r="CJ287" s="851"/>
      <c r="CK287" s="851"/>
      <c r="CL287" s="851"/>
      <c r="CM287" s="851"/>
      <c r="CN287" s="851"/>
      <c r="CO287" s="851"/>
      <c r="CP287" s="851"/>
      <c r="CQ287" s="851"/>
      <c r="CR287" s="851"/>
      <c r="CS287" s="851"/>
      <c r="CT287" s="851"/>
      <c r="CU287" s="851"/>
      <c r="CV287" s="851"/>
      <c r="CW287" s="851"/>
      <c r="CX287" s="851"/>
    </row>
    <row r="288" spans="51:102" x14ac:dyDescent="0.2">
      <c r="AY288" s="851"/>
      <c r="AZ288" s="851"/>
      <c r="BA288" s="851"/>
      <c r="BB288" s="851"/>
      <c r="BC288" s="851"/>
      <c r="BD288" s="851"/>
      <c r="BE288" s="851"/>
      <c r="BF288" s="851"/>
      <c r="BG288" s="851"/>
      <c r="BH288" s="851"/>
      <c r="BI288" s="851"/>
      <c r="BJ288" s="851"/>
      <c r="BK288" s="851"/>
      <c r="BL288" s="851"/>
      <c r="BM288" s="851"/>
      <c r="BN288" s="851"/>
      <c r="BO288" s="851"/>
      <c r="BP288" s="851"/>
      <c r="BQ288" s="851"/>
      <c r="BR288" s="851"/>
      <c r="BS288" s="851"/>
      <c r="BT288" s="851"/>
      <c r="BU288" s="851"/>
      <c r="BV288" s="851"/>
      <c r="BW288" s="851"/>
      <c r="BX288" s="851"/>
      <c r="BY288" s="851"/>
      <c r="BZ288" s="851"/>
      <c r="CA288" s="851"/>
      <c r="CB288" s="851"/>
      <c r="CC288" s="851"/>
      <c r="CD288" s="851"/>
      <c r="CE288" s="851"/>
      <c r="CF288" s="851"/>
      <c r="CG288" s="851"/>
      <c r="CH288" s="851"/>
      <c r="CI288" s="851"/>
      <c r="CJ288" s="851"/>
      <c r="CK288" s="851"/>
      <c r="CL288" s="851"/>
      <c r="CM288" s="851"/>
      <c r="CN288" s="851"/>
      <c r="CO288" s="851"/>
      <c r="CP288" s="851"/>
      <c r="CQ288" s="851"/>
      <c r="CR288" s="851"/>
      <c r="CS288" s="851"/>
      <c r="CT288" s="851"/>
      <c r="CU288" s="851"/>
      <c r="CV288" s="851"/>
      <c r="CW288" s="851"/>
      <c r="CX288" s="851"/>
    </row>
    <row r="289" spans="51:102" x14ac:dyDescent="0.2">
      <c r="AY289" s="851"/>
      <c r="AZ289" s="851"/>
      <c r="BA289" s="851"/>
      <c r="BB289" s="851"/>
      <c r="BC289" s="851"/>
      <c r="BD289" s="851"/>
      <c r="BE289" s="851"/>
      <c r="BF289" s="851"/>
      <c r="BG289" s="851"/>
      <c r="BH289" s="851"/>
      <c r="BI289" s="851"/>
      <c r="BJ289" s="851"/>
      <c r="BK289" s="851"/>
      <c r="BL289" s="851"/>
      <c r="BM289" s="851"/>
      <c r="BN289" s="851"/>
      <c r="BO289" s="851"/>
      <c r="BP289" s="851"/>
      <c r="BQ289" s="851"/>
      <c r="BR289" s="851"/>
      <c r="BS289" s="851"/>
      <c r="BT289" s="851"/>
      <c r="BU289" s="851"/>
      <c r="BV289" s="851"/>
      <c r="BW289" s="851"/>
      <c r="BX289" s="851"/>
      <c r="BY289" s="851"/>
      <c r="BZ289" s="851"/>
      <c r="CA289" s="851"/>
      <c r="CB289" s="851"/>
      <c r="CC289" s="851"/>
      <c r="CD289" s="851"/>
      <c r="CE289" s="851"/>
      <c r="CF289" s="851"/>
      <c r="CG289" s="851"/>
      <c r="CH289" s="851"/>
      <c r="CI289" s="851"/>
      <c r="CJ289" s="851"/>
      <c r="CK289" s="851"/>
      <c r="CL289" s="851"/>
      <c r="CM289" s="851"/>
      <c r="CN289" s="851"/>
      <c r="CO289" s="851"/>
      <c r="CP289" s="851"/>
      <c r="CQ289" s="851"/>
      <c r="CR289" s="851"/>
      <c r="CS289" s="851"/>
      <c r="CT289" s="851"/>
      <c r="CU289" s="851"/>
      <c r="CV289" s="851"/>
      <c r="CW289" s="851"/>
      <c r="CX289" s="851"/>
    </row>
    <row r="290" spans="51:102" x14ac:dyDescent="0.2">
      <c r="AY290" s="851"/>
      <c r="AZ290" s="851"/>
      <c r="BA290" s="851"/>
      <c r="BB290" s="851"/>
      <c r="BC290" s="851"/>
      <c r="BD290" s="851"/>
      <c r="BE290" s="851"/>
      <c r="BF290" s="851"/>
      <c r="BG290" s="851"/>
      <c r="BH290" s="851"/>
      <c r="BI290" s="851"/>
      <c r="BJ290" s="851"/>
      <c r="BK290" s="851"/>
      <c r="BL290" s="851"/>
      <c r="BM290" s="851"/>
      <c r="BN290" s="851"/>
      <c r="BO290" s="851"/>
      <c r="BP290" s="851"/>
      <c r="BQ290" s="851"/>
      <c r="BR290" s="851"/>
      <c r="BS290" s="851"/>
      <c r="BT290" s="851"/>
      <c r="BU290" s="851"/>
      <c r="BV290" s="851"/>
      <c r="BW290" s="851"/>
      <c r="BX290" s="851"/>
      <c r="BY290" s="851"/>
      <c r="BZ290" s="851"/>
      <c r="CA290" s="851"/>
      <c r="CB290" s="851"/>
      <c r="CC290" s="851"/>
      <c r="CD290" s="851"/>
      <c r="CE290" s="851"/>
      <c r="CF290" s="851"/>
      <c r="CG290" s="851"/>
      <c r="CH290" s="851"/>
      <c r="CI290" s="851"/>
      <c r="CJ290" s="851"/>
      <c r="CK290" s="851"/>
      <c r="CL290" s="851"/>
      <c r="CM290" s="851"/>
      <c r="CN290" s="851"/>
      <c r="CO290" s="851"/>
      <c r="CP290" s="851"/>
      <c r="CQ290" s="851"/>
      <c r="CR290" s="851"/>
      <c r="CS290" s="851"/>
      <c r="CT290" s="851"/>
      <c r="CU290" s="851"/>
      <c r="CV290" s="851"/>
      <c r="CW290" s="851"/>
      <c r="CX290" s="851"/>
    </row>
    <row r="291" spans="51:102" x14ac:dyDescent="0.2">
      <c r="AY291" s="851"/>
      <c r="AZ291" s="851"/>
      <c r="BA291" s="851"/>
      <c r="BB291" s="851"/>
      <c r="BC291" s="851"/>
      <c r="BD291" s="851"/>
      <c r="BE291" s="851"/>
      <c r="BF291" s="851"/>
      <c r="BG291" s="851"/>
      <c r="BH291" s="851"/>
      <c r="BI291" s="851"/>
      <c r="BJ291" s="851"/>
      <c r="BK291" s="851"/>
      <c r="BL291" s="851"/>
      <c r="BM291" s="851"/>
      <c r="BN291" s="851"/>
      <c r="BO291" s="851"/>
      <c r="BP291" s="851"/>
      <c r="BQ291" s="851"/>
      <c r="BR291" s="851"/>
      <c r="BS291" s="851"/>
      <c r="BT291" s="851"/>
      <c r="BU291" s="851"/>
      <c r="BV291" s="851"/>
      <c r="BW291" s="851"/>
      <c r="BX291" s="851"/>
      <c r="BY291" s="851"/>
      <c r="BZ291" s="851"/>
      <c r="CA291" s="851"/>
      <c r="CB291" s="851"/>
      <c r="CC291" s="851"/>
      <c r="CD291" s="851"/>
      <c r="CE291" s="851"/>
      <c r="CF291" s="851"/>
      <c r="CG291" s="851"/>
      <c r="CH291" s="851"/>
      <c r="CI291" s="851"/>
      <c r="CJ291" s="851"/>
      <c r="CK291" s="851"/>
      <c r="CL291" s="851"/>
      <c r="CM291" s="851"/>
      <c r="CN291" s="851"/>
      <c r="CO291" s="851"/>
      <c r="CP291" s="851"/>
      <c r="CQ291" s="851"/>
      <c r="CR291" s="851"/>
      <c r="CS291" s="851"/>
      <c r="CT291" s="851"/>
      <c r="CU291" s="851"/>
      <c r="CV291" s="851"/>
      <c r="CW291" s="851"/>
      <c r="CX291" s="851"/>
    </row>
    <row r="292" spans="51:102" x14ac:dyDescent="0.2">
      <c r="AY292" s="851"/>
      <c r="AZ292" s="851"/>
      <c r="BA292" s="851"/>
      <c r="BB292" s="851"/>
      <c r="BC292" s="851"/>
      <c r="BD292" s="851"/>
      <c r="BE292" s="851"/>
      <c r="BF292" s="851"/>
      <c r="BG292" s="851"/>
      <c r="BH292" s="851"/>
      <c r="BI292" s="851"/>
      <c r="BJ292" s="851"/>
      <c r="BK292" s="851"/>
      <c r="BL292" s="851"/>
      <c r="BM292" s="851"/>
      <c r="BN292" s="851"/>
      <c r="BO292" s="851"/>
      <c r="BP292" s="851"/>
      <c r="BQ292" s="851"/>
      <c r="BR292" s="851"/>
      <c r="BS292" s="851"/>
      <c r="BT292" s="851"/>
      <c r="BU292" s="851"/>
      <c r="BV292" s="851"/>
      <c r="BW292" s="851"/>
      <c r="BX292" s="851"/>
      <c r="BY292" s="851"/>
      <c r="BZ292" s="851"/>
      <c r="CA292" s="851"/>
      <c r="CB292" s="851"/>
      <c r="CC292" s="851"/>
      <c r="CD292" s="851"/>
      <c r="CE292" s="851"/>
      <c r="CF292" s="851"/>
      <c r="CG292" s="851"/>
      <c r="CH292" s="851"/>
      <c r="CI292" s="851"/>
      <c r="CJ292" s="851"/>
      <c r="CK292" s="851"/>
      <c r="CL292" s="851"/>
      <c r="CM292" s="851"/>
      <c r="CN292" s="851"/>
      <c r="CO292" s="851"/>
      <c r="CP292" s="851"/>
      <c r="CQ292" s="851"/>
      <c r="CR292" s="851"/>
      <c r="CS292" s="851"/>
      <c r="CT292" s="851"/>
      <c r="CU292" s="851"/>
      <c r="CV292" s="851"/>
      <c r="CW292" s="851"/>
      <c r="CX292" s="851"/>
    </row>
    <row r="293" spans="51:102" x14ac:dyDescent="0.2">
      <c r="AY293" s="851"/>
      <c r="AZ293" s="851"/>
      <c r="BA293" s="851"/>
      <c r="BB293" s="851"/>
      <c r="BC293" s="851"/>
      <c r="BD293" s="851"/>
      <c r="BE293" s="851"/>
      <c r="BF293" s="851"/>
      <c r="BG293" s="851"/>
      <c r="BH293" s="851"/>
      <c r="BI293" s="851"/>
      <c r="BJ293" s="851"/>
      <c r="BK293" s="851"/>
      <c r="BL293" s="851"/>
      <c r="BM293" s="851"/>
      <c r="BN293" s="851"/>
      <c r="BO293" s="851"/>
      <c r="BP293" s="851"/>
      <c r="BQ293" s="851"/>
      <c r="BR293" s="851"/>
      <c r="BS293" s="851"/>
      <c r="BT293" s="851"/>
      <c r="BU293" s="851"/>
      <c r="BV293" s="851"/>
      <c r="BW293" s="851"/>
      <c r="BX293" s="851"/>
      <c r="BY293" s="851"/>
      <c r="BZ293" s="851"/>
      <c r="CA293" s="851"/>
      <c r="CB293" s="851"/>
      <c r="CC293" s="851"/>
      <c r="CD293" s="851"/>
      <c r="CE293" s="851"/>
      <c r="CF293" s="851"/>
      <c r="CG293" s="851"/>
      <c r="CH293" s="851"/>
      <c r="CI293" s="851"/>
      <c r="CJ293" s="851"/>
      <c r="CK293" s="851"/>
      <c r="CL293" s="851"/>
      <c r="CM293" s="851"/>
      <c r="CN293" s="851"/>
      <c r="CO293" s="851"/>
      <c r="CP293" s="851"/>
      <c r="CQ293" s="851"/>
      <c r="CR293" s="851"/>
      <c r="CS293" s="851"/>
      <c r="CT293" s="851"/>
      <c r="CU293" s="851"/>
      <c r="CV293" s="851"/>
      <c r="CW293" s="851"/>
      <c r="CX293" s="851"/>
    </row>
    <row r="294" spans="51:102" x14ac:dyDescent="0.2">
      <c r="AY294" s="851"/>
      <c r="AZ294" s="851"/>
      <c r="BA294" s="851"/>
      <c r="BB294" s="851"/>
      <c r="BC294" s="851"/>
      <c r="BD294" s="851"/>
      <c r="BE294" s="851"/>
      <c r="BF294" s="851"/>
      <c r="BG294" s="851"/>
      <c r="BH294" s="851"/>
      <c r="BI294" s="851"/>
      <c r="BJ294" s="851"/>
      <c r="BK294" s="851"/>
      <c r="BL294" s="851"/>
      <c r="BM294" s="851"/>
      <c r="BN294" s="851"/>
      <c r="BO294" s="851"/>
      <c r="BP294" s="851"/>
      <c r="BQ294" s="851"/>
      <c r="BR294" s="851"/>
      <c r="BS294" s="851"/>
      <c r="BT294" s="851"/>
      <c r="BU294" s="851"/>
      <c r="BV294" s="851"/>
      <c r="BW294" s="851"/>
      <c r="BX294" s="851"/>
      <c r="BY294" s="851"/>
      <c r="BZ294" s="851"/>
      <c r="CA294" s="851"/>
      <c r="CB294" s="851"/>
      <c r="CC294" s="851"/>
      <c r="CD294" s="851"/>
      <c r="CE294" s="851"/>
      <c r="CF294" s="851"/>
      <c r="CG294" s="851"/>
      <c r="CH294" s="851"/>
      <c r="CI294" s="851"/>
      <c r="CJ294" s="851"/>
      <c r="CK294" s="851"/>
      <c r="CL294" s="851"/>
      <c r="CM294" s="851"/>
      <c r="CN294" s="851"/>
      <c r="CO294" s="851"/>
      <c r="CP294" s="851"/>
      <c r="CQ294" s="851"/>
      <c r="CR294" s="851"/>
      <c r="CS294" s="851"/>
      <c r="CT294" s="851"/>
      <c r="CU294" s="851"/>
      <c r="CV294" s="851"/>
      <c r="CW294" s="851"/>
      <c r="CX294" s="851"/>
    </row>
    <row r="295" spans="51:102" x14ac:dyDescent="0.2">
      <c r="AY295" s="851"/>
      <c r="AZ295" s="851"/>
      <c r="BA295" s="851"/>
      <c r="BB295" s="851"/>
      <c r="BC295" s="851"/>
      <c r="BD295" s="851"/>
      <c r="BE295" s="851"/>
      <c r="BF295" s="851"/>
      <c r="BG295" s="851"/>
      <c r="BH295" s="851"/>
      <c r="BI295" s="851"/>
      <c r="BJ295" s="851"/>
      <c r="BK295" s="851"/>
      <c r="BL295" s="851"/>
      <c r="BM295" s="851"/>
      <c r="BN295" s="851"/>
      <c r="BO295" s="851"/>
      <c r="BP295" s="851"/>
      <c r="BQ295" s="851"/>
      <c r="BR295" s="851"/>
      <c r="BS295" s="851"/>
      <c r="BT295" s="851"/>
      <c r="BU295" s="851"/>
      <c r="BV295" s="851"/>
      <c r="BW295" s="851"/>
      <c r="BX295" s="851"/>
      <c r="BY295" s="851"/>
      <c r="BZ295" s="851"/>
      <c r="CA295" s="851"/>
      <c r="CB295" s="851"/>
      <c r="CC295" s="851"/>
      <c r="CD295" s="851"/>
      <c r="CE295" s="851"/>
      <c r="CF295" s="851"/>
      <c r="CG295" s="851"/>
      <c r="CH295" s="851"/>
      <c r="CI295" s="851"/>
      <c r="CJ295" s="851"/>
      <c r="CK295" s="851"/>
      <c r="CL295" s="851"/>
      <c r="CM295" s="851"/>
      <c r="CN295" s="851"/>
      <c r="CO295" s="851"/>
      <c r="CP295" s="851"/>
      <c r="CQ295" s="851"/>
      <c r="CR295" s="851"/>
      <c r="CS295" s="851"/>
      <c r="CT295" s="851"/>
      <c r="CU295" s="851"/>
      <c r="CV295" s="851"/>
      <c r="CW295" s="851"/>
      <c r="CX295" s="851"/>
    </row>
    <row r="296" spans="51:102" x14ac:dyDescent="0.2">
      <c r="AY296" s="851"/>
      <c r="AZ296" s="851"/>
      <c r="BA296" s="851"/>
      <c r="BB296" s="851"/>
      <c r="BC296" s="851"/>
      <c r="BD296" s="851"/>
      <c r="BE296" s="851"/>
      <c r="BF296" s="851"/>
      <c r="BG296" s="851"/>
      <c r="BH296" s="851"/>
      <c r="BI296" s="851"/>
      <c r="BJ296" s="851"/>
      <c r="BK296" s="851"/>
      <c r="BL296" s="851"/>
      <c r="BM296" s="851"/>
      <c r="BN296" s="851"/>
      <c r="BO296" s="851"/>
      <c r="BP296" s="851"/>
      <c r="BQ296" s="851"/>
      <c r="BR296" s="851"/>
      <c r="BS296" s="851"/>
      <c r="BT296" s="851"/>
      <c r="BU296" s="851"/>
      <c r="BV296" s="851"/>
      <c r="BW296" s="851"/>
      <c r="BX296" s="851"/>
      <c r="BY296" s="851"/>
      <c r="BZ296" s="851"/>
      <c r="CA296" s="851"/>
      <c r="CB296" s="851"/>
      <c r="CC296" s="851"/>
      <c r="CD296" s="851"/>
      <c r="CE296" s="851"/>
      <c r="CF296" s="851"/>
      <c r="CG296" s="851"/>
      <c r="CH296" s="851"/>
      <c r="CI296" s="851"/>
      <c r="CJ296" s="851"/>
      <c r="CK296" s="851"/>
      <c r="CL296" s="851"/>
      <c r="CM296" s="851"/>
      <c r="CN296" s="851"/>
      <c r="CO296" s="851"/>
      <c r="CP296" s="851"/>
      <c r="CQ296" s="851"/>
      <c r="CR296" s="851"/>
      <c r="CS296" s="851"/>
      <c r="CT296" s="851"/>
      <c r="CU296" s="851"/>
      <c r="CV296" s="851"/>
      <c r="CW296" s="851"/>
      <c r="CX296" s="851"/>
    </row>
    <row r="297" spans="51:102" x14ac:dyDescent="0.2">
      <c r="AY297" s="851"/>
      <c r="AZ297" s="851"/>
      <c r="BA297" s="851"/>
      <c r="BB297" s="851"/>
      <c r="BC297" s="851"/>
      <c r="BD297" s="851"/>
      <c r="BE297" s="851"/>
      <c r="BF297" s="851"/>
      <c r="BG297" s="851"/>
      <c r="BH297" s="851"/>
      <c r="BI297" s="851"/>
      <c r="BJ297" s="851"/>
      <c r="BK297" s="851"/>
      <c r="BL297" s="851"/>
      <c r="BM297" s="851"/>
      <c r="BN297" s="851"/>
      <c r="BO297" s="851"/>
      <c r="BP297" s="851"/>
      <c r="BQ297" s="851"/>
      <c r="BR297" s="851"/>
      <c r="BS297" s="851"/>
      <c r="BT297" s="851"/>
      <c r="BU297" s="851"/>
      <c r="BV297" s="851"/>
      <c r="BW297" s="851"/>
      <c r="BX297" s="851"/>
      <c r="BY297" s="851"/>
      <c r="BZ297" s="851"/>
      <c r="CA297" s="851"/>
      <c r="CB297" s="851"/>
      <c r="CC297" s="851"/>
      <c r="CD297" s="851"/>
      <c r="CE297" s="851"/>
      <c r="CF297" s="851"/>
      <c r="CG297" s="851"/>
      <c r="CH297" s="851"/>
      <c r="CI297" s="851"/>
      <c r="CJ297" s="851"/>
      <c r="CK297" s="851"/>
      <c r="CL297" s="851"/>
      <c r="CM297" s="851"/>
      <c r="CN297" s="851"/>
      <c r="CO297" s="851"/>
      <c r="CP297" s="851"/>
      <c r="CQ297" s="851"/>
      <c r="CR297" s="851"/>
      <c r="CS297" s="851"/>
      <c r="CT297" s="851"/>
      <c r="CU297" s="851"/>
      <c r="CV297" s="851"/>
      <c r="CW297" s="851"/>
      <c r="CX297" s="851"/>
    </row>
    <row r="298" spans="51:102" x14ac:dyDescent="0.2">
      <c r="AY298" s="851"/>
      <c r="AZ298" s="851"/>
      <c r="BA298" s="851"/>
      <c r="BB298" s="851"/>
      <c r="BC298" s="851"/>
      <c r="BD298" s="851"/>
      <c r="BE298" s="851"/>
      <c r="BF298" s="851"/>
      <c r="BG298" s="851"/>
      <c r="BH298" s="851"/>
      <c r="BI298" s="851"/>
      <c r="BJ298" s="851"/>
      <c r="BK298" s="851"/>
      <c r="BL298" s="851"/>
      <c r="BM298" s="851"/>
      <c r="BN298" s="851"/>
      <c r="BO298" s="851"/>
      <c r="BP298" s="851"/>
      <c r="BQ298" s="851"/>
      <c r="BR298" s="851"/>
      <c r="BS298" s="851"/>
      <c r="BT298" s="851"/>
      <c r="BU298" s="851"/>
      <c r="BV298" s="851"/>
      <c r="BW298" s="851"/>
      <c r="BX298" s="851"/>
      <c r="BY298" s="851"/>
      <c r="BZ298" s="851"/>
      <c r="CA298" s="851"/>
      <c r="CB298" s="851"/>
      <c r="CC298" s="851"/>
      <c r="CD298" s="851"/>
      <c r="CE298" s="851"/>
      <c r="CF298" s="851"/>
      <c r="CG298" s="851"/>
      <c r="CH298" s="851"/>
      <c r="CI298" s="851"/>
      <c r="CJ298" s="851"/>
      <c r="CK298" s="851"/>
      <c r="CL298" s="851"/>
      <c r="CM298" s="851"/>
      <c r="CN298" s="851"/>
      <c r="CO298" s="851"/>
      <c r="CP298" s="851"/>
      <c r="CQ298" s="851"/>
      <c r="CR298" s="851"/>
      <c r="CS298" s="851"/>
      <c r="CT298" s="851"/>
      <c r="CU298" s="851"/>
      <c r="CV298" s="851"/>
      <c r="CW298" s="851"/>
      <c r="CX298" s="851"/>
    </row>
    <row r="299" spans="51:102" x14ac:dyDescent="0.2">
      <c r="AY299" s="851"/>
      <c r="AZ299" s="851"/>
      <c r="BA299" s="851"/>
      <c r="BB299" s="851"/>
      <c r="BC299" s="851"/>
      <c r="BD299" s="851"/>
      <c r="BE299" s="851"/>
      <c r="BF299" s="851"/>
      <c r="BG299" s="851"/>
      <c r="BH299" s="851"/>
      <c r="BI299" s="851"/>
      <c r="BJ299" s="851"/>
      <c r="BK299" s="851"/>
      <c r="BL299" s="851"/>
      <c r="BM299" s="851"/>
      <c r="BN299" s="851"/>
      <c r="BO299" s="851"/>
      <c r="BP299" s="851"/>
      <c r="BQ299" s="851"/>
      <c r="BR299" s="851"/>
      <c r="BS299" s="851"/>
      <c r="BT299" s="851"/>
      <c r="BU299" s="851"/>
      <c r="BV299" s="851"/>
      <c r="BW299" s="851"/>
      <c r="BX299" s="851"/>
      <c r="BY299" s="851"/>
      <c r="BZ299" s="851"/>
      <c r="CA299" s="851"/>
      <c r="CB299" s="851"/>
      <c r="CC299" s="851"/>
      <c r="CD299" s="851"/>
      <c r="CE299" s="851"/>
      <c r="CF299" s="851"/>
      <c r="CG299" s="851"/>
      <c r="CH299" s="851"/>
      <c r="CI299" s="851"/>
      <c r="CJ299" s="851"/>
      <c r="CK299" s="851"/>
      <c r="CL299" s="851"/>
      <c r="CM299" s="851"/>
      <c r="CN299" s="851"/>
      <c r="CO299" s="851"/>
      <c r="CP299" s="851"/>
      <c r="CQ299" s="851"/>
      <c r="CR299" s="851"/>
      <c r="CS299" s="851"/>
      <c r="CT299" s="851"/>
      <c r="CU299" s="851"/>
      <c r="CV299" s="851"/>
      <c r="CW299" s="851"/>
      <c r="CX299" s="851"/>
    </row>
    <row r="300" spans="51:102" x14ac:dyDescent="0.2">
      <c r="AY300" s="851"/>
      <c r="AZ300" s="851"/>
      <c r="BA300" s="851"/>
      <c r="BB300" s="851"/>
      <c r="BC300" s="851"/>
      <c r="BD300" s="851"/>
      <c r="BE300" s="851"/>
      <c r="BF300" s="851"/>
      <c r="BG300" s="851"/>
      <c r="BH300" s="851"/>
      <c r="BI300" s="851"/>
      <c r="BJ300" s="851"/>
      <c r="BK300" s="851"/>
      <c r="BL300" s="851"/>
      <c r="BM300" s="851"/>
      <c r="BN300" s="851"/>
      <c r="BO300" s="851"/>
      <c r="BP300" s="851"/>
      <c r="BQ300" s="851"/>
      <c r="BR300" s="851"/>
      <c r="BS300" s="851"/>
      <c r="BT300" s="851"/>
      <c r="BU300" s="851"/>
      <c r="BV300" s="851"/>
      <c r="BW300" s="851"/>
      <c r="BX300" s="851"/>
      <c r="BY300" s="851"/>
      <c r="BZ300" s="851"/>
      <c r="CA300" s="851"/>
      <c r="CB300" s="851"/>
      <c r="CC300" s="851"/>
      <c r="CD300" s="851"/>
      <c r="CE300" s="851"/>
      <c r="CF300" s="851"/>
      <c r="CG300" s="851"/>
      <c r="CH300" s="851"/>
      <c r="CI300" s="851"/>
      <c r="CJ300" s="851"/>
      <c r="CK300" s="851"/>
      <c r="CL300" s="851"/>
      <c r="CM300" s="851"/>
      <c r="CN300" s="851"/>
      <c r="CO300" s="851"/>
      <c r="CP300" s="851"/>
      <c r="CQ300" s="851"/>
      <c r="CR300" s="851"/>
      <c r="CS300" s="851"/>
      <c r="CT300" s="851"/>
      <c r="CU300" s="851"/>
      <c r="CV300" s="851"/>
      <c r="CW300" s="851"/>
      <c r="CX300" s="851"/>
    </row>
    <row r="301" spans="51:102" x14ac:dyDescent="0.2">
      <c r="AY301" s="851"/>
      <c r="AZ301" s="851"/>
      <c r="BA301" s="851"/>
      <c r="BB301" s="851"/>
      <c r="BC301" s="851"/>
      <c r="BD301" s="851"/>
      <c r="BE301" s="851"/>
      <c r="BF301" s="851"/>
      <c r="BG301" s="851"/>
      <c r="BH301" s="851"/>
      <c r="BI301" s="851"/>
      <c r="BJ301" s="851"/>
      <c r="BK301" s="851"/>
      <c r="BL301" s="851"/>
      <c r="BM301" s="851"/>
      <c r="BN301" s="851"/>
      <c r="BO301" s="851"/>
      <c r="BP301" s="851"/>
      <c r="BQ301" s="851"/>
      <c r="BR301" s="851"/>
      <c r="BS301" s="851"/>
      <c r="BT301" s="851"/>
      <c r="BU301" s="851"/>
      <c r="BV301" s="851"/>
      <c r="BW301" s="851"/>
      <c r="BX301" s="851"/>
      <c r="BY301" s="851"/>
      <c r="BZ301" s="851"/>
      <c r="CA301" s="851"/>
      <c r="CB301" s="851"/>
      <c r="CC301" s="851"/>
      <c r="CD301" s="851"/>
      <c r="CE301" s="851"/>
      <c r="CF301" s="851"/>
      <c r="CG301" s="851"/>
      <c r="CH301" s="851"/>
      <c r="CI301" s="851"/>
      <c r="CJ301" s="851"/>
      <c r="CK301" s="851"/>
      <c r="CL301" s="851"/>
      <c r="CM301" s="851"/>
      <c r="CN301" s="851"/>
      <c r="CO301" s="851"/>
      <c r="CP301" s="851"/>
      <c r="CQ301" s="851"/>
      <c r="CR301" s="851"/>
      <c r="CS301" s="851"/>
      <c r="CT301" s="851"/>
      <c r="CU301" s="851"/>
      <c r="CV301" s="851"/>
      <c r="CW301" s="851"/>
      <c r="CX301" s="851"/>
    </row>
    <row r="302" spans="51:102" x14ac:dyDescent="0.2">
      <c r="AY302" s="851"/>
      <c r="AZ302" s="851"/>
      <c r="BA302" s="851"/>
      <c r="BB302" s="851"/>
      <c r="BC302" s="851"/>
      <c r="BD302" s="851"/>
      <c r="BE302" s="851"/>
      <c r="BF302" s="851"/>
      <c r="BG302" s="851"/>
      <c r="BH302" s="851"/>
      <c r="BI302" s="851"/>
      <c r="BJ302" s="851"/>
      <c r="BK302" s="851"/>
      <c r="BL302" s="851"/>
      <c r="BM302" s="851"/>
      <c r="BN302" s="851"/>
      <c r="BO302" s="851"/>
      <c r="BP302" s="851"/>
      <c r="BQ302" s="851"/>
      <c r="BR302" s="851"/>
      <c r="BS302" s="851"/>
      <c r="BT302" s="851"/>
      <c r="BU302" s="851"/>
      <c r="BV302" s="851"/>
      <c r="BW302" s="851"/>
      <c r="BX302" s="851"/>
      <c r="BY302" s="851"/>
      <c r="BZ302" s="851"/>
      <c r="CA302" s="851"/>
      <c r="CB302" s="851"/>
      <c r="CC302" s="851"/>
      <c r="CD302" s="851"/>
      <c r="CE302" s="851"/>
      <c r="CF302" s="851"/>
      <c r="CG302" s="851"/>
      <c r="CH302" s="851"/>
      <c r="CI302" s="851"/>
      <c r="CJ302" s="851"/>
      <c r="CK302" s="851"/>
      <c r="CL302" s="851"/>
      <c r="CM302" s="851"/>
      <c r="CN302" s="851"/>
      <c r="CO302" s="851"/>
      <c r="CP302" s="851"/>
      <c r="CQ302" s="851"/>
      <c r="CR302" s="851"/>
      <c r="CS302" s="851"/>
      <c r="CT302" s="851"/>
      <c r="CU302" s="851"/>
      <c r="CV302" s="851"/>
      <c r="CW302" s="851"/>
      <c r="CX302" s="851"/>
    </row>
    <row r="303" spans="51:102" x14ac:dyDescent="0.2">
      <c r="AY303" s="851"/>
      <c r="AZ303" s="851"/>
      <c r="BA303" s="851"/>
      <c r="BB303" s="851"/>
      <c r="BC303" s="851"/>
      <c r="BD303" s="851"/>
      <c r="BE303" s="851"/>
      <c r="BF303" s="851"/>
      <c r="BG303" s="851"/>
      <c r="BH303" s="851"/>
      <c r="BI303" s="851"/>
      <c r="BJ303" s="851"/>
      <c r="BK303" s="851"/>
      <c r="BL303" s="851"/>
      <c r="BM303" s="851"/>
      <c r="BN303" s="851"/>
      <c r="BO303" s="851"/>
      <c r="BP303" s="851"/>
      <c r="BQ303" s="851"/>
      <c r="BR303" s="851"/>
      <c r="BS303" s="851"/>
      <c r="BT303" s="851"/>
      <c r="BU303" s="851"/>
      <c r="BV303" s="851"/>
      <c r="BW303" s="851"/>
      <c r="BX303" s="851"/>
      <c r="BY303" s="851"/>
      <c r="BZ303" s="851"/>
      <c r="CA303" s="851"/>
      <c r="CB303" s="851"/>
      <c r="CC303" s="851"/>
      <c r="CD303" s="851"/>
      <c r="CE303" s="851"/>
      <c r="CF303" s="851"/>
      <c r="CG303" s="851"/>
      <c r="CH303" s="851"/>
      <c r="CI303" s="851"/>
      <c r="CJ303" s="851"/>
      <c r="CK303" s="851"/>
      <c r="CL303" s="851"/>
      <c r="CM303" s="851"/>
      <c r="CN303" s="851"/>
      <c r="CO303" s="851"/>
      <c r="CP303" s="851"/>
      <c r="CQ303" s="851"/>
      <c r="CR303" s="851"/>
      <c r="CS303" s="851"/>
      <c r="CT303" s="851"/>
      <c r="CU303" s="851"/>
      <c r="CV303" s="851"/>
      <c r="CW303" s="851"/>
      <c r="CX303" s="851"/>
    </row>
    <row r="304" spans="51:102" x14ac:dyDescent="0.2">
      <c r="AY304" s="851"/>
      <c r="AZ304" s="851"/>
      <c r="BA304" s="851"/>
      <c r="BB304" s="851"/>
      <c r="BC304" s="851"/>
      <c r="BD304" s="851"/>
      <c r="BE304" s="851"/>
      <c r="BF304" s="851"/>
      <c r="BG304" s="851"/>
      <c r="BH304" s="851"/>
      <c r="BI304" s="851"/>
      <c r="BJ304" s="851"/>
      <c r="BK304" s="851"/>
      <c r="BL304" s="851"/>
      <c r="BM304" s="851"/>
      <c r="BN304" s="851"/>
      <c r="BO304" s="851"/>
      <c r="BP304" s="851"/>
      <c r="BQ304" s="851"/>
      <c r="BR304" s="851"/>
      <c r="BS304" s="851"/>
      <c r="BT304" s="851"/>
      <c r="BU304" s="851"/>
      <c r="BV304" s="851"/>
      <c r="BW304" s="851"/>
      <c r="BX304" s="851"/>
      <c r="BY304" s="851"/>
      <c r="BZ304" s="851"/>
      <c r="CA304" s="851"/>
      <c r="CB304" s="851"/>
      <c r="CC304" s="851"/>
      <c r="CD304" s="851"/>
      <c r="CE304" s="851"/>
      <c r="CF304" s="851"/>
      <c r="CG304" s="851"/>
      <c r="CH304" s="851"/>
      <c r="CI304" s="851"/>
      <c r="CJ304" s="851"/>
      <c r="CK304" s="851"/>
      <c r="CL304" s="851"/>
      <c r="CM304" s="851"/>
      <c r="CN304" s="851"/>
      <c r="CO304" s="851"/>
      <c r="CP304" s="851"/>
      <c r="CQ304" s="851"/>
      <c r="CR304" s="851"/>
      <c r="CS304" s="851"/>
      <c r="CT304" s="851"/>
      <c r="CU304" s="851"/>
      <c r="CV304" s="851"/>
      <c r="CW304" s="851"/>
      <c r="CX304" s="851"/>
    </row>
    <row r="305" spans="51:102" x14ac:dyDescent="0.2">
      <c r="AY305" s="851"/>
      <c r="AZ305" s="851"/>
      <c r="BA305" s="851"/>
      <c r="BB305" s="851"/>
      <c r="BC305" s="851"/>
      <c r="BD305" s="851"/>
      <c r="BE305" s="851"/>
      <c r="BF305" s="851"/>
      <c r="BG305" s="851"/>
      <c r="BH305" s="851"/>
      <c r="BI305" s="851"/>
      <c r="BJ305" s="851"/>
      <c r="BK305" s="851"/>
      <c r="BL305" s="851"/>
      <c r="BM305" s="851"/>
      <c r="BN305" s="851"/>
      <c r="BO305" s="851"/>
      <c r="BP305" s="851"/>
      <c r="BQ305" s="851"/>
      <c r="BR305" s="851"/>
      <c r="BS305" s="851"/>
      <c r="BT305" s="851"/>
      <c r="BU305" s="851"/>
      <c r="BV305" s="851"/>
      <c r="BW305" s="851"/>
      <c r="BX305" s="851"/>
      <c r="BY305" s="851"/>
      <c r="BZ305" s="851"/>
      <c r="CA305" s="851"/>
      <c r="CB305" s="851"/>
      <c r="CC305" s="851"/>
      <c r="CD305" s="851"/>
      <c r="CE305" s="851"/>
      <c r="CF305" s="851"/>
      <c r="CG305" s="851"/>
      <c r="CH305" s="851"/>
      <c r="CI305" s="851"/>
      <c r="CJ305" s="851"/>
      <c r="CK305" s="851"/>
      <c r="CL305" s="851"/>
      <c r="CM305" s="851"/>
      <c r="CN305" s="851"/>
      <c r="CO305" s="851"/>
      <c r="CP305" s="851"/>
      <c r="CQ305" s="851"/>
      <c r="CR305" s="851"/>
      <c r="CS305" s="851"/>
      <c r="CT305" s="851"/>
      <c r="CU305" s="851"/>
      <c r="CV305" s="851"/>
      <c r="CW305" s="851"/>
      <c r="CX305" s="851"/>
    </row>
    <row r="306" spans="51:102" x14ac:dyDescent="0.2">
      <c r="AY306" s="851"/>
      <c r="AZ306" s="851"/>
      <c r="BA306" s="851"/>
      <c r="BB306" s="851"/>
      <c r="BC306" s="851"/>
      <c r="BD306" s="851"/>
      <c r="BE306" s="851"/>
      <c r="BF306" s="851"/>
      <c r="BG306" s="851"/>
      <c r="BH306" s="851"/>
      <c r="BI306" s="851"/>
      <c r="BJ306" s="851"/>
      <c r="BK306" s="851"/>
      <c r="BL306" s="851"/>
      <c r="BM306" s="851"/>
      <c r="BN306" s="851"/>
      <c r="BO306" s="851"/>
      <c r="BP306" s="851"/>
      <c r="BQ306" s="851"/>
      <c r="BR306" s="851"/>
      <c r="BS306" s="851"/>
      <c r="BT306" s="851"/>
      <c r="BU306" s="851"/>
      <c r="BV306" s="851"/>
      <c r="BW306" s="851"/>
      <c r="BX306" s="851"/>
      <c r="BY306" s="851"/>
      <c r="BZ306" s="851"/>
      <c r="CA306" s="851"/>
      <c r="CB306" s="851"/>
      <c r="CC306" s="851"/>
      <c r="CD306" s="851"/>
      <c r="CE306" s="851"/>
      <c r="CF306" s="851"/>
      <c r="CG306" s="851"/>
      <c r="CH306" s="851"/>
      <c r="CI306" s="851"/>
      <c r="CJ306" s="851"/>
      <c r="CK306" s="851"/>
      <c r="CL306" s="851"/>
      <c r="CM306" s="851"/>
      <c r="CN306" s="851"/>
      <c r="CO306" s="851"/>
      <c r="CP306" s="851"/>
      <c r="CQ306" s="851"/>
      <c r="CR306" s="851"/>
      <c r="CS306" s="851"/>
      <c r="CT306" s="851"/>
      <c r="CU306" s="851"/>
      <c r="CV306" s="851"/>
      <c r="CW306" s="851"/>
      <c r="CX306" s="851"/>
    </row>
    <row r="307" spans="51:102" x14ac:dyDescent="0.2">
      <c r="AY307" s="851"/>
      <c r="AZ307" s="851"/>
      <c r="BA307" s="851"/>
      <c r="BB307" s="851"/>
      <c r="BC307" s="851"/>
      <c r="BD307" s="851"/>
      <c r="BE307" s="851"/>
      <c r="BF307" s="851"/>
      <c r="BG307" s="851"/>
      <c r="BH307" s="851"/>
      <c r="BI307" s="851"/>
      <c r="BJ307" s="851"/>
      <c r="BK307" s="851"/>
      <c r="BL307" s="851"/>
      <c r="BM307" s="851"/>
      <c r="BN307" s="851"/>
      <c r="BO307" s="851"/>
      <c r="BP307" s="851"/>
      <c r="BQ307" s="851"/>
      <c r="BR307" s="851"/>
      <c r="BS307" s="851"/>
      <c r="BT307" s="851"/>
      <c r="BU307" s="851"/>
      <c r="BV307" s="851"/>
      <c r="BW307" s="851"/>
      <c r="BX307" s="851"/>
      <c r="BY307" s="851"/>
      <c r="BZ307" s="851"/>
      <c r="CA307" s="851"/>
      <c r="CB307" s="851"/>
      <c r="CC307" s="851"/>
      <c r="CD307" s="851"/>
      <c r="CE307" s="851"/>
      <c r="CF307" s="851"/>
      <c r="CG307" s="851"/>
      <c r="CH307" s="851"/>
      <c r="CI307" s="851"/>
      <c r="CJ307" s="851"/>
      <c r="CK307" s="851"/>
      <c r="CL307" s="851"/>
      <c r="CM307" s="851"/>
      <c r="CN307" s="851"/>
      <c r="CO307" s="851"/>
      <c r="CP307" s="851"/>
      <c r="CQ307" s="851"/>
      <c r="CR307" s="851"/>
      <c r="CS307" s="851"/>
      <c r="CT307" s="851"/>
      <c r="CU307" s="851"/>
      <c r="CV307" s="851"/>
      <c r="CW307" s="851"/>
      <c r="CX307" s="851"/>
    </row>
    <row r="308" spans="51:102" x14ac:dyDescent="0.2">
      <c r="AY308" s="851"/>
      <c r="AZ308" s="851"/>
      <c r="BA308" s="851"/>
      <c r="BB308" s="851"/>
      <c r="BC308" s="851"/>
      <c r="BD308" s="851"/>
      <c r="BE308" s="851"/>
      <c r="BF308" s="851"/>
      <c r="BG308" s="851"/>
      <c r="BH308" s="851"/>
      <c r="BI308" s="851"/>
      <c r="BJ308" s="851"/>
      <c r="BK308" s="851"/>
      <c r="BL308" s="851"/>
      <c r="BM308" s="851"/>
      <c r="BN308" s="851"/>
      <c r="BO308" s="851"/>
      <c r="BP308" s="851"/>
      <c r="BQ308" s="851"/>
      <c r="BR308" s="851"/>
      <c r="BS308" s="851"/>
      <c r="BT308" s="851"/>
      <c r="BU308" s="851"/>
      <c r="BV308" s="851"/>
      <c r="BW308" s="851"/>
      <c r="BX308" s="851"/>
      <c r="BY308" s="851"/>
      <c r="BZ308" s="851"/>
      <c r="CA308" s="851"/>
      <c r="CB308" s="851"/>
      <c r="CC308" s="851"/>
      <c r="CD308" s="851"/>
      <c r="CE308" s="851"/>
      <c r="CF308" s="851"/>
      <c r="CG308" s="851"/>
      <c r="CH308" s="851"/>
      <c r="CI308" s="851"/>
      <c r="CJ308" s="851"/>
      <c r="CK308" s="851"/>
      <c r="CL308" s="851"/>
      <c r="CM308" s="851"/>
      <c r="CN308" s="851"/>
      <c r="CO308" s="851"/>
      <c r="CP308" s="851"/>
      <c r="CQ308" s="851"/>
      <c r="CR308" s="851"/>
      <c r="CS308" s="851"/>
      <c r="CT308" s="851"/>
      <c r="CU308" s="851"/>
      <c r="CV308" s="851"/>
      <c r="CW308" s="851"/>
      <c r="CX308" s="851"/>
    </row>
    <row r="309" spans="51:102" x14ac:dyDescent="0.2">
      <c r="AY309" s="851"/>
      <c r="AZ309" s="851"/>
      <c r="BA309" s="851"/>
      <c r="BB309" s="851"/>
      <c r="BC309" s="851"/>
      <c r="BD309" s="851"/>
      <c r="BE309" s="851"/>
      <c r="BF309" s="851"/>
      <c r="BG309" s="851"/>
      <c r="BH309" s="851"/>
      <c r="BI309" s="851"/>
      <c r="BJ309" s="851"/>
      <c r="BK309" s="851"/>
      <c r="BL309" s="851"/>
      <c r="BM309" s="851"/>
      <c r="BN309" s="851"/>
      <c r="BO309" s="851"/>
      <c r="BP309" s="851"/>
      <c r="BQ309" s="851"/>
      <c r="BR309" s="851"/>
      <c r="BS309" s="851"/>
      <c r="BT309" s="851"/>
      <c r="BU309" s="851"/>
      <c r="BV309" s="851"/>
      <c r="BW309" s="851"/>
      <c r="BX309" s="851"/>
      <c r="BY309" s="851"/>
      <c r="BZ309" s="851"/>
      <c r="CA309" s="851"/>
      <c r="CB309" s="851"/>
      <c r="CC309" s="851"/>
      <c r="CD309" s="851"/>
      <c r="CE309" s="851"/>
      <c r="CF309" s="851"/>
      <c r="CG309" s="851"/>
      <c r="CH309" s="851"/>
      <c r="CI309" s="851"/>
      <c r="CJ309" s="851"/>
      <c r="CK309" s="851"/>
      <c r="CL309" s="851"/>
      <c r="CM309" s="851"/>
      <c r="CN309" s="851"/>
      <c r="CO309" s="851"/>
      <c r="CP309" s="851"/>
      <c r="CQ309" s="851"/>
      <c r="CR309" s="851"/>
      <c r="CS309" s="851"/>
      <c r="CT309" s="851"/>
      <c r="CU309" s="851"/>
      <c r="CV309" s="851"/>
      <c r="CW309" s="851"/>
      <c r="CX309" s="851"/>
    </row>
    <row r="310" spans="51:102" x14ac:dyDescent="0.2">
      <c r="AY310" s="851"/>
      <c r="AZ310" s="851"/>
      <c r="BA310" s="851"/>
      <c r="BB310" s="851"/>
      <c r="BC310" s="851"/>
      <c r="BD310" s="851"/>
      <c r="BE310" s="851"/>
      <c r="BF310" s="851"/>
      <c r="BG310" s="851"/>
      <c r="BH310" s="851"/>
      <c r="BI310" s="851"/>
      <c r="BJ310" s="851"/>
      <c r="BK310" s="851"/>
      <c r="BL310" s="851"/>
      <c r="BM310" s="851"/>
      <c r="BN310" s="851"/>
      <c r="BO310" s="851"/>
      <c r="BP310" s="851"/>
      <c r="BQ310" s="851"/>
      <c r="BR310" s="851"/>
      <c r="BS310" s="851"/>
      <c r="BT310" s="851"/>
      <c r="BU310" s="851"/>
      <c r="BV310" s="851"/>
      <c r="BW310" s="851"/>
      <c r="BX310" s="851"/>
      <c r="BY310" s="851"/>
      <c r="BZ310" s="851"/>
      <c r="CA310" s="851"/>
      <c r="CB310" s="851"/>
      <c r="CC310" s="851"/>
      <c r="CD310" s="851"/>
      <c r="CE310" s="851"/>
      <c r="CF310" s="851"/>
      <c r="CG310" s="851"/>
      <c r="CH310" s="851"/>
      <c r="CI310" s="851"/>
      <c r="CJ310" s="851"/>
      <c r="CK310" s="851"/>
      <c r="CL310" s="851"/>
      <c r="CM310" s="851"/>
      <c r="CN310" s="851"/>
      <c r="CO310" s="851"/>
      <c r="CP310" s="851"/>
      <c r="CQ310" s="851"/>
      <c r="CR310" s="851"/>
      <c r="CS310" s="851"/>
      <c r="CT310" s="851"/>
      <c r="CU310" s="851"/>
      <c r="CV310" s="851"/>
      <c r="CW310" s="851"/>
      <c r="CX310" s="851"/>
    </row>
    <row r="311" spans="51:102" x14ac:dyDescent="0.2">
      <c r="AY311" s="851"/>
      <c r="AZ311" s="851"/>
      <c r="BA311" s="851"/>
      <c r="BB311" s="851"/>
      <c r="BC311" s="851"/>
      <c r="BD311" s="851"/>
      <c r="BE311" s="851"/>
      <c r="BF311" s="851"/>
      <c r="BG311" s="851"/>
      <c r="BH311" s="851"/>
      <c r="BI311" s="851"/>
      <c r="BJ311" s="851"/>
      <c r="BK311" s="851"/>
      <c r="BL311" s="851"/>
      <c r="BM311" s="851"/>
      <c r="BN311" s="851"/>
      <c r="BO311" s="851"/>
      <c r="BP311" s="851"/>
      <c r="BQ311" s="851"/>
      <c r="BR311" s="851"/>
      <c r="BS311" s="851"/>
      <c r="BT311" s="851"/>
      <c r="BU311" s="851"/>
      <c r="BV311" s="851"/>
      <c r="BW311" s="851"/>
      <c r="BX311" s="851"/>
      <c r="BY311" s="851"/>
      <c r="BZ311" s="851"/>
      <c r="CA311" s="851"/>
      <c r="CB311" s="851"/>
      <c r="CC311" s="851"/>
      <c r="CD311" s="851"/>
      <c r="CE311" s="851"/>
      <c r="CF311" s="851"/>
      <c r="CG311" s="851"/>
      <c r="CH311" s="851"/>
      <c r="CI311" s="851"/>
      <c r="CJ311" s="851"/>
      <c r="CK311" s="851"/>
      <c r="CL311" s="851"/>
      <c r="CM311" s="851"/>
      <c r="CN311" s="851"/>
      <c r="CO311" s="851"/>
      <c r="CP311" s="851"/>
      <c r="CQ311" s="851"/>
      <c r="CR311" s="851"/>
      <c r="CS311" s="851"/>
      <c r="CT311" s="851"/>
      <c r="CU311" s="851"/>
      <c r="CV311" s="851"/>
      <c r="CW311" s="851"/>
      <c r="CX311" s="851"/>
    </row>
    <row r="312" spans="51:102" x14ac:dyDescent="0.2">
      <c r="AY312" s="851"/>
      <c r="AZ312" s="851"/>
      <c r="BA312" s="851"/>
      <c r="BB312" s="851"/>
      <c r="BC312" s="851"/>
      <c r="BD312" s="851"/>
      <c r="BE312" s="851"/>
      <c r="BF312" s="851"/>
      <c r="BG312" s="851"/>
      <c r="BH312" s="851"/>
      <c r="BI312" s="851"/>
      <c r="BJ312" s="851"/>
      <c r="BK312" s="851"/>
      <c r="BL312" s="851"/>
      <c r="BM312" s="851"/>
      <c r="BN312" s="851"/>
      <c r="BO312" s="851"/>
      <c r="BP312" s="851"/>
      <c r="BQ312" s="851"/>
      <c r="BR312" s="851"/>
      <c r="BS312" s="851"/>
      <c r="BT312" s="851"/>
      <c r="BU312" s="851"/>
      <c r="BV312" s="851"/>
      <c r="BW312" s="851"/>
      <c r="BX312" s="851"/>
      <c r="BY312" s="851"/>
      <c r="BZ312" s="851"/>
      <c r="CA312" s="851"/>
      <c r="CB312" s="851"/>
      <c r="CC312" s="851"/>
      <c r="CD312" s="851"/>
      <c r="CE312" s="851"/>
      <c r="CF312" s="851"/>
      <c r="CG312" s="851"/>
      <c r="CH312" s="851"/>
      <c r="CI312" s="851"/>
      <c r="CJ312" s="851"/>
      <c r="CK312" s="851"/>
      <c r="CL312" s="851"/>
      <c r="CM312" s="851"/>
      <c r="CN312" s="851"/>
      <c r="CO312" s="851"/>
      <c r="CP312" s="851"/>
      <c r="CQ312" s="851"/>
      <c r="CR312" s="851"/>
      <c r="CS312" s="851"/>
      <c r="CT312" s="851"/>
      <c r="CU312" s="851"/>
      <c r="CV312" s="851"/>
      <c r="CW312" s="851"/>
      <c r="CX312" s="851"/>
    </row>
  </sheetData>
  <mergeCells count="26">
    <mergeCell ref="DA3:DR4"/>
    <mergeCell ref="DC13:DS96"/>
    <mergeCell ref="BH122:BM122"/>
    <mergeCell ref="CB3:CW3"/>
    <mergeCell ref="CB41:CW41"/>
    <mergeCell ref="B24:F24"/>
    <mergeCell ref="I25:Q38"/>
    <mergeCell ref="S3:BC3"/>
    <mergeCell ref="BF122:BG122"/>
    <mergeCell ref="AQ45:AT45"/>
    <mergeCell ref="AU45:AX45"/>
    <mergeCell ref="S61:BC61"/>
    <mergeCell ref="BE3:BZ3"/>
    <mergeCell ref="BN122:BS122"/>
    <mergeCell ref="B45:R45"/>
    <mergeCell ref="EI186:EI187"/>
    <mergeCell ref="EJ186:EJ187"/>
    <mergeCell ref="EA186:ED186"/>
    <mergeCell ref="BY43:CA43"/>
    <mergeCell ref="BT122:BY122"/>
    <mergeCell ref="EE186:EH186"/>
    <mergeCell ref="CF122:CG122"/>
    <mergeCell ref="CH122:CI122"/>
    <mergeCell ref="CJ122:CK122"/>
    <mergeCell ref="BZ122:CE122"/>
    <mergeCell ref="CM121:DV121"/>
  </mergeCells>
  <conditionalFormatting sqref="BO124:BS139">
    <cfRule type="cellIs" dxfId="0" priority="1" operator="equal">
      <formula>428</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43</vt:i4>
      </vt:variant>
    </vt:vector>
  </HeadingPairs>
  <TitlesOfParts>
    <vt:vector size="64" baseType="lpstr">
      <vt:lpstr>Terrain roughness</vt:lpstr>
      <vt:lpstr>Reference Site</vt:lpstr>
      <vt:lpstr>Ref. Site topography</vt:lpstr>
      <vt:lpstr>Target Site</vt:lpstr>
      <vt:lpstr>Target Site topography</vt:lpstr>
      <vt:lpstr>Wind speed</vt:lpstr>
      <vt:lpstr>Flow deviations</vt:lpstr>
      <vt:lpstr>u-component turbulence</vt:lpstr>
      <vt:lpstr>v-component turbulence</vt:lpstr>
      <vt:lpstr>w-component turbulence</vt:lpstr>
      <vt:lpstr>Spectral densities</vt:lpstr>
      <vt:lpstr>ESDUView</vt:lpstr>
      <vt:lpstr>Create EDOX for Pre-ESDUView</vt:lpstr>
      <vt:lpstr>RWDI_FACTORS</vt:lpstr>
      <vt:lpstr>PLOTS</vt:lpstr>
      <vt:lpstr>PLW Factors</vt:lpstr>
      <vt:lpstr>Tunnel CTL File</vt:lpstr>
      <vt:lpstr>ASCE 7-98</vt:lpstr>
      <vt:lpstr>Profile Data</vt:lpstr>
      <vt:lpstr>Revisions</vt:lpstr>
      <vt:lpstr>Export Old Projects</vt:lpstr>
      <vt:lpstr>ESDUView!ESDUView_Source_File</vt:lpstr>
      <vt:lpstr>ESDUView!ESDUViewData</vt:lpstr>
      <vt:lpstr>firstDirData</vt:lpstr>
      <vt:lpstr>firstDirHeading</vt:lpstr>
      <vt:lpstr>ESDUView!JobName</vt:lpstr>
      <vt:lpstr>JobName</vt:lpstr>
      <vt:lpstr>ESDUView!JobNumber</vt:lpstr>
      <vt:lpstr>JobNumber</vt:lpstr>
      <vt:lpstr>ESDUView!Latitude</vt:lpstr>
      <vt:lpstr>ESDUView!Longitude</vt:lpstr>
      <vt:lpstr>PLOTS!Print_Area</vt:lpstr>
      <vt:lpstr>'Export Old Projects'!radius</vt:lpstr>
      <vt:lpstr>ESDUView!TargetSiteFirstFetchCaseNumber</vt:lpstr>
      <vt:lpstr>windtunnelA24ER</vt:lpstr>
      <vt:lpstr>windtunnelA24ERheight</vt:lpstr>
      <vt:lpstr>windtunnelA24ERnames</vt:lpstr>
      <vt:lpstr>windtunnelA24LE</vt:lpstr>
      <vt:lpstr>windtunnelA24LEheight</vt:lpstr>
      <vt:lpstr>windtunnelA24LEnames</vt:lpstr>
      <vt:lpstr>windtunnelB12ER</vt:lpstr>
      <vt:lpstr>windtunnelB12ERheight</vt:lpstr>
      <vt:lpstr>windtunnelB12ERnames</vt:lpstr>
      <vt:lpstr>windtunnelB12LE</vt:lpstr>
      <vt:lpstr>windtunnelB12LEheight</vt:lpstr>
      <vt:lpstr>windtunnelB12LEMod</vt:lpstr>
      <vt:lpstr>windtunnelB12LEModheight</vt:lpstr>
      <vt:lpstr>windtunnelB12LEModNames</vt:lpstr>
      <vt:lpstr>windtunnelB12LEnames</vt:lpstr>
      <vt:lpstr>windtunnelC12</vt:lpstr>
      <vt:lpstr>windtunnelC12height</vt:lpstr>
      <vt:lpstr>windtunnelC12Mod</vt:lpstr>
      <vt:lpstr>windtunnelC12Modheight</vt:lpstr>
      <vt:lpstr>windtunnelC12ModNames</vt:lpstr>
      <vt:lpstr>windtunnelC12names</vt:lpstr>
      <vt:lpstr>windtunnelind</vt:lpstr>
      <vt:lpstr>windtunnelindheight</vt:lpstr>
      <vt:lpstr>windtunnelindnames</vt:lpstr>
      <vt:lpstr>windtunnelmkA</vt:lpstr>
      <vt:lpstr>windtunnelmkaheight</vt:lpstr>
      <vt:lpstr>windtunnelmkanames</vt:lpstr>
      <vt:lpstr>windtunnelmkb</vt:lpstr>
      <vt:lpstr>windtunnelmkbheight</vt:lpstr>
      <vt:lpstr>windtunnelmkbnames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Neil Thompson</dc:creator>
  <cp:lastModifiedBy>Will Yakymyk</cp:lastModifiedBy>
  <cp:lastPrinted>2018-01-28T00:06:59Z</cp:lastPrinted>
  <dcterms:created xsi:type="dcterms:W3CDTF">1999-07-14T16:44:01Z</dcterms:created>
  <dcterms:modified xsi:type="dcterms:W3CDTF">2022-03-11T21:29:59Z</dcterms:modified>
</cp:coreProperties>
</file>